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S:\PSD\PSD - Shared\Website\Topics\Renewable Energy\RES Program Report Models\"/>
    </mc:Choice>
  </mc:AlternateContent>
  <xr:revisionPtr revIDLastSave="0" documentId="8_{E3A90A0A-699C-42AC-BB38-05C7B53BE98A}" xr6:coauthVersionLast="45" xr6:coauthVersionMax="45" xr10:uidLastSave="{00000000-0000-0000-0000-000000000000}"/>
  <bookViews>
    <workbookView xWindow="-108" yWindow="-108" windowWidth="20376" windowHeight="12240" xr2:uid="{00000000-000D-0000-FFFF-FFFF00000000}"/>
  </bookViews>
  <sheets>
    <sheet name="Notes" sheetId="15" r:id="rId1"/>
    <sheet name="Summary" sheetId="16" r:id="rId2"/>
    <sheet name="assumptions" sheetId="5" r:id="rId3"/>
    <sheet name="loads" sheetId="1" r:id="rId4"/>
    <sheet name="requirements" sheetId="2" r:id="rId5"/>
    <sheet name="impact" sheetId="7" r:id="rId6"/>
    <sheet name="Tier I" sheetId="4" r:id="rId7"/>
    <sheet name="Tier II" sheetId="6" r:id="rId8"/>
    <sheet name="Tier III" sheetId="8" r:id="rId9"/>
    <sheet name="price forecasts" sheetId="9" r:id="rId10"/>
    <sheet name="emissions" sheetId="13" r:id="rId11"/>
    <sheet name="Tier III PT" sheetId="11" r:id="rId12"/>
    <sheet name="annual RES req" sheetId="17" r:id="rId13"/>
    <sheet name="Tier III incentives" sheetId="10" state="hidden" r:id="rId14"/>
    <sheet name="Savings Calculator" sheetId="19" state="hidden" r:id="rId15"/>
    <sheet name="AEO- reference" sheetId="12" r:id="rId16"/>
  </sheets>
  <externalReferences>
    <externalReference r:id="rId17"/>
    <externalReference r:id="rId18"/>
    <externalReference r:id="rId19"/>
  </externalReferences>
  <definedNames>
    <definedName name="_xlnm._FilterDatabase" localSheetId="14" hidden="1">'Savings Calculator'!$A$2:$Q$116</definedName>
    <definedName name="_ftn1" localSheetId="14">'Savings Calculator'!$I$139</definedName>
    <definedName name="_ftn2" localSheetId="14">'Savings Calculator'!$I$140</definedName>
    <definedName name="_ftn3" localSheetId="14">'Savings Calculator'!$I$141</definedName>
    <definedName name="_ftn5" localSheetId="14">'Savings Calculator'!$I$143</definedName>
    <definedName name="_ftn6" localSheetId="14">'Savings Calculator'!$I$147</definedName>
    <definedName name="_ftnref1" localSheetId="14">'Savings Calculator'!#REF!</definedName>
    <definedName name="_ftnref2" localSheetId="14">'Savings Calculator'!#REF!</definedName>
    <definedName name="_ftnref3" localSheetId="14">'Savings Calculator'!$K$126</definedName>
    <definedName name="_ftnref4" localSheetId="14">'Savings Calculator'!$K$128</definedName>
    <definedName name="_ftnref5" localSheetId="14">'Savings Calculator'!$J$129</definedName>
    <definedName name="_ftnref6" localSheetId="14">'Savings Calculator'!$J$136</definedName>
    <definedName name="base_year">assumptions!$D$4</definedName>
    <definedName name="cap_factor">[1]user_inputs!$A$2</definedName>
    <definedName name="CCHP_incentive_escalation">assumptions!$D$35</definedName>
    <definedName name="CCHP_LMP_multiplier">assumptions!$D$41</definedName>
    <definedName name="COS_depreciation">impact!$B$5</definedName>
    <definedName name="COS_inflation">impact!$B$4</definedName>
    <definedName name="COS_market">impact!$B$3</definedName>
    <definedName name="cust_disc_rate_res">'[2]energy$'!$A$2</definedName>
    <definedName name="custom_incentive_escalation">assumptions!$D$38</definedName>
    <definedName name="Custom_LMP_multiplier">assumptions!$D$44</definedName>
    <definedName name="D_losses">'[2]ELC WS'!$K$1</definedName>
    <definedName name="depreciation_rate">assumptions!$D$7</definedName>
    <definedName name="discount_rate">assumptions!$D$6</definedName>
    <definedName name="ELC_price_trend">'[2]energy$'!$A$4</definedName>
    <definedName name="ELC_price_yr1">'[2]energy$'!$A$3</definedName>
    <definedName name="equip_cost_CCHP_space">'Tier III incentives'!$C$5</definedName>
    <definedName name="equip_cost_EV">[2]EV!$C$3</definedName>
    <definedName name="equip_cost_ICE">[2]EV!$B$3</definedName>
    <definedName name="equip_cost_trend_CCHP">'Tier III incentives'!$C$7</definedName>
    <definedName name="equip_cost_trend_EV">[2]EV!$C$4</definedName>
    <definedName name="equip_cost_trend_ICE">[2]EV!$B$4</definedName>
    <definedName name="EV_incentive_escalation">assumptions!$D$36</definedName>
    <definedName name="EV_LMP_multiplier">assumptions!$D$42</definedName>
    <definedName name="FCA_multiplier">'[2]ELC WS'!$A$3</definedName>
    <definedName name="FCA_multiplier_trend">'[2]ELC WS'!$A$4</definedName>
    <definedName name="FCM_coincidence">assumptions!$D$46</definedName>
    <definedName name="FF_price_case">'[2]energy$'!$A$13</definedName>
    <definedName name="FF_price_high_case_assumption">'[2]energy$'!$A$11</definedName>
    <definedName name="FF_price_htg_cum_chg">[2]AEO!#REF!</definedName>
    <definedName name="FF_price_htg_trend">'[2]energy$'!$A$7</definedName>
    <definedName name="FF_price_htg_yr1">'[2]energy$'!$A$5</definedName>
    <definedName name="FF_price_htg_yr2">'[2]energy$'!$C$13</definedName>
    <definedName name="FF_price_low_case_assumption">'[2]energy$'!$A$10</definedName>
    <definedName name="FF_price_trans_trend">'[2]energy$'!$A$8</definedName>
    <definedName name="FF_price_trans_yr1">'[2]energy$'!$A$6</definedName>
    <definedName name="FF_price_trans_yr2">'[2]energy$'!$C$14</definedName>
    <definedName name="FF_scenario">assumptions!$D$15</definedName>
    <definedName name="fuel_cons_trans_EV">'Tier III incentives'!$C$6</definedName>
    <definedName name="fuel_cons_trans_ICE">[2]EV!$B$6</definedName>
    <definedName name="High_FF_esc">assumptions!$D$18</definedName>
    <definedName name="htg_load_baseline_space">'Tier III incentives'!$B$3</definedName>
    <definedName name="htg_load_baseline_water">'Tier III incentives'!$B$4</definedName>
    <definedName name="htg_load_CCHP_backup">'Tier III incentives'!$C$12</definedName>
    <definedName name="htg_load_CCHP_space">'Tier III incentives'!$C$10</definedName>
    <definedName name="infl_rate">'[2]energy$'!$A$1</definedName>
    <definedName name="inflation_rate">assumptions!$D$5</definedName>
    <definedName name="LMP_mult_CCHP_clg">[2]CCHP!$C$21</definedName>
    <definedName name="LMP_mult_CCHP_htg">[2]CCHP!$C$20</definedName>
    <definedName name="LMP_mult_EV">[2]EV!$C$12</definedName>
    <definedName name="LMP_trend">'[2]ELC WS'!$A$1</definedName>
    <definedName name="losses_yr1">[1]user_inputs!$A$50</definedName>
    <definedName name="Low_FF_esc">assumptions!$D$16</definedName>
    <definedName name="maint_cost_trans_yr1_EV">[2]EV!$C$8</definedName>
    <definedName name="maint_cost_trans_yr1_ICE">[2]EV!$B$8</definedName>
    <definedName name="Mid_FF_esc">assumptions!$D$17</definedName>
    <definedName name="NM_escalation">assumptions!$D$9</definedName>
    <definedName name="NM_growth">'[2]T1&amp;2'!$M$1</definedName>
    <definedName name="overhead_escalation">assumptions!$D$49</definedName>
    <definedName name="peak_contributino_VT_CCHP">[2]CCHP!$C$22</definedName>
    <definedName name="peak_contribution_NE_CCHP">[2]CCHP!$C$23</definedName>
    <definedName name="pk_contribution_NE_EV">[2]EV!$C$14</definedName>
    <definedName name="pk_contribution_VT_EV">[2]EV!$C$13</definedName>
    <definedName name="_xlnm.Print_Area" localSheetId="2">assumptions!$A$1:$K$49</definedName>
    <definedName name="_xlnm.Print_Area" localSheetId="5">impact!$B$33:$N$41</definedName>
    <definedName name="REC_scenario">assumptions!$D$10</definedName>
    <definedName name="Retail_Rate_escalation">assumptions!$D$13</definedName>
    <definedName name="Retail_Rate_yr1">assumptions!$D$12</definedName>
    <definedName name="RNS_coincidence">assumptions!$D$45</definedName>
    <definedName name="RNS_trend">'[2]ELC WS'!$A$2</definedName>
    <definedName name="seasonal_COP">[2]CCHP!#REF!</definedName>
    <definedName name="T1_cost_projection">'[2]RE gen'!$J$6:$J$15</definedName>
    <definedName name="T1_cost_trend">'[2]RE gen'!$I$1</definedName>
    <definedName name="T1_cost_yr1">'[2]RE gen'!$B$1</definedName>
    <definedName name="T2_cost_projection">'[2]RE gen'!$K$6:$K$15</definedName>
    <definedName name="T2_cost_trend">'[2]RE gen'!$I$2</definedName>
    <definedName name="T2_cost_yr1">'[2]RE gen'!$B$3</definedName>
    <definedName name="T3_credit_CCHP_space">[2]CCHP!$C$17</definedName>
    <definedName name="T3_credit_EV">[2]EV!$C$10</definedName>
    <definedName name="T3_share_CCHP">[2]COS!$J$3</definedName>
    <definedName name="T3_share_EV">[2]COS!$K$3</definedName>
    <definedName name="Tier3_Overhead">assumptions!$D$48</definedName>
    <definedName name="UEC_CCHP_clg">[2]CCHP!$C$15</definedName>
    <definedName name="UEC_CCHP_htg_space">[2]CCHP!$C$13</definedName>
    <definedName name="UEC_EV">[2]EV!$C$9</definedName>
    <definedName name="UEC_window_clg">'Tier III incentives'!$B$16</definedName>
    <definedName name="wholesale_cost_trend">'[2]ELC WS'!$H$20</definedName>
    <definedName name="wx_incentive_escalation">assumptions!$D$37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2" i="16" l="1"/>
  <c r="H32" i="16"/>
  <c r="D32" i="16" s="1"/>
  <c r="G32" i="16"/>
  <c r="H31" i="16"/>
  <c r="G31" i="16"/>
  <c r="I31" i="16"/>
  <c r="M6" i="8" l="1"/>
  <c r="D6" i="8"/>
  <c r="O6" i="8"/>
  <c r="G41" i="1"/>
  <c r="H41" i="1"/>
  <c r="I41" i="1"/>
  <c r="J41" i="1"/>
  <c r="K41" i="1" s="1"/>
  <c r="L41" i="1" s="1"/>
  <c r="M41" i="1" s="1"/>
  <c r="N41" i="1" s="1"/>
  <c r="O41" i="1" s="1"/>
  <c r="F41" i="1"/>
  <c r="F19" i="1" s="1"/>
  <c r="F35" i="6"/>
  <c r="E36" i="6"/>
  <c r="E29" i="6"/>
  <c r="E41" i="1"/>
  <c r="E19" i="1" s="1"/>
  <c r="D6" i="6" s="1"/>
  <c r="E6" i="6" l="1"/>
  <c r="H32" i="6" l="1"/>
  <c r="D8" i="6"/>
  <c r="D42" i="1" l="1"/>
  <c r="D40" i="1"/>
  <c r="E40" i="1" s="1"/>
  <c r="F40" i="1" s="1"/>
  <c r="G40" i="1" s="1"/>
  <c r="H40" i="1" s="1"/>
  <c r="I40" i="1" s="1"/>
  <c r="J40" i="1" s="1"/>
  <c r="K40" i="1" s="1"/>
  <c r="L40" i="1" s="1"/>
  <c r="M40" i="1" s="1"/>
  <c r="N40" i="1" s="1"/>
  <c r="O40" i="1" s="1"/>
  <c r="D31" i="16" l="1"/>
  <c r="N34" i="6"/>
  <c r="E9" i="7"/>
  <c r="E12" i="7"/>
  <c r="E13" i="7"/>
  <c r="E15" i="7" s="1"/>
  <c r="E14" i="7"/>
  <c r="E17" i="7"/>
  <c r="E23" i="7"/>
  <c r="E24" i="7"/>
  <c r="E36" i="7"/>
  <c r="E37" i="7"/>
  <c r="E39" i="7"/>
  <c r="O40" i="9"/>
  <c r="O41" i="9"/>
  <c r="O42" i="9"/>
  <c r="O43" i="9"/>
  <c r="E28" i="16"/>
  <c r="E27" i="16"/>
  <c r="E32" i="16"/>
  <c r="E30" i="13"/>
  <c r="E48" i="6"/>
  <c r="E31" i="16" l="1"/>
  <c r="E18" i="7"/>
  <c r="F12" i="7"/>
  <c r="D17" i="1"/>
  <c r="D18" i="1" l="1"/>
  <c r="D29" i="6" l="1"/>
  <c r="D30" i="6"/>
  <c r="D31" i="6"/>
  <c r="D32" i="6"/>
  <c r="E37" i="6"/>
  <c r="F36" i="6"/>
  <c r="G36" i="6" s="1"/>
  <c r="H36" i="6" s="1"/>
  <c r="I36" i="6" s="1"/>
  <c r="J36" i="6" s="1"/>
  <c r="K36" i="6" s="1"/>
  <c r="L36" i="6" s="1"/>
  <c r="M36" i="6" s="1"/>
  <c r="N36" i="6" s="1"/>
  <c r="G35" i="6"/>
  <c r="H35" i="6" s="1"/>
  <c r="I35" i="6" s="1"/>
  <c r="J35" i="6" s="1"/>
  <c r="K35" i="6" s="1"/>
  <c r="L35" i="6" s="1"/>
  <c r="M35" i="6" s="1"/>
  <c r="N35" i="6" s="1"/>
  <c r="F37" i="6" l="1"/>
  <c r="G37" i="6" s="1"/>
  <c r="H37" i="6" s="1"/>
  <c r="I37" i="6" s="1"/>
  <c r="J37" i="6" s="1"/>
  <c r="K37" i="6" s="1"/>
  <c r="L37" i="6" s="1"/>
  <c r="M37" i="6" s="1"/>
  <c r="N37" i="6" s="1"/>
  <c r="E32" i="6"/>
  <c r="N4" i="8"/>
  <c r="O4" i="8"/>
  <c r="M4" i="8"/>
  <c r="N3" i="11"/>
  <c r="D4" i="8"/>
  <c r="B52" i="11" l="1"/>
  <c r="B55" i="11"/>
  <c r="F33" i="11" l="1"/>
  <c r="D33" i="11"/>
  <c r="D19" i="11"/>
  <c r="E19" i="11"/>
  <c r="F19" i="11"/>
  <c r="C19" i="11"/>
  <c r="D28" i="8" l="1"/>
  <c r="E3" i="11"/>
  <c r="E4" i="11"/>
  <c r="E5" i="11"/>
  <c r="E6" i="11"/>
  <c r="E7" i="11"/>
  <c r="E8" i="11"/>
  <c r="E9" i="11"/>
  <c r="E2" i="11"/>
  <c r="Q111" i="19"/>
  <c r="N111" i="19"/>
  <c r="O111" i="19" s="1"/>
  <c r="P111" i="19" s="1"/>
  <c r="L111" i="19"/>
  <c r="K111" i="19"/>
  <c r="H110" i="19"/>
  <c r="G110" i="19"/>
  <c r="H109" i="19"/>
  <c r="G109" i="19"/>
  <c r="H108" i="19"/>
  <c r="G108" i="19"/>
  <c r="Q108" i="19" s="1"/>
  <c r="H107" i="19"/>
  <c r="G107" i="19"/>
  <c r="Q107" i="19" s="1"/>
  <c r="H106" i="19"/>
  <c r="G106" i="19"/>
  <c r="Q105" i="19"/>
  <c r="H105" i="19"/>
  <c r="G105" i="19"/>
  <c r="H104" i="19"/>
  <c r="G104" i="19"/>
  <c r="Q104" i="19" s="1"/>
  <c r="H103" i="19"/>
  <c r="G103" i="19"/>
  <c r="Q103" i="19" s="1"/>
  <c r="H102" i="19"/>
  <c r="G102" i="19"/>
  <c r="Q101" i="19"/>
  <c r="H101" i="19"/>
  <c r="G101" i="19"/>
  <c r="H100" i="19"/>
  <c r="G100" i="19"/>
  <c r="Q100" i="19" s="1"/>
  <c r="H99" i="19"/>
  <c r="G99" i="19"/>
  <c r="Q99" i="19" s="1"/>
  <c r="H98" i="19"/>
  <c r="G98" i="19"/>
  <c r="Q97" i="19"/>
  <c r="H97" i="19"/>
  <c r="G97" i="19"/>
  <c r="H96" i="19"/>
  <c r="G96" i="19"/>
  <c r="Q96" i="19" s="1"/>
  <c r="H95" i="19"/>
  <c r="G95" i="19"/>
  <c r="Q95" i="19" s="1"/>
  <c r="H94" i="19"/>
  <c r="G94" i="19"/>
  <c r="Q93" i="19"/>
  <c r="H93" i="19"/>
  <c r="G93" i="19"/>
  <c r="H92" i="19"/>
  <c r="G92" i="19"/>
  <c r="Q92" i="19" s="1"/>
  <c r="H91" i="19"/>
  <c r="G91" i="19"/>
  <c r="Q91" i="19" s="1"/>
  <c r="H90" i="19"/>
  <c r="G90" i="19"/>
  <c r="Q89" i="19"/>
  <c r="H89" i="19"/>
  <c r="G89" i="19"/>
  <c r="H88" i="19"/>
  <c r="G88" i="19"/>
  <c r="Q88" i="19" s="1"/>
  <c r="H87" i="19"/>
  <c r="G87" i="19"/>
  <c r="Q87" i="19" s="1"/>
  <c r="H86" i="19"/>
  <c r="G86" i="19"/>
  <c r="Q86" i="19" s="1"/>
  <c r="H85" i="19"/>
  <c r="G85" i="19"/>
  <c r="H84" i="19"/>
  <c r="G84" i="19"/>
  <c r="Q84" i="19" s="1"/>
  <c r="Q83" i="19"/>
  <c r="H83" i="19"/>
  <c r="G83" i="19"/>
  <c r="Q82" i="19"/>
  <c r="H82" i="19"/>
  <c r="G82" i="19"/>
  <c r="Q81" i="19"/>
  <c r="H81" i="19"/>
  <c r="G81" i="19"/>
  <c r="H80" i="19"/>
  <c r="G80" i="19"/>
  <c r="Q80" i="19" s="1"/>
  <c r="H79" i="19"/>
  <c r="G79" i="19"/>
  <c r="Q79" i="19" s="1"/>
  <c r="H78" i="19"/>
  <c r="G78" i="19"/>
  <c r="Q78" i="19" s="1"/>
  <c r="Q77" i="19"/>
  <c r="N77" i="19"/>
  <c r="O77" i="19" s="1"/>
  <c r="P77" i="19" s="1"/>
  <c r="L77" i="19"/>
  <c r="K77" i="19"/>
  <c r="Q76" i="19"/>
  <c r="O76" i="19"/>
  <c r="P76" i="19" s="1"/>
  <c r="K76" i="19"/>
  <c r="N76" i="19" s="1"/>
  <c r="Q75" i="19"/>
  <c r="N75" i="19"/>
  <c r="O75" i="19" s="1"/>
  <c r="P75" i="19" s="1"/>
  <c r="K75" i="19"/>
  <c r="L75" i="19" s="1"/>
  <c r="H74" i="19"/>
  <c r="G74" i="19"/>
  <c r="H73" i="19"/>
  <c r="G73" i="19"/>
  <c r="Q72" i="19"/>
  <c r="G72" i="19"/>
  <c r="G71" i="19"/>
  <c r="Q70" i="19"/>
  <c r="G70" i="19"/>
  <c r="G69" i="19"/>
  <c r="H68" i="19"/>
  <c r="G68" i="19"/>
  <c r="H67" i="19"/>
  <c r="G67" i="19"/>
  <c r="H66" i="19"/>
  <c r="G66" i="19"/>
  <c r="H65" i="19"/>
  <c r="G65" i="19"/>
  <c r="Q64" i="19"/>
  <c r="H64" i="19"/>
  <c r="G64" i="19"/>
  <c r="D64" i="19"/>
  <c r="Q63" i="19"/>
  <c r="G63" i="19"/>
  <c r="D63" i="19"/>
  <c r="H63" i="19" s="1"/>
  <c r="Q62" i="19"/>
  <c r="H62" i="19"/>
  <c r="G62" i="19"/>
  <c r="D62" i="19"/>
  <c r="Q61" i="19"/>
  <c r="G61" i="19"/>
  <c r="D61" i="19"/>
  <c r="H61" i="19" s="1"/>
  <c r="Q60" i="19"/>
  <c r="N60" i="19"/>
  <c r="O60" i="19" s="1"/>
  <c r="P60" i="19" s="1"/>
  <c r="H60" i="19"/>
  <c r="G60" i="19"/>
  <c r="K60" i="19" s="1"/>
  <c r="L60" i="19" s="1"/>
  <c r="F60" i="19"/>
  <c r="D60" i="19"/>
  <c r="Q59" i="19"/>
  <c r="K59" i="19"/>
  <c r="N59" i="19" s="1"/>
  <c r="O59" i="19" s="1"/>
  <c r="P59" i="19" s="1"/>
  <c r="G59" i="19"/>
  <c r="F59" i="19"/>
  <c r="D59" i="19"/>
  <c r="H59" i="19" s="1"/>
  <c r="N58" i="19"/>
  <c r="O58" i="19" s="1"/>
  <c r="P58" i="19" s="1"/>
  <c r="G58" i="19"/>
  <c r="K58" i="19" s="1"/>
  <c r="L58" i="19" s="1"/>
  <c r="D58" i="19"/>
  <c r="H58" i="19" s="1"/>
  <c r="K57" i="19"/>
  <c r="H57" i="19"/>
  <c r="G57" i="19"/>
  <c r="Q57" i="19" s="1"/>
  <c r="D57" i="19"/>
  <c r="Q56" i="19"/>
  <c r="H56" i="19"/>
  <c r="G56" i="19"/>
  <c r="Q55" i="19"/>
  <c r="H55" i="19"/>
  <c r="G55" i="19"/>
  <c r="Q54" i="19"/>
  <c r="H54" i="19"/>
  <c r="G54" i="19"/>
  <c r="H53" i="19"/>
  <c r="G53" i="19"/>
  <c r="Q53" i="19" s="1"/>
  <c r="H52" i="19"/>
  <c r="G52" i="19"/>
  <c r="H51" i="19"/>
  <c r="G51" i="19"/>
  <c r="H50" i="19"/>
  <c r="G50" i="19"/>
  <c r="Q50" i="19" s="1"/>
  <c r="H49" i="19"/>
  <c r="G49" i="19"/>
  <c r="Q49" i="19" s="1"/>
  <c r="H48" i="19"/>
  <c r="G48" i="19"/>
  <c r="H47" i="19"/>
  <c r="G47" i="19"/>
  <c r="H46" i="19"/>
  <c r="G46" i="19"/>
  <c r="Q46" i="19" s="1"/>
  <c r="H45" i="19"/>
  <c r="G45" i="19"/>
  <c r="Q45" i="19" s="1"/>
  <c r="H44" i="19"/>
  <c r="G44" i="19"/>
  <c r="Q43" i="19"/>
  <c r="H43" i="19"/>
  <c r="G43" i="19"/>
  <c r="H42" i="19"/>
  <c r="G42" i="19"/>
  <c r="Q42" i="19" s="1"/>
  <c r="H41" i="19"/>
  <c r="G41" i="19"/>
  <c r="Q41" i="19" s="1"/>
  <c r="H40" i="19"/>
  <c r="G40" i="19"/>
  <c r="Q39" i="19"/>
  <c r="H39" i="19"/>
  <c r="G39" i="19"/>
  <c r="H38" i="19"/>
  <c r="G38" i="19"/>
  <c r="Q38" i="19" s="1"/>
  <c r="H37" i="19"/>
  <c r="G37" i="19"/>
  <c r="Q37" i="19" s="1"/>
  <c r="H36" i="19"/>
  <c r="G36" i="19"/>
  <c r="Q36" i="19" s="1"/>
  <c r="H35" i="19"/>
  <c r="G35" i="19"/>
  <c r="Q35" i="19" s="1"/>
  <c r="H34" i="19"/>
  <c r="G34" i="19"/>
  <c r="H33" i="19"/>
  <c r="G33" i="19"/>
  <c r="Q33" i="19" s="1"/>
  <c r="H32" i="19"/>
  <c r="G32" i="19"/>
  <c r="Q32" i="19" s="1"/>
  <c r="H31" i="19"/>
  <c r="G31" i="19"/>
  <c r="Q31" i="19" s="1"/>
  <c r="H30" i="19"/>
  <c r="G30" i="19"/>
  <c r="H29" i="19"/>
  <c r="G29" i="19"/>
  <c r="Q29" i="19" s="1"/>
  <c r="H28" i="19"/>
  <c r="G28" i="19"/>
  <c r="Q28" i="19" s="1"/>
  <c r="H27" i="19"/>
  <c r="G27" i="19"/>
  <c r="Q27" i="19" s="1"/>
  <c r="H26" i="19"/>
  <c r="G26" i="19"/>
  <c r="H25" i="19"/>
  <c r="G25" i="19"/>
  <c r="Q25" i="19" s="1"/>
  <c r="H24" i="19"/>
  <c r="G24" i="19"/>
  <c r="Q24" i="19" s="1"/>
  <c r="H23" i="19"/>
  <c r="G23" i="19"/>
  <c r="Q23" i="19" s="1"/>
  <c r="H22" i="19"/>
  <c r="G22" i="19"/>
  <c r="H21" i="19"/>
  <c r="G21" i="19"/>
  <c r="Q21" i="19" s="1"/>
  <c r="H20" i="19"/>
  <c r="G20" i="19"/>
  <c r="Q20" i="19" s="1"/>
  <c r="H19" i="19"/>
  <c r="G19" i="19"/>
  <c r="Q19" i="19" s="1"/>
  <c r="H18" i="19"/>
  <c r="G18" i="19"/>
  <c r="H17" i="19"/>
  <c r="G17" i="19"/>
  <c r="Q17" i="19" s="1"/>
  <c r="H16" i="19"/>
  <c r="G16" i="19"/>
  <c r="Q16" i="19" s="1"/>
  <c r="H15" i="19"/>
  <c r="G15" i="19"/>
  <c r="Q15" i="19" s="1"/>
  <c r="H14" i="19"/>
  <c r="G14" i="19"/>
  <c r="H13" i="19"/>
  <c r="G13" i="19"/>
  <c r="Q13" i="19" s="1"/>
  <c r="H12" i="19"/>
  <c r="G12" i="19"/>
  <c r="Q12" i="19" s="1"/>
  <c r="H11" i="19"/>
  <c r="G11" i="19"/>
  <c r="Q11" i="19" s="1"/>
  <c r="H10" i="19"/>
  <c r="G10" i="19"/>
  <c r="H9" i="19"/>
  <c r="G9" i="19"/>
  <c r="Q9" i="19" s="1"/>
  <c r="H8" i="19"/>
  <c r="G8" i="19"/>
  <c r="Q8" i="19" s="1"/>
  <c r="H7" i="19"/>
  <c r="G7" i="19"/>
  <c r="Q7" i="19" s="1"/>
  <c r="H6" i="19"/>
  <c r="G6" i="19"/>
  <c r="H5" i="19"/>
  <c r="G5" i="19"/>
  <c r="Q5" i="19" s="1"/>
  <c r="H4" i="19"/>
  <c r="G4" i="19"/>
  <c r="Q4" i="19" s="1"/>
  <c r="H3" i="19"/>
  <c r="G3" i="19"/>
  <c r="Q3" i="19" s="1"/>
  <c r="C10" i="11"/>
  <c r="L59" i="19" l="1"/>
  <c r="Q6" i="19"/>
  <c r="Q10" i="19"/>
  <c r="Q22" i="19"/>
  <c r="Q30" i="19"/>
  <c r="L57" i="19"/>
  <c r="N57" i="19"/>
  <c r="O57" i="19" s="1"/>
  <c r="P57" i="19" s="1"/>
  <c r="Q73" i="19"/>
  <c r="Q74" i="19"/>
  <c r="Q90" i="19"/>
  <c r="Q106" i="19"/>
  <c r="Q110" i="19"/>
  <c r="Q52" i="19"/>
  <c r="Q94" i="19"/>
  <c r="Q40" i="19"/>
  <c r="Q44" i="19"/>
  <c r="Q48" i="19"/>
  <c r="Q65" i="19"/>
  <c r="Q66" i="19"/>
  <c r="Q69" i="19"/>
  <c r="Q98" i="19"/>
  <c r="Q14" i="19"/>
  <c r="Q18" i="19"/>
  <c r="Q26" i="19"/>
  <c r="Q34" i="19"/>
  <c r="Q71" i="19"/>
  <c r="Q47" i="19"/>
  <c r="Q51" i="19"/>
  <c r="Q85" i="19"/>
  <c r="Q102" i="19"/>
  <c r="Q58" i="19"/>
  <c r="L76" i="19"/>
  <c r="Q109" i="19"/>
  <c r="J87" i="19" l="1"/>
  <c r="K87" i="19" s="1"/>
  <c r="J109" i="19" l="1"/>
  <c r="K109" i="19" s="1"/>
  <c r="J103" i="19"/>
  <c r="K103" i="19" s="1"/>
  <c r="J101" i="19"/>
  <c r="K101" i="19" s="1"/>
  <c r="J93" i="19"/>
  <c r="K93" i="19" s="1"/>
  <c r="J100" i="19"/>
  <c r="K100" i="19" s="1"/>
  <c r="J106" i="19"/>
  <c r="K106" i="19" s="1"/>
  <c r="J104" i="19"/>
  <c r="K104" i="19" s="1"/>
  <c r="J98" i="19"/>
  <c r="K98" i="19" s="1"/>
  <c r="J90" i="19"/>
  <c r="K90" i="19" s="1"/>
  <c r="J92" i="19"/>
  <c r="K92" i="19" s="1"/>
  <c r="J107" i="19"/>
  <c r="K107" i="19" s="1"/>
  <c r="J105" i="19"/>
  <c r="K105" i="19" s="1"/>
  <c r="J99" i="19"/>
  <c r="K99" i="19" s="1"/>
  <c r="J91" i="19"/>
  <c r="K91" i="19" s="1"/>
  <c r="J89" i="19"/>
  <c r="K89" i="19" s="1"/>
  <c r="J108" i="19"/>
  <c r="K108" i="19" s="1"/>
  <c r="J102" i="19"/>
  <c r="K102" i="19" s="1"/>
  <c r="J94" i="19"/>
  <c r="K94" i="19" s="1"/>
  <c r="J110" i="19"/>
  <c r="K110" i="19" s="1"/>
  <c r="J50" i="19"/>
  <c r="K50" i="19" s="1"/>
  <c r="J44" i="19"/>
  <c r="K44" i="19" s="1"/>
  <c r="J41" i="19"/>
  <c r="K41" i="19" s="1"/>
  <c r="J39" i="19"/>
  <c r="K39" i="19" s="1"/>
  <c r="J34" i="19"/>
  <c r="K34" i="19" s="1"/>
  <c r="J29" i="19"/>
  <c r="K29" i="19" s="1"/>
  <c r="J24" i="19"/>
  <c r="K24" i="19" s="1"/>
  <c r="J23" i="19"/>
  <c r="K23" i="19" s="1"/>
  <c r="J18" i="19"/>
  <c r="K18" i="19" s="1"/>
  <c r="J13" i="19"/>
  <c r="K13" i="19" s="1"/>
  <c r="J8" i="19"/>
  <c r="K8" i="19" s="1"/>
  <c r="J7" i="19"/>
  <c r="K7" i="19" s="1"/>
  <c r="J3" i="19"/>
  <c r="K3" i="19" s="1"/>
  <c r="J40" i="19"/>
  <c r="K40" i="19" s="1"/>
  <c r="J27" i="19"/>
  <c r="K27" i="19" s="1"/>
  <c r="J17" i="19"/>
  <c r="K17" i="19" s="1"/>
  <c r="J11" i="19"/>
  <c r="K11" i="19" s="1"/>
  <c r="J6" i="19"/>
  <c r="K6" i="19" s="1"/>
  <c r="J45" i="19"/>
  <c r="K45" i="19" s="1"/>
  <c r="J43" i="19"/>
  <c r="K43" i="19" s="1"/>
  <c r="J42" i="19"/>
  <c r="K42" i="19" s="1"/>
  <c r="J36" i="19"/>
  <c r="K36" i="19" s="1"/>
  <c r="J35" i="19"/>
  <c r="K35" i="19" s="1"/>
  <c r="J30" i="19"/>
  <c r="K30" i="19" s="1"/>
  <c r="J25" i="19"/>
  <c r="K25" i="19" s="1"/>
  <c r="J20" i="19"/>
  <c r="K20" i="19" s="1"/>
  <c r="J19" i="19"/>
  <c r="K19" i="19" s="1"/>
  <c r="J14" i="19"/>
  <c r="K14" i="19" s="1"/>
  <c r="J9" i="19"/>
  <c r="K9" i="19" s="1"/>
  <c r="J4" i="19"/>
  <c r="K4" i="19" s="1"/>
  <c r="J33" i="19"/>
  <c r="K33" i="19" s="1"/>
  <c r="J12" i="19"/>
  <c r="K12" i="19" s="1"/>
  <c r="J48" i="19"/>
  <c r="K48" i="19" s="1"/>
  <c r="J47" i="19"/>
  <c r="K47" i="19" s="1"/>
  <c r="J46" i="19"/>
  <c r="K46" i="19" s="1"/>
  <c r="J37" i="19"/>
  <c r="K37" i="19" s="1"/>
  <c r="J32" i="19"/>
  <c r="K32" i="19" s="1"/>
  <c r="J31" i="19"/>
  <c r="K31" i="19" s="1"/>
  <c r="J26" i="19"/>
  <c r="K26" i="19" s="1"/>
  <c r="J21" i="19"/>
  <c r="K21" i="19" s="1"/>
  <c r="J16" i="19"/>
  <c r="K16" i="19" s="1"/>
  <c r="J15" i="19"/>
  <c r="K15" i="19" s="1"/>
  <c r="J10" i="19"/>
  <c r="K10" i="19" s="1"/>
  <c r="J5" i="19"/>
  <c r="K5" i="19" s="1"/>
  <c r="J49" i="19"/>
  <c r="K49" i="19" s="1"/>
  <c r="J38" i="19"/>
  <c r="K38" i="19" s="1"/>
  <c r="J28" i="19"/>
  <c r="K28" i="19" s="1"/>
  <c r="J22" i="19"/>
  <c r="K22" i="19" s="1"/>
  <c r="J65" i="19"/>
  <c r="K65" i="19" s="1"/>
  <c r="J74" i="19"/>
  <c r="K74" i="19" s="1"/>
  <c r="J68" i="19"/>
  <c r="K68" i="19" s="1"/>
  <c r="J66" i="19"/>
  <c r="K66" i="19" s="1"/>
  <c r="J67" i="19"/>
  <c r="K67" i="19" s="1"/>
  <c r="J86" i="19"/>
  <c r="K86" i="19" s="1"/>
  <c r="L87" i="19"/>
  <c r="N87" i="19"/>
  <c r="O87" i="19" s="1"/>
  <c r="P87" i="19" s="1"/>
  <c r="J56" i="19"/>
  <c r="K56" i="19" s="1"/>
  <c r="J52" i="19"/>
  <c r="K52" i="19" s="1"/>
  <c r="J51" i="19"/>
  <c r="K51" i="19" s="1"/>
  <c r="J55" i="19"/>
  <c r="K55" i="19" s="1"/>
  <c r="J54" i="19"/>
  <c r="K54" i="19" s="1"/>
  <c r="J53" i="19"/>
  <c r="K53" i="19" s="1"/>
  <c r="J95" i="19"/>
  <c r="K95" i="19" s="1"/>
  <c r="J96" i="19"/>
  <c r="K96" i="19" s="1"/>
  <c r="J64" i="19"/>
  <c r="K64" i="19" s="1"/>
  <c r="J63" i="19"/>
  <c r="K63" i="19" s="1"/>
  <c r="J82" i="19"/>
  <c r="K82" i="19" s="1"/>
  <c r="J83" i="19"/>
  <c r="K83" i="19" s="1"/>
  <c r="J62" i="19"/>
  <c r="K62" i="19" s="1"/>
  <c r="J85" i="19"/>
  <c r="K85" i="19" s="1"/>
  <c r="J84" i="19"/>
  <c r="K84" i="19" s="1"/>
  <c r="J61" i="19"/>
  <c r="K61" i="19" s="1"/>
  <c r="J81" i="19"/>
  <c r="K81" i="19" s="1"/>
  <c r="J73" i="19"/>
  <c r="K73" i="19" s="1"/>
  <c r="J72" i="19"/>
  <c r="K72" i="19" s="1"/>
  <c r="J69" i="19"/>
  <c r="K69" i="19" s="1"/>
  <c r="J78" i="19"/>
  <c r="K78" i="19" s="1"/>
  <c r="J70" i="19"/>
  <c r="K70" i="19" s="1"/>
  <c r="J80" i="19"/>
  <c r="K80" i="19" s="1"/>
  <c r="J79" i="19"/>
  <c r="K79" i="19" s="1"/>
  <c r="J71" i="19"/>
  <c r="K71" i="19" s="1"/>
  <c r="J88" i="19"/>
  <c r="K88" i="19" s="1"/>
  <c r="J97" i="19"/>
  <c r="K97" i="19" s="1"/>
  <c r="N97" i="19" l="1"/>
  <c r="O97" i="19" s="1"/>
  <c r="P97" i="19" s="1"/>
  <c r="L97" i="19"/>
  <c r="N79" i="19"/>
  <c r="O79" i="19" s="1"/>
  <c r="P79" i="19" s="1"/>
  <c r="L79" i="19"/>
  <c r="N69" i="19"/>
  <c r="O69" i="19" s="1"/>
  <c r="P69" i="19" s="1"/>
  <c r="L69" i="19"/>
  <c r="N61" i="19"/>
  <c r="O61" i="19" s="1"/>
  <c r="P61" i="19" s="1"/>
  <c r="L61" i="19"/>
  <c r="L83" i="19"/>
  <c r="N83" i="19"/>
  <c r="O83" i="19" s="1"/>
  <c r="P83" i="19" s="1"/>
  <c r="L96" i="19"/>
  <c r="N96" i="19"/>
  <c r="O96" i="19" s="1"/>
  <c r="P96" i="19" s="1"/>
  <c r="N55" i="19"/>
  <c r="O55" i="19" s="1"/>
  <c r="P55" i="19" s="1"/>
  <c r="L55" i="19"/>
  <c r="N66" i="19"/>
  <c r="O66" i="19" s="1"/>
  <c r="P66" i="19" s="1"/>
  <c r="L66" i="19"/>
  <c r="N22" i="19"/>
  <c r="O22" i="19" s="1"/>
  <c r="P22" i="19" s="1"/>
  <c r="L22" i="19"/>
  <c r="L5" i="19"/>
  <c r="N5" i="19"/>
  <c r="L21" i="19"/>
  <c r="N21" i="19"/>
  <c r="N37" i="19"/>
  <c r="O37" i="19" s="1"/>
  <c r="P37" i="19" s="1"/>
  <c r="L37" i="19"/>
  <c r="L12" i="19"/>
  <c r="N12" i="19"/>
  <c r="O12" i="19" s="1"/>
  <c r="P12" i="19" s="1"/>
  <c r="L14" i="19"/>
  <c r="N14" i="19"/>
  <c r="O14" i="19" s="1"/>
  <c r="P14" i="19" s="1"/>
  <c r="N30" i="19"/>
  <c r="O30" i="19" s="1"/>
  <c r="P30" i="19" s="1"/>
  <c r="L30" i="19"/>
  <c r="N43" i="19"/>
  <c r="O43" i="19" s="1"/>
  <c r="P43" i="19" s="1"/>
  <c r="L43" i="19"/>
  <c r="N17" i="19"/>
  <c r="O17" i="19" s="1"/>
  <c r="P17" i="19" s="1"/>
  <c r="L17" i="19"/>
  <c r="N7" i="19"/>
  <c r="L7" i="19"/>
  <c r="N23" i="19"/>
  <c r="O23" i="19" s="1"/>
  <c r="P23" i="19" s="1"/>
  <c r="L23" i="19"/>
  <c r="N39" i="19"/>
  <c r="L39" i="19"/>
  <c r="L110" i="19"/>
  <c r="N110" i="19"/>
  <c r="O110" i="19" s="1"/>
  <c r="P110" i="19" s="1"/>
  <c r="L108" i="19"/>
  <c r="N108" i="19"/>
  <c r="O108" i="19" s="1"/>
  <c r="P108" i="19" s="1"/>
  <c r="N105" i="19"/>
  <c r="O105" i="19" s="1"/>
  <c r="P105" i="19" s="1"/>
  <c r="L105" i="19"/>
  <c r="N98" i="19"/>
  <c r="O98" i="19" s="1"/>
  <c r="P98" i="19" s="1"/>
  <c r="L98" i="19"/>
  <c r="N93" i="19"/>
  <c r="O93" i="19" s="1"/>
  <c r="P93" i="19" s="1"/>
  <c r="L93" i="19"/>
  <c r="N88" i="19"/>
  <c r="O88" i="19" s="1"/>
  <c r="P88" i="19" s="1"/>
  <c r="L88" i="19"/>
  <c r="L80" i="19"/>
  <c r="N80" i="19"/>
  <c r="O80" i="19" s="1"/>
  <c r="P80" i="19" s="1"/>
  <c r="N72" i="19"/>
  <c r="O72" i="19" s="1"/>
  <c r="P72" i="19" s="1"/>
  <c r="L72" i="19"/>
  <c r="N84" i="19"/>
  <c r="O84" i="19" s="1"/>
  <c r="P84" i="19" s="1"/>
  <c r="L84" i="19"/>
  <c r="N82" i="19"/>
  <c r="O82" i="19" s="1"/>
  <c r="P82" i="19" s="1"/>
  <c r="L82" i="19"/>
  <c r="N95" i="19"/>
  <c r="O95" i="19" s="1"/>
  <c r="P95" i="19" s="1"/>
  <c r="L95" i="19"/>
  <c r="N51" i="19"/>
  <c r="O51" i="19" s="1"/>
  <c r="P51" i="19" s="1"/>
  <c r="L51" i="19"/>
  <c r="L68" i="19"/>
  <c r="N68" i="19"/>
  <c r="O68" i="19" s="1"/>
  <c r="N28" i="19"/>
  <c r="O28" i="19" s="1"/>
  <c r="P28" i="19" s="1"/>
  <c r="L28" i="19"/>
  <c r="L10" i="19"/>
  <c r="N10" i="19"/>
  <c r="O10" i="19" s="1"/>
  <c r="P10" i="19" s="1"/>
  <c r="N26" i="19"/>
  <c r="O26" i="19" s="1"/>
  <c r="P26" i="19" s="1"/>
  <c r="L26" i="19"/>
  <c r="L46" i="19"/>
  <c r="N46" i="19"/>
  <c r="O46" i="19" s="1"/>
  <c r="P46" i="19" s="1"/>
  <c r="L33" i="19"/>
  <c r="N33" i="19"/>
  <c r="N19" i="19"/>
  <c r="O19" i="19" s="1"/>
  <c r="P19" i="19" s="1"/>
  <c r="L19" i="19"/>
  <c r="N35" i="19"/>
  <c r="O35" i="19" s="1"/>
  <c r="P35" i="19" s="1"/>
  <c r="L35" i="19"/>
  <c r="L45" i="19"/>
  <c r="N45" i="19"/>
  <c r="N27" i="19"/>
  <c r="L27" i="19"/>
  <c r="N8" i="19"/>
  <c r="O8" i="19" s="1"/>
  <c r="P8" i="19" s="1"/>
  <c r="L8" i="19"/>
  <c r="N24" i="19"/>
  <c r="O24" i="19" s="1"/>
  <c r="P24" i="19" s="1"/>
  <c r="L24" i="19"/>
  <c r="N41" i="19"/>
  <c r="O41" i="19" s="1"/>
  <c r="P41" i="19" s="1"/>
  <c r="L41" i="19"/>
  <c r="N89" i="19"/>
  <c r="O89" i="19" s="1"/>
  <c r="P89" i="19" s="1"/>
  <c r="L89" i="19"/>
  <c r="N107" i="19"/>
  <c r="O107" i="19" s="1"/>
  <c r="P107" i="19" s="1"/>
  <c r="L107" i="19"/>
  <c r="N104" i="19"/>
  <c r="O104" i="19" s="1"/>
  <c r="P104" i="19" s="1"/>
  <c r="L104" i="19"/>
  <c r="N101" i="19"/>
  <c r="O101" i="19" s="1"/>
  <c r="P101" i="19" s="1"/>
  <c r="L101" i="19"/>
  <c r="N70" i="19"/>
  <c r="O70" i="19" s="1"/>
  <c r="P70" i="19" s="1"/>
  <c r="L70" i="19"/>
  <c r="N73" i="19"/>
  <c r="O73" i="19" s="1"/>
  <c r="P73" i="19" s="1"/>
  <c r="L73" i="19"/>
  <c r="L85" i="19"/>
  <c r="N85" i="19"/>
  <c r="O85" i="19" s="1"/>
  <c r="P85" i="19" s="1"/>
  <c r="N63" i="19"/>
  <c r="O63" i="19" s="1"/>
  <c r="P63" i="19" s="1"/>
  <c r="L63" i="19"/>
  <c r="L53" i="19"/>
  <c r="N53" i="19"/>
  <c r="O53" i="19" s="1"/>
  <c r="P53" i="19" s="1"/>
  <c r="N52" i="19"/>
  <c r="O52" i="19" s="1"/>
  <c r="P52" i="19" s="1"/>
  <c r="L52" i="19"/>
  <c r="L86" i="19"/>
  <c r="N86" i="19"/>
  <c r="O86" i="19" s="1"/>
  <c r="P86" i="19" s="1"/>
  <c r="N74" i="19"/>
  <c r="O74" i="19" s="1"/>
  <c r="P74" i="19" s="1"/>
  <c r="L74" i="19"/>
  <c r="N38" i="19"/>
  <c r="O38" i="19" s="1"/>
  <c r="P38" i="19" s="1"/>
  <c r="L38" i="19"/>
  <c r="L15" i="19"/>
  <c r="N15" i="19"/>
  <c r="N31" i="19"/>
  <c r="O31" i="19" s="1"/>
  <c r="P31" i="19" s="1"/>
  <c r="L31" i="19"/>
  <c r="N47" i="19"/>
  <c r="O47" i="19" s="1"/>
  <c r="P47" i="19" s="1"/>
  <c r="L47" i="19"/>
  <c r="N4" i="19"/>
  <c r="L4" i="19"/>
  <c r="N20" i="19"/>
  <c r="O20" i="19" s="1"/>
  <c r="P20" i="19" s="1"/>
  <c r="L20" i="19"/>
  <c r="L36" i="19"/>
  <c r="N36" i="19"/>
  <c r="O36" i="19" s="1"/>
  <c r="P36" i="19" s="1"/>
  <c r="N6" i="19"/>
  <c r="L6" i="19"/>
  <c r="N40" i="19"/>
  <c r="O40" i="19" s="1"/>
  <c r="P40" i="19" s="1"/>
  <c r="L40" i="19"/>
  <c r="L13" i="19"/>
  <c r="N13" i="19"/>
  <c r="O13" i="19" s="1"/>
  <c r="P13" i="19" s="1"/>
  <c r="L29" i="19"/>
  <c r="N29" i="19"/>
  <c r="O29" i="19" s="1"/>
  <c r="P29" i="19" s="1"/>
  <c r="L44" i="19"/>
  <c r="N44" i="19"/>
  <c r="O44" i="19" s="1"/>
  <c r="P44" i="19" s="1"/>
  <c r="N94" i="19"/>
  <c r="O94" i="19" s="1"/>
  <c r="P94" i="19" s="1"/>
  <c r="L94" i="19"/>
  <c r="N91" i="19"/>
  <c r="O91" i="19" s="1"/>
  <c r="P91" i="19" s="1"/>
  <c r="L91" i="19"/>
  <c r="L92" i="19"/>
  <c r="N92" i="19"/>
  <c r="O92" i="19" s="1"/>
  <c r="P92" i="19" s="1"/>
  <c r="L106" i="19"/>
  <c r="N106" i="19"/>
  <c r="O106" i="19" s="1"/>
  <c r="P106" i="19" s="1"/>
  <c r="L103" i="19"/>
  <c r="N103" i="19"/>
  <c r="O103" i="19" s="1"/>
  <c r="P103" i="19" s="1"/>
  <c r="L71" i="19"/>
  <c r="N71" i="19"/>
  <c r="O71" i="19" s="1"/>
  <c r="P71" i="19" s="1"/>
  <c r="L78" i="19"/>
  <c r="N78" i="19"/>
  <c r="O78" i="19" s="1"/>
  <c r="P78" i="19" s="1"/>
  <c r="N81" i="19"/>
  <c r="O81" i="19" s="1"/>
  <c r="P81" i="19" s="1"/>
  <c r="L81" i="19"/>
  <c r="N62" i="19"/>
  <c r="O62" i="19" s="1"/>
  <c r="P62" i="19" s="1"/>
  <c r="L62" i="19"/>
  <c r="N64" i="19"/>
  <c r="O64" i="19" s="1"/>
  <c r="P64" i="19" s="1"/>
  <c r="L64" i="19"/>
  <c r="N54" i="19"/>
  <c r="O54" i="19" s="1"/>
  <c r="P54" i="19" s="1"/>
  <c r="L54" i="19"/>
  <c r="L56" i="19"/>
  <c r="N56" i="19"/>
  <c r="O56" i="19" s="1"/>
  <c r="P56" i="19" s="1"/>
  <c r="L67" i="19"/>
  <c r="N67" i="19"/>
  <c r="O67" i="19" s="1"/>
  <c r="L65" i="19"/>
  <c r="N65" i="19"/>
  <c r="O65" i="19" s="1"/>
  <c r="P65" i="19" s="1"/>
  <c r="L49" i="19"/>
  <c r="N49" i="19"/>
  <c r="O49" i="19" s="1"/>
  <c r="P49" i="19" s="1"/>
  <c r="N16" i="19"/>
  <c r="O16" i="19" s="1"/>
  <c r="P16" i="19" s="1"/>
  <c r="L16" i="19"/>
  <c r="L32" i="19"/>
  <c r="N32" i="19"/>
  <c r="O32" i="19" s="1"/>
  <c r="P32" i="19" s="1"/>
  <c r="L48" i="19"/>
  <c r="N48" i="19"/>
  <c r="O48" i="19" s="1"/>
  <c r="P48" i="19" s="1"/>
  <c r="L9" i="19"/>
  <c r="N9" i="19"/>
  <c r="L25" i="19"/>
  <c r="N25" i="19"/>
  <c r="O25" i="19" s="1"/>
  <c r="P25" i="19" s="1"/>
  <c r="L42" i="19"/>
  <c r="N42" i="19"/>
  <c r="O42" i="19" s="1"/>
  <c r="P42" i="19" s="1"/>
  <c r="L11" i="19"/>
  <c r="N11" i="19"/>
  <c r="O11" i="19" s="1"/>
  <c r="P11" i="19" s="1"/>
  <c r="L3" i="19"/>
  <c r="N3" i="19"/>
  <c r="N18" i="19"/>
  <c r="O18" i="19" s="1"/>
  <c r="P18" i="19" s="1"/>
  <c r="L18" i="19"/>
  <c r="N34" i="19"/>
  <c r="O34" i="19" s="1"/>
  <c r="P34" i="19" s="1"/>
  <c r="L34" i="19"/>
  <c r="L50" i="19"/>
  <c r="N50" i="19"/>
  <c r="O50" i="19" s="1"/>
  <c r="P50" i="19" s="1"/>
  <c r="N102" i="19"/>
  <c r="O102" i="19" s="1"/>
  <c r="P102" i="19" s="1"/>
  <c r="L102" i="19"/>
  <c r="N99" i="19"/>
  <c r="O99" i="19" s="1"/>
  <c r="P99" i="19" s="1"/>
  <c r="L99" i="19"/>
  <c r="N90" i="19"/>
  <c r="O90" i="19" s="1"/>
  <c r="P90" i="19" s="1"/>
  <c r="L90" i="19"/>
  <c r="N100" i="19"/>
  <c r="O100" i="19" s="1"/>
  <c r="P100" i="19" s="1"/>
  <c r="L100" i="19"/>
  <c r="N109" i="19"/>
  <c r="O109" i="19" s="1"/>
  <c r="P109" i="19" s="1"/>
  <c r="L109" i="19"/>
  <c r="F2" i="11" l="1"/>
  <c r="O3" i="19"/>
  <c r="P3" i="19"/>
  <c r="O9" i="19"/>
  <c r="P9" i="19" s="1"/>
  <c r="F3" i="11"/>
  <c r="O33" i="19"/>
  <c r="P33" i="19" s="1"/>
  <c r="F7" i="11"/>
  <c r="P5" i="19"/>
  <c r="O5" i="19"/>
  <c r="P4" i="19"/>
  <c r="O4" i="19"/>
  <c r="O27" i="19"/>
  <c r="P27" i="19" s="1"/>
  <c r="F6" i="11"/>
  <c r="O39" i="19"/>
  <c r="P39" i="19" s="1"/>
  <c r="F8" i="11"/>
  <c r="O7" i="19"/>
  <c r="P7" i="19"/>
  <c r="O15" i="19"/>
  <c r="P15" i="19" s="1"/>
  <c r="F4" i="11"/>
  <c r="O45" i="19"/>
  <c r="P45" i="19" s="1"/>
  <c r="F9" i="11"/>
  <c r="O21" i="19"/>
  <c r="P21" i="19" s="1"/>
  <c r="F5" i="11"/>
  <c r="P6" i="19"/>
  <c r="O6" i="19"/>
  <c r="D14" i="1" l="1"/>
  <c r="D54" i="13" l="1"/>
  <c r="C20" i="13" l="1"/>
  <c r="C19" i="13"/>
  <c r="C21" i="13" l="1"/>
  <c r="E7" i="4"/>
  <c r="F7" i="4"/>
  <c r="G7" i="4"/>
  <c r="H7" i="4"/>
  <c r="I7" i="4"/>
  <c r="J7" i="4"/>
  <c r="K7" i="4"/>
  <c r="L7" i="4"/>
  <c r="M7" i="4"/>
  <c r="N7" i="4"/>
  <c r="D7" i="4"/>
  <c r="D38" i="13"/>
  <c r="D39" i="13"/>
  <c r="D17" i="13"/>
  <c r="C2" i="13" l="1"/>
  <c r="D32" i="13"/>
  <c r="E32" i="13" s="1"/>
  <c r="F32" i="13" s="1"/>
  <c r="G32" i="13" s="1"/>
  <c r="H32" i="13" s="1"/>
  <c r="I32" i="13" s="1"/>
  <c r="J32" i="13" s="1"/>
  <c r="K32" i="13" s="1"/>
  <c r="L32" i="13" s="1"/>
  <c r="M32" i="13" s="1"/>
  <c r="N32" i="13" s="1"/>
  <c r="E66" i="12"/>
  <c r="H68" i="12" s="1"/>
  <c r="E11" i="9" s="1"/>
  <c r="E65" i="12"/>
  <c r="E64" i="12"/>
  <c r="F16" i="9"/>
  <c r="G16" i="9"/>
  <c r="H16" i="9"/>
  <c r="I16" i="9"/>
  <c r="J16" i="9"/>
  <c r="K16" i="9"/>
  <c r="L16" i="9"/>
  <c r="M16" i="9"/>
  <c r="N16" i="9"/>
  <c r="O16" i="9"/>
  <c r="E16" i="9"/>
  <c r="AK68" i="12"/>
  <c r="F68" i="12"/>
  <c r="E5" i="9"/>
  <c r="F5" i="9" s="1"/>
  <c r="G5" i="9" s="1"/>
  <c r="H5" i="9" s="1"/>
  <c r="I5" i="9" s="1"/>
  <c r="J5" i="9" s="1"/>
  <c r="K5" i="9" s="1"/>
  <c r="L5" i="9" s="1"/>
  <c r="M5" i="9" s="1"/>
  <c r="N5" i="9" s="1"/>
  <c r="O5" i="9" s="1"/>
  <c r="C22" i="13" l="1"/>
  <c r="C30" i="13"/>
  <c r="C24" i="13"/>
  <c r="C23" i="13"/>
  <c r="M68" i="12"/>
  <c r="J11" i="9" s="1"/>
  <c r="AG68" i="12"/>
  <c r="K68" i="12"/>
  <c r="H11" i="9" s="1"/>
  <c r="AC68" i="12"/>
  <c r="R68" i="12"/>
  <c r="O11" i="9" s="1"/>
  <c r="Y68" i="12"/>
  <c r="L68" i="12"/>
  <c r="I11" i="9" s="1"/>
  <c r="AL68" i="12"/>
  <c r="AD68" i="12"/>
  <c r="V68" i="12"/>
  <c r="U68" i="12"/>
  <c r="O68" i="12"/>
  <c r="L11" i="9" s="1"/>
  <c r="I68" i="12"/>
  <c r="F11" i="9" s="1"/>
  <c r="AH68" i="12"/>
  <c r="Z68" i="12"/>
  <c r="Q68" i="12"/>
  <c r="N11" i="9" s="1"/>
  <c r="G68" i="12"/>
  <c r="AJ68" i="12"/>
  <c r="AF68" i="12"/>
  <c r="AB68" i="12"/>
  <c r="X68" i="12"/>
  <c r="T68" i="12"/>
  <c r="P68" i="12"/>
  <c r="M11" i="9" s="1"/>
  <c r="N68" i="12"/>
  <c r="K11" i="9" s="1"/>
  <c r="J68" i="12"/>
  <c r="G11" i="9" s="1"/>
  <c r="AM68" i="12"/>
  <c r="AI68" i="12"/>
  <c r="AE68" i="12"/>
  <c r="AA68" i="12"/>
  <c r="W68" i="12"/>
  <c r="S68" i="12"/>
  <c r="C25" i="13" l="1"/>
  <c r="C31" i="13"/>
  <c r="F9" i="7" l="1"/>
  <c r="G9" i="7" s="1"/>
  <c r="H9" i="7" s="1"/>
  <c r="I9" i="7" s="1"/>
  <c r="J9" i="7" s="1"/>
  <c r="K9" i="7" s="1"/>
  <c r="L9" i="7" s="1"/>
  <c r="M9" i="7" s="1"/>
  <c r="N9" i="7" s="1"/>
  <c r="O9" i="7" s="1"/>
  <c r="G15" i="2"/>
  <c r="H15" i="2" s="1"/>
  <c r="I15" i="2" s="1"/>
  <c r="J15" i="2" s="1"/>
  <c r="K15" i="2" s="1"/>
  <c r="L15" i="2" s="1"/>
  <c r="M15" i="2" s="1"/>
  <c r="N15" i="2" s="1"/>
  <c r="G16" i="2"/>
  <c r="H16" i="2" s="1"/>
  <c r="I16" i="2" s="1"/>
  <c r="J16" i="2" s="1"/>
  <c r="K16" i="2" s="1"/>
  <c r="L16" i="2" s="1"/>
  <c r="M16" i="2" s="1"/>
  <c r="N16" i="2" s="1"/>
  <c r="F17" i="2"/>
  <c r="G17" i="2" s="1"/>
  <c r="H17" i="2" s="1"/>
  <c r="I17" i="2" s="1"/>
  <c r="J17" i="2" s="1"/>
  <c r="K17" i="2" s="1"/>
  <c r="L17" i="2" s="1"/>
  <c r="M17" i="2" s="1"/>
  <c r="N17" i="2" s="1"/>
  <c r="F16" i="2"/>
  <c r="F15" i="2"/>
  <c r="D26" i="5"/>
  <c r="O17" i="1"/>
  <c r="N17" i="1"/>
  <c r="O18" i="1"/>
  <c r="N5" i="6" s="1"/>
  <c r="E26" i="1"/>
  <c r="P26" i="1"/>
  <c r="Q26" i="1"/>
  <c r="R26" i="1"/>
  <c r="S26" i="1"/>
  <c r="T26" i="1"/>
  <c r="U26" i="1"/>
  <c r="V26" i="1"/>
  <c r="W26" i="1"/>
  <c r="X26" i="1"/>
  <c r="P23" i="1"/>
  <c r="Q23" i="1"/>
  <c r="R23" i="1"/>
  <c r="S23" i="1"/>
  <c r="T23" i="1"/>
  <c r="U23" i="1"/>
  <c r="V23" i="1"/>
  <c r="W23" i="1"/>
  <c r="X23" i="1"/>
  <c r="P24" i="1"/>
  <c r="Q24" i="1"/>
  <c r="R24" i="1"/>
  <c r="S24" i="1"/>
  <c r="T24" i="1"/>
  <c r="U24" i="1"/>
  <c r="V24" i="1"/>
  <c r="W24" i="1"/>
  <c r="X24" i="1"/>
  <c r="P25" i="1"/>
  <c r="Q25" i="1"/>
  <c r="R25" i="1"/>
  <c r="S25" i="1"/>
  <c r="T25" i="1"/>
  <c r="U25" i="1"/>
  <c r="V25" i="1"/>
  <c r="W25" i="1"/>
  <c r="X25" i="1"/>
  <c r="E24" i="1"/>
  <c r="E25" i="1"/>
  <c r="E23" i="1"/>
  <c r="F3" i="1"/>
  <c r="G3" i="1" s="1"/>
  <c r="E4" i="1"/>
  <c r="E38" i="7" s="1"/>
  <c r="E5" i="1"/>
  <c r="E29" i="7" s="1"/>
  <c r="S27" i="1" l="1"/>
  <c r="Q27" i="1"/>
  <c r="W27" i="1"/>
  <c r="U27" i="1"/>
  <c r="V27" i="1"/>
  <c r="R27" i="1"/>
  <c r="P27" i="1"/>
  <c r="X27" i="1"/>
  <c r="T27" i="1"/>
  <c r="G17" i="7"/>
  <c r="F17" i="7"/>
  <c r="D2" i="6" l="1"/>
  <c r="E2" i="6" s="1"/>
  <c r="F2" i="6" s="1"/>
  <c r="G2" i="6" s="1"/>
  <c r="H2" i="6" s="1"/>
  <c r="I2" i="6" s="1"/>
  <c r="J2" i="6" s="1"/>
  <c r="K2" i="6" s="1"/>
  <c r="L2" i="6" s="1"/>
  <c r="M2" i="6" s="1"/>
  <c r="N2" i="6" s="1"/>
  <c r="D2" i="4"/>
  <c r="E2" i="4" s="1"/>
  <c r="F2" i="4" s="1"/>
  <c r="G2" i="4" s="1"/>
  <c r="H2" i="4" s="1"/>
  <c r="I2" i="4" s="1"/>
  <c r="J2" i="4" s="1"/>
  <c r="K2" i="4" s="1"/>
  <c r="L2" i="4" s="1"/>
  <c r="M2" i="4" s="1"/>
  <c r="N2" i="4" s="1"/>
  <c r="D9" i="8"/>
  <c r="E9" i="8" s="1"/>
  <c r="F9" i="8" s="1"/>
  <c r="G9" i="8" s="1"/>
  <c r="H9" i="8" s="1"/>
  <c r="I9" i="8" s="1"/>
  <c r="J9" i="8" s="1"/>
  <c r="K9" i="8" s="1"/>
  <c r="L9" i="8" s="1"/>
  <c r="M9" i="8" s="1"/>
  <c r="N9" i="8" s="1"/>
  <c r="D19" i="2" l="1"/>
  <c r="E17" i="2"/>
  <c r="D17" i="2"/>
  <c r="D2" i="2"/>
  <c r="E6" i="17"/>
  <c r="E7" i="17" s="1"/>
  <c r="E8" i="17" s="1"/>
  <c r="E9" i="17" s="1"/>
  <c r="E10" i="17" s="1"/>
  <c r="E11" i="17" s="1"/>
  <c r="E12" i="17" s="1"/>
  <c r="E13" i="17" s="1"/>
  <c r="E14" i="17" s="1"/>
  <c r="E15" i="17" s="1"/>
  <c r="E16" i="17" s="1"/>
  <c r="E17" i="17" s="1"/>
  <c r="E18" i="17" s="1"/>
  <c r="E19" i="17" s="1"/>
  <c r="I5" i="17"/>
  <c r="E5" i="17"/>
  <c r="D5" i="17"/>
  <c r="D6" i="17" s="1"/>
  <c r="D7" i="17" s="1"/>
  <c r="D8" i="17" s="1"/>
  <c r="D9" i="17" s="1"/>
  <c r="D10" i="17" s="1"/>
  <c r="D11" i="17" s="1"/>
  <c r="D12" i="17" s="1"/>
  <c r="D13" i="17" s="1"/>
  <c r="D14" i="17" s="1"/>
  <c r="D15" i="17" s="1"/>
  <c r="I4" i="17"/>
  <c r="C4" i="17"/>
  <c r="D8" i="2" l="1"/>
  <c r="D4" i="2"/>
  <c r="D7" i="2"/>
  <c r="D9" i="2"/>
  <c r="D16" i="17"/>
  <c r="C15" i="17"/>
  <c r="C5" i="17"/>
  <c r="D13" i="2" l="1"/>
  <c r="D25" i="2" s="1"/>
  <c r="D11" i="2"/>
  <c r="D23" i="2" s="1"/>
  <c r="D12" i="2"/>
  <c r="D17" i="17"/>
  <c r="C16" i="17"/>
  <c r="D18" i="17" l="1"/>
  <c r="C17" i="17"/>
  <c r="D19" i="17" l="1"/>
  <c r="C19" i="17" s="1"/>
  <c r="C18" i="17"/>
  <c r="D6" i="2" l="1"/>
  <c r="E2" i="2"/>
  <c r="F2" i="2" s="1"/>
  <c r="O13" i="1"/>
  <c r="P13" i="1"/>
  <c r="Q13" i="1"/>
  <c r="R13" i="1"/>
  <c r="S13" i="1"/>
  <c r="T13" i="1"/>
  <c r="U13" i="1"/>
  <c r="V13" i="1"/>
  <c r="W13" i="1"/>
  <c r="X13" i="1"/>
  <c r="O14" i="1"/>
  <c r="P14" i="1"/>
  <c r="Q14" i="1"/>
  <c r="R14" i="1"/>
  <c r="S14" i="1"/>
  <c r="T14" i="1"/>
  <c r="U14" i="1"/>
  <c r="V14" i="1"/>
  <c r="W14" i="1"/>
  <c r="X14" i="1"/>
  <c r="O15" i="1"/>
  <c r="P15" i="1"/>
  <c r="Q15" i="1"/>
  <c r="R15" i="1"/>
  <c r="S15" i="1"/>
  <c r="T15" i="1"/>
  <c r="U15" i="1"/>
  <c r="V15" i="1"/>
  <c r="W15" i="1"/>
  <c r="X15" i="1"/>
  <c r="F9" i="2" l="1"/>
  <c r="F7" i="2"/>
  <c r="F8" i="2"/>
  <c r="E9" i="2"/>
  <c r="E13" i="2" s="1"/>
  <c r="E7" i="2"/>
  <c r="E8" i="2"/>
  <c r="G2" i="2"/>
  <c r="H2" i="2" l="1"/>
  <c r="G7" i="2"/>
  <c r="G8" i="2"/>
  <c r="G9" i="2"/>
  <c r="F6" i="2"/>
  <c r="I2" i="2" l="1"/>
  <c r="H9" i="2"/>
  <c r="H7" i="2"/>
  <c r="H8" i="2"/>
  <c r="J2" i="2" l="1"/>
  <c r="I7" i="2"/>
  <c r="I8" i="2"/>
  <c r="I9" i="2"/>
  <c r="K2" i="2" l="1"/>
  <c r="J9" i="2"/>
  <c r="J7" i="2"/>
  <c r="J8" i="2"/>
  <c r="L2" i="2" l="1"/>
  <c r="K7" i="2"/>
  <c r="K8" i="2"/>
  <c r="K9" i="2"/>
  <c r="M2" i="2" l="1"/>
  <c r="L7" i="2"/>
  <c r="L8" i="2"/>
  <c r="L9" i="2"/>
  <c r="N2" i="2" l="1"/>
  <c r="M7" i="2"/>
  <c r="M9" i="2"/>
  <c r="M8" i="2"/>
  <c r="N9" i="2" l="1"/>
  <c r="N7" i="2"/>
  <c r="N8" i="2"/>
  <c r="Z10" i="1"/>
  <c r="I4" i="5" l="1"/>
  <c r="C32" i="16" l="1"/>
  <c r="E30" i="5" l="1"/>
  <c r="F30" i="5"/>
  <c r="E31" i="5"/>
  <c r="F31" i="5"/>
  <c r="E32" i="5"/>
  <c r="F32" i="5"/>
  <c r="F29" i="5"/>
  <c r="E29" i="5"/>
  <c r="C31" i="16" l="1"/>
  <c r="C28" i="16"/>
  <c r="D28" i="16"/>
  <c r="D27" i="16"/>
  <c r="C27" i="16"/>
  <c r="F10" i="4"/>
  <c r="G10" i="4"/>
  <c r="H10" i="4"/>
  <c r="I10" i="4"/>
  <c r="J10" i="4"/>
  <c r="K10" i="4"/>
  <c r="L10" i="4"/>
  <c r="M10" i="4"/>
  <c r="N10" i="4"/>
  <c r="F12" i="4"/>
  <c r="G12" i="4"/>
  <c r="H12" i="4"/>
  <c r="I12" i="4"/>
  <c r="J12" i="4"/>
  <c r="K12" i="4"/>
  <c r="L12" i="4"/>
  <c r="M12" i="4"/>
  <c r="N12" i="4"/>
  <c r="E11" i="4"/>
  <c r="E12" i="4"/>
  <c r="E10" i="4"/>
  <c r="Q3" i="8" l="1"/>
  <c r="E40" i="11"/>
  <c r="D40" i="11"/>
  <c r="H5" i="8" s="1"/>
  <c r="M5" i="8" s="1"/>
  <c r="D5" i="8" s="1"/>
  <c r="F40" i="11" l="1"/>
  <c r="Q5" i="8" s="1"/>
  <c r="G6" i="8"/>
  <c r="E1" i="8" l="1"/>
  <c r="E6" i="8" s="1"/>
  <c r="F4" i="8"/>
  <c r="F5" i="8"/>
  <c r="F6" i="8"/>
  <c r="F3" i="8"/>
  <c r="Q7" i="8" l="1"/>
  <c r="E42" i="8" l="1"/>
  <c r="F42" i="8" s="1"/>
  <c r="G42" i="8" s="1"/>
  <c r="H42" i="8" s="1"/>
  <c r="I42" i="8" s="1"/>
  <c r="J42" i="8" s="1"/>
  <c r="K42" i="8" s="1"/>
  <c r="L42" i="8" s="1"/>
  <c r="M42" i="8" s="1"/>
  <c r="N42" i="8" s="1"/>
  <c r="F22" i="9" l="1"/>
  <c r="G22" i="9" l="1"/>
  <c r="F11" i="4"/>
  <c r="H22" i="9" l="1"/>
  <c r="G11" i="4"/>
  <c r="I22" i="9" l="1"/>
  <c r="H11" i="4"/>
  <c r="I39" i="6"/>
  <c r="I42" i="6" s="1"/>
  <c r="F30" i="6"/>
  <c r="F29" i="6"/>
  <c r="G29" i="6"/>
  <c r="H29" i="6"/>
  <c r="I29" i="6"/>
  <c r="J29" i="6"/>
  <c r="J39" i="6" s="1"/>
  <c r="J42" i="6" s="1"/>
  <c r="K29" i="6"/>
  <c r="L29" i="6"/>
  <c r="L39" i="6" s="1"/>
  <c r="L42" i="6" s="1"/>
  <c r="M29" i="6"/>
  <c r="M39" i="6" s="1"/>
  <c r="M42" i="6" s="1"/>
  <c r="N29" i="6"/>
  <c r="E30" i="6"/>
  <c r="E31" i="6"/>
  <c r="E18" i="1"/>
  <c r="D5" i="6" s="1"/>
  <c r="F18" i="1"/>
  <c r="E5" i="6" s="1"/>
  <c r="G18" i="1"/>
  <c r="F5" i="6" s="1"/>
  <c r="H18" i="1"/>
  <c r="G5" i="6" s="1"/>
  <c r="I18" i="1"/>
  <c r="H5" i="6" s="1"/>
  <c r="J18" i="1"/>
  <c r="I5" i="6" s="1"/>
  <c r="K18" i="1"/>
  <c r="J5" i="6" s="1"/>
  <c r="L18" i="1"/>
  <c r="K5" i="6" s="1"/>
  <c r="M18" i="1"/>
  <c r="L5" i="6" s="1"/>
  <c r="N18" i="1"/>
  <c r="M5" i="6" s="1"/>
  <c r="D19" i="1"/>
  <c r="D21" i="1" s="1"/>
  <c r="F39" i="6" l="1"/>
  <c r="K39" i="6"/>
  <c r="K42" i="6" s="1"/>
  <c r="G39" i="6"/>
  <c r="G42" i="6" s="1"/>
  <c r="H19" i="1"/>
  <c r="G6" i="6" s="1"/>
  <c r="F40" i="6"/>
  <c r="D18" i="6"/>
  <c r="P29" i="6"/>
  <c r="N39" i="6"/>
  <c r="N42" i="6" s="1"/>
  <c r="J22" i="9"/>
  <c r="I11" i="4"/>
  <c r="G19" i="1" l="1"/>
  <c r="F6" i="6" s="1"/>
  <c r="I19" i="1"/>
  <c r="H6" i="6" s="1"/>
  <c r="K22" i="9"/>
  <c r="J11" i="4"/>
  <c r="G30" i="6"/>
  <c r="G40" i="6" s="1"/>
  <c r="J19" i="1" l="1"/>
  <c r="I6" i="6" s="1"/>
  <c r="L22" i="9"/>
  <c r="K11" i="4"/>
  <c r="H30" i="6"/>
  <c r="H40" i="6" s="1"/>
  <c r="K19" i="1" l="1"/>
  <c r="J6" i="6" s="1"/>
  <c r="M22" i="9"/>
  <c r="L11" i="4"/>
  <c r="I30" i="6"/>
  <c r="I40" i="6" s="1"/>
  <c r="L19" i="1" l="1"/>
  <c r="K6" i="6" s="1"/>
  <c r="N22" i="9"/>
  <c r="M11" i="4"/>
  <c r="J30" i="6"/>
  <c r="J40" i="6" s="1"/>
  <c r="M19" i="1" l="1"/>
  <c r="L6" i="6" s="1"/>
  <c r="N11" i="4"/>
  <c r="O22" i="9"/>
  <c r="K30" i="6"/>
  <c r="K40" i="6" s="1"/>
  <c r="N19" i="1" l="1"/>
  <c r="M6" i="6" s="1"/>
  <c r="L30" i="6"/>
  <c r="L40" i="6" s="1"/>
  <c r="O19" i="1" l="1"/>
  <c r="N6" i="6" s="1"/>
  <c r="N30" i="6"/>
  <c r="M30" i="6"/>
  <c r="M40" i="6" s="1"/>
  <c r="P30" i="6" l="1"/>
  <c r="N40" i="6"/>
  <c r="E37" i="11"/>
  <c r="E41" i="11"/>
  <c r="F38" i="11"/>
  <c r="F39" i="11"/>
  <c r="F42" i="11"/>
  <c r="E35" i="11"/>
  <c r="D41" i="11"/>
  <c r="D37" i="11"/>
  <c r="D36" i="11"/>
  <c r="F36" i="11" s="1"/>
  <c r="D35" i="11"/>
  <c r="E33" i="11"/>
  <c r="F41" i="11" l="1"/>
  <c r="F35" i="11"/>
  <c r="F37" i="11"/>
  <c r="D36" i="2"/>
  <c r="A7" i="6" l="1"/>
  <c r="D7" i="6" l="1"/>
  <c r="E20" i="1" s="1"/>
  <c r="E7" i="6"/>
  <c r="F20" i="1" s="1"/>
  <c r="F42" i="1" s="1"/>
  <c r="G53" i="6"/>
  <c r="G56" i="6"/>
  <c r="G55" i="6"/>
  <c r="G54" i="6"/>
  <c r="I14" i="6"/>
  <c r="J14" i="6" s="1"/>
  <c r="K14" i="6" s="1"/>
  <c r="L14" i="6" s="1"/>
  <c r="M14" i="6" s="1"/>
  <c r="N14" i="6" s="1"/>
  <c r="F43" i="1" l="1"/>
  <c r="E42" i="1"/>
  <c r="E43" i="1" s="1"/>
  <c r="D19" i="6"/>
  <c r="E19" i="6" s="1"/>
  <c r="E40" i="9" l="1"/>
  <c r="E18" i="6" l="1"/>
  <c r="C40" i="4"/>
  <c r="D36" i="7"/>
  <c r="E38" i="13"/>
  <c r="F38" i="13" s="1"/>
  <c r="G38" i="13" s="1"/>
  <c r="H38" i="13" s="1"/>
  <c r="I38" i="13" s="1"/>
  <c r="J38" i="13" s="1"/>
  <c r="K38" i="13" s="1"/>
  <c r="L38" i="13" s="1"/>
  <c r="M38" i="13" s="1"/>
  <c r="N38" i="13" s="1"/>
  <c r="D36" i="13"/>
  <c r="D37" i="13" s="1"/>
  <c r="F18" i="6" l="1"/>
  <c r="G18" i="6" l="1"/>
  <c r="D29" i="2"/>
  <c r="F12" i="9"/>
  <c r="G12" i="9" s="1"/>
  <c r="H12" i="9" s="1"/>
  <c r="I12" i="9" s="1"/>
  <c r="J12" i="9" s="1"/>
  <c r="K12" i="9" s="1"/>
  <c r="L12" i="9" s="1"/>
  <c r="M12" i="9" s="1"/>
  <c r="N12" i="9" s="1"/>
  <c r="D12" i="9" s="1"/>
  <c r="D11" i="9"/>
  <c r="B3" i="9"/>
  <c r="E16" i="6"/>
  <c r="F16" i="6"/>
  <c r="F32" i="2" s="1"/>
  <c r="G16" i="6"/>
  <c r="G32" i="2" s="1"/>
  <c r="H16" i="6"/>
  <c r="H32" i="2" s="1"/>
  <c r="I16" i="6"/>
  <c r="I32" i="2" s="1"/>
  <c r="J16" i="6"/>
  <c r="J32" i="2" s="1"/>
  <c r="K16" i="6"/>
  <c r="K32" i="2" s="1"/>
  <c r="L16" i="6"/>
  <c r="L32" i="2" s="1"/>
  <c r="M16" i="6"/>
  <c r="M32" i="2" s="1"/>
  <c r="N16" i="6"/>
  <c r="N32" i="2" s="1"/>
  <c r="C58" i="6"/>
  <c r="D20" i="2" s="1"/>
  <c r="D24" i="2" s="1"/>
  <c r="N5" i="8"/>
  <c r="C3" i="8"/>
  <c r="C6" i="8"/>
  <c r="C4" i="8"/>
  <c r="O5" i="8"/>
  <c r="E5" i="8" s="1"/>
  <c r="C5" i="8"/>
  <c r="G4" i="8"/>
  <c r="D10" i="11"/>
  <c r="E10" i="11"/>
  <c r="F10" i="11"/>
  <c r="C7" i="8"/>
  <c r="O7" i="8"/>
  <c r="P7" i="8"/>
  <c r="F13" i="9"/>
  <c r="G13" i="9" s="1"/>
  <c r="H13" i="9" s="1"/>
  <c r="I13" i="9" s="1"/>
  <c r="J13" i="9" s="1"/>
  <c r="K13" i="9" s="1"/>
  <c r="L13" i="9" s="1"/>
  <c r="M13" i="9" s="1"/>
  <c r="N13" i="9" s="1"/>
  <c r="O13" i="9" s="1"/>
  <c r="P13" i="9" s="1"/>
  <c r="Q13" i="9" s="1"/>
  <c r="R13" i="9" s="1"/>
  <c r="S13" i="9" s="1"/>
  <c r="T13" i="9" s="1"/>
  <c r="U13" i="9" s="1"/>
  <c r="V13" i="9" s="1"/>
  <c r="W13" i="9" s="1"/>
  <c r="X13" i="9" s="1"/>
  <c r="Y13" i="9" s="1"/>
  <c r="Z13" i="9" s="1"/>
  <c r="AA13" i="9" s="1"/>
  <c r="AB13" i="9" s="1"/>
  <c r="AC13" i="9" s="1"/>
  <c r="B1" i="4"/>
  <c r="B7" i="10"/>
  <c r="A20" i="1"/>
  <c r="F13" i="7"/>
  <c r="G13" i="7" s="1"/>
  <c r="H13" i="7" s="1"/>
  <c r="I13" i="7" s="1"/>
  <c r="J13" i="7" s="1"/>
  <c r="K13" i="7" s="1"/>
  <c r="L13" i="7" s="1"/>
  <c r="M13" i="7" s="1"/>
  <c r="N13" i="7" s="1"/>
  <c r="O13" i="7" s="1"/>
  <c r="F14" i="7"/>
  <c r="G14" i="7" s="1"/>
  <c r="H14" i="7" s="1"/>
  <c r="I14" i="7" s="1"/>
  <c r="J14" i="7" s="1"/>
  <c r="K14" i="7" s="1"/>
  <c r="L14" i="7" s="1"/>
  <c r="M14" i="7" s="1"/>
  <c r="N14" i="7" s="1"/>
  <c r="O14" i="7" s="1"/>
  <c r="D4" i="1"/>
  <c r="F14" i="1"/>
  <c r="D24" i="10"/>
  <c r="E24" i="10" s="1"/>
  <c r="F24" i="10" s="1"/>
  <c r="G24" i="10" s="1"/>
  <c r="H24" i="10" s="1"/>
  <c r="F14" i="9"/>
  <c r="O26" i="10"/>
  <c r="O57" i="10" s="1"/>
  <c r="P26" i="10"/>
  <c r="Q26" i="10"/>
  <c r="Q57" i="10" s="1"/>
  <c r="R26" i="10"/>
  <c r="R57" i="10" s="1"/>
  <c r="S26" i="10"/>
  <c r="S57" i="10" s="1"/>
  <c r="T26" i="10"/>
  <c r="T57" i="10" s="1"/>
  <c r="U26" i="10"/>
  <c r="U57" i="10" s="1"/>
  <c r="V26" i="10"/>
  <c r="W26" i="10"/>
  <c r="W57" i="10" s="1"/>
  <c r="X26" i="10"/>
  <c r="Y26" i="10"/>
  <c r="Y57" i="10" s="1"/>
  <c r="Z26" i="10"/>
  <c r="AA26" i="10"/>
  <c r="AA57" i="10" s="1"/>
  <c r="AB26" i="10"/>
  <c r="AB57" i="10" s="1"/>
  <c r="F19" i="9"/>
  <c r="O27" i="10"/>
  <c r="P27" i="10"/>
  <c r="Q27" i="10"/>
  <c r="R27" i="10"/>
  <c r="S27" i="10"/>
  <c r="T27" i="10"/>
  <c r="U27" i="10"/>
  <c r="V27" i="10"/>
  <c r="W27" i="10"/>
  <c r="X27" i="10"/>
  <c r="Y27" i="10"/>
  <c r="Z27" i="10"/>
  <c r="AA27" i="10"/>
  <c r="AB27" i="10"/>
  <c r="E26" i="10"/>
  <c r="E41" i="9"/>
  <c r="E27" i="10" s="1"/>
  <c r="D27" i="10"/>
  <c r="D26" i="10"/>
  <c r="N43" i="9"/>
  <c r="M43" i="9"/>
  <c r="L43" i="9"/>
  <c r="K43" i="9"/>
  <c r="J43" i="9"/>
  <c r="I43" i="9"/>
  <c r="H43" i="9"/>
  <c r="G43" i="9"/>
  <c r="F43" i="9"/>
  <c r="E43" i="9"/>
  <c r="F42" i="9"/>
  <c r="E42" i="9"/>
  <c r="B2" i="9"/>
  <c r="B1" i="9"/>
  <c r="F18" i="9"/>
  <c r="G18" i="9" s="1"/>
  <c r="H18" i="9" s="1"/>
  <c r="I18" i="9" s="1"/>
  <c r="J18" i="9" s="1"/>
  <c r="K18" i="9" s="1"/>
  <c r="L18" i="9" s="1"/>
  <c r="M18" i="9" s="1"/>
  <c r="N18" i="9" s="1"/>
  <c r="AF18" i="9" s="1"/>
  <c r="F17" i="9"/>
  <c r="G17" i="9" s="1"/>
  <c r="H17" i="9" s="1"/>
  <c r="I17" i="9" s="1"/>
  <c r="J17" i="9" s="1"/>
  <c r="K17" i="9" s="1"/>
  <c r="L17" i="9" s="1"/>
  <c r="M17" i="9" s="1"/>
  <c r="N17" i="9" s="1"/>
  <c r="AF17" i="9" s="1"/>
  <c r="D16" i="6"/>
  <c r="D32" i="2" s="1"/>
  <c r="D23" i="7"/>
  <c r="D24" i="7"/>
  <c r="D17" i="7"/>
  <c r="D18" i="7" s="1"/>
  <c r="A16" i="6"/>
  <c r="D62" i="8"/>
  <c r="D70" i="8" s="1"/>
  <c r="D63" i="8"/>
  <c r="D71" i="8" s="1"/>
  <c r="D64" i="8"/>
  <c r="D72" i="8" s="1"/>
  <c r="D65" i="8"/>
  <c r="D73" i="8" s="1"/>
  <c r="N9" i="9"/>
  <c r="AE9" i="9" s="1"/>
  <c r="E9" i="9"/>
  <c r="F9" i="9"/>
  <c r="G9" i="9"/>
  <c r="H9" i="9"/>
  <c r="I9" i="9"/>
  <c r="J9" i="9"/>
  <c r="K9" i="9"/>
  <c r="L9" i="9"/>
  <c r="M9" i="9"/>
  <c r="O9" i="9"/>
  <c r="E25" i="10"/>
  <c r="E46" i="10" s="1"/>
  <c r="D25" i="10"/>
  <c r="D46" i="10" s="1"/>
  <c r="D40" i="10"/>
  <c r="E40" i="10"/>
  <c r="F40" i="10" s="1"/>
  <c r="G40" i="10" s="1"/>
  <c r="H3" i="10"/>
  <c r="H7" i="10" s="1"/>
  <c r="H10" i="10" s="1"/>
  <c r="H6" i="10"/>
  <c r="D38" i="10"/>
  <c r="E38" i="10" s="1"/>
  <c r="F38" i="10" s="1"/>
  <c r="G38" i="10" s="1"/>
  <c r="H38" i="10" s="1"/>
  <c r="I38" i="10" s="1"/>
  <c r="J38" i="10" s="1"/>
  <c r="K38" i="10" s="1"/>
  <c r="L38" i="10" s="1"/>
  <c r="M38" i="10" s="1"/>
  <c r="N38" i="10" s="1"/>
  <c r="O38" i="10" s="1"/>
  <c r="P38" i="10" s="1"/>
  <c r="Q38" i="10" s="1"/>
  <c r="R38" i="10" s="1"/>
  <c r="S38" i="10" s="1"/>
  <c r="T38" i="10" s="1"/>
  <c r="U38" i="10" s="1"/>
  <c r="V38" i="10" s="1"/>
  <c r="W38" i="10" s="1"/>
  <c r="X38" i="10" s="1"/>
  <c r="Y38" i="10" s="1"/>
  <c r="Z38" i="10" s="1"/>
  <c r="AA38" i="10" s="1"/>
  <c r="AB38" i="10" s="1"/>
  <c r="G6" i="10"/>
  <c r="G7" i="10" s="1"/>
  <c r="G8" i="10"/>
  <c r="G9" i="10" s="1"/>
  <c r="H40" i="10"/>
  <c r="I40" i="10" s="1"/>
  <c r="J40" i="10" s="1"/>
  <c r="K40" i="10" s="1"/>
  <c r="L40" i="10"/>
  <c r="M40" i="10" s="1"/>
  <c r="N40" i="10" s="1"/>
  <c r="H8" i="10"/>
  <c r="H9" i="10" s="1"/>
  <c r="C18" i="10"/>
  <c r="D31" i="10"/>
  <c r="E31" i="10" s="1"/>
  <c r="F31" i="10" s="1"/>
  <c r="G31" i="10" s="1"/>
  <c r="H31" i="10" s="1"/>
  <c r="I31" i="10" s="1"/>
  <c r="J31" i="10" s="1"/>
  <c r="K31" i="10" s="1"/>
  <c r="L31" i="10" s="1"/>
  <c r="M31" i="10" s="1"/>
  <c r="N31" i="10" s="1"/>
  <c r="C3" i="10"/>
  <c r="C10" i="10"/>
  <c r="J2" i="10" s="1"/>
  <c r="D58" i="10"/>
  <c r="E58" i="10" s="1"/>
  <c r="F58" i="10" s="1"/>
  <c r="D50" i="10"/>
  <c r="E50" i="10" s="1"/>
  <c r="F50" i="10" s="1"/>
  <c r="G50" i="10" s="1"/>
  <c r="P57" i="10"/>
  <c r="Z57" i="10"/>
  <c r="X57" i="10"/>
  <c r="V57" i="10"/>
  <c r="P25" i="10"/>
  <c r="Q25" i="10"/>
  <c r="R25" i="10"/>
  <c r="S25" i="10"/>
  <c r="T25" i="10"/>
  <c r="U25" i="10"/>
  <c r="V25" i="10"/>
  <c r="W25" i="10"/>
  <c r="X25" i="10"/>
  <c r="Y25" i="10"/>
  <c r="Z25" i="10"/>
  <c r="AA25" i="10"/>
  <c r="AB25" i="10"/>
  <c r="D23" i="10"/>
  <c r="E23" i="10" s="1"/>
  <c r="F23" i="10" s="1"/>
  <c r="G23" i="10" s="1"/>
  <c r="H23" i="10" s="1"/>
  <c r="I23" i="10" s="1"/>
  <c r="J23" i="10" s="1"/>
  <c r="K23" i="10" s="1"/>
  <c r="L23" i="10" s="1"/>
  <c r="M23" i="10" s="1"/>
  <c r="N23" i="10" s="1"/>
  <c r="O23" i="10" s="1"/>
  <c r="P23" i="10" s="1"/>
  <c r="Q23" i="10" s="1"/>
  <c r="R23" i="10" s="1"/>
  <c r="S23" i="10" s="1"/>
  <c r="T23" i="10" s="1"/>
  <c r="U23" i="10" s="1"/>
  <c r="V23" i="10" s="1"/>
  <c r="W23" i="10" s="1"/>
  <c r="X23" i="10" s="1"/>
  <c r="Y23" i="10" s="1"/>
  <c r="Z23" i="10" s="1"/>
  <c r="AA23" i="10" s="1"/>
  <c r="AB23" i="10" s="1"/>
  <c r="AE7" i="9"/>
  <c r="AE8" i="9"/>
  <c r="AE6" i="9"/>
  <c r="C19" i="10"/>
  <c r="C4" i="10"/>
  <c r="C11" i="10"/>
  <c r="B13" i="10"/>
  <c r="B12" i="10"/>
  <c r="C6" i="10"/>
  <c r="E42" i="6"/>
  <c r="H39" i="6"/>
  <c r="H42" i="6" s="1"/>
  <c r="D5" i="1"/>
  <c r="D23" i="1"/>
  <c r="D24" i="1"/>
  <c r="D25" i="1"/>
  <c r="D26" i="1"/>
  <c r="Z8" i="1"/>
  <c r="Z9" i="1"/>
  <c r="Z7" i="1"/>
  <c r="E19" i="2"/>
  <c r="F19" i="2"/>
  <c r="G19" i="2"/>
  <c r="H19" i="2"/>
  <c r="I19" i="2"/>
  <c r="J19" i="2"/>
  <c r="K19" i="2"/>
  <c r="L19" i="2"/>
  <c r="M19" i="2"/>
  <c r="N19" i="2"/>
  <c r="F13" i="1"/>
  <c r="E13" i="1"/>
  <c r="G13" i="1"/>
  <c r="H13" i="1"/>
  <c r="I13" i="1"/>
  <c r="J13" i="1"/>
  <c r="K13" i="1"/>
  <c r="L13" i="1"/>
  <c r="M13" i="1"/>
  <c r="N13" i="1"/>
  <c r="D13" i="1"/>
  <c r="D15" i="1"/>
  <c r="E14" i="1"/>
  <c r="G14" i="1"/>
  <c r="H14" i="1"/>
  <c r="I14" i="1"/>
  <c r="J14" i="1"/>
  <c r="K14" i="1"/>
  <c r="L14" i="1"/>
  <c r="M14" i="1"/>
  <c r="N14" i="1"/>
  <c r="E15" i="1"/>
  <c r="F15" i="1"/>
  <c r="G15" i="1"/>
  <c r="H15" i="1"/>
  <c r="I15" i="1"/>
  <c r="J15" i="1"/>
  <c r="K15" i="1"/>
  <c r="L15" i="1"/>
  <c r="M15" i="1"/>
  <c r="N15" i="1"/>
  <c r="O33" i="9" l="1"/>
  <c r="O36" i="9"/>
  <c r="O34" i="9"/>
  <c r="O35" i="9"/>
  <c r="G3" i="8"/>
  <c r="N3" i="8" s="1"/>
  <c r="C13" i="10"/>
  <c r="E35" i="10"/>
  <c r="E36" i="13"/>
  <c r="E6" i="2"/>
  <c r="E39" i="2" s="1"/>
  <c r="E36" i="2"/>
  <c r="H18" i="6"/>
  <c r="C12" i="10"/>
  <c r="AB59" i="10" s="1"/>
  <c r="J33" i="9"/>
  <c r="E36" i="9"/>
  <c r="E32" i="2"/>
  <c r="H4" i="8"/>
  <c r="D27" i="1"/>
  <c r="P5" i="8"/>
  <c r="S39" i="10"/>
  <c r="Z39" i="10"/>
  <c r="O39" i="10"/>
  <c r="W39" i="10"/>
  <c r="Y39" i="10"/>
  <c r="E30" i="10"/>
  <c r="D9" i="9"/>
  <c r="I18" i="4"/>
  <c r="I31" i="2" s="1"/>
  <c r="D16" i="9"/>
  <c r="E41" i="6"/>
  <c r="O12" i="9"/>
  <c r="P12" i="9" s="1"/>
  <c r="Q12" i="9" s="1"/>
  <c r="R12" i="9" s="1"/>
  <c r="S12" i="9" s="1"/>
  <c r="T12" i="9" s="1"/>
  <c r="U12" i="9" s="1"/>
  <c r="V12" i="9" s="1"/>
  <c r="W12" i="9" s="1"/>
  <c r="X12" i="9" s="1"/>
  <c r="Y12" i="9" s="1"/>
  <c r="Z12" i="9" s="1"/>
  <c r="AA12" i="9" s="1"/>
  <c r="AB12" i="9" s="1"/>
  <c r="AC12" i="9" s="1"/>
  <c r="E41" i="10"/>
  <c r="E49" i="10" s="1"/>
  <c r="G36" i="9"/>
  <c r="L36" i="9"/>
  <c r="I35" i="9"/>
  <c r="N35" i="9"/>
  <c r="F35" i="9"/>
  <c r="AE17" i="9"/>
  <c r="D17" i="9"/>
  <c r="O17" i="9"/>
  <c r="P17" i="9" s="1"/>
  <c r="Q17" i="9" s="1"/>
  <c r="R17" i="9" s="1"/>
  <c r="S17" i="9" s="1"/>
  <c r="T17" i="9" s="1"/>
  <c r="U17" i="9" s="1"/>
  <c r="V17" i="9" s="1"/>
  <c r="W17" i="9" s="1"/>
  <c r="X17" i="9" s="1"/>
  <c r="Y17" i="9" s="1"/>
  <c r="Z17" i="9" s="1"/>
  <c r="AA17" i="9" s="1"/>
  <c r="AB17" i="9" s="1"/>
  <c r="AC17" i="9" s="1"/>
  <c r="AE18" i="9"/>
  <c r="O18" i="9"/>
  <c r="P18" i="9" s="1"/>
  <c r="Q18" i="9" s="1"/>
  <c r="R18" i="9" s="1"/>
  <c r="S18" i="9" s="1"/>
  <c r="T18" i="9" s="1"/>
  <c r="U18" i="9" s="1"/>
  <c r="V18" i="9" s="1"/>
  <c r="W18" i="9" s="1"/>
  <c r="X18" i="9" s="1"/>
  <c r="Y18" i="9" s="1"/>
  <c r="Z18" i="9" s="1"/>
  <c r="AA18" i="9" s="1"/>
  <c r="AB18" i="9" s="1"/>
  <c r="AC18" i="9" s="1"/>
  <c r="D18" i="9"/>
  <c r="D29" i="7"/>
  <c r="R59" i="10"/>
  <c r="F41" i="9"/>
  <c r="F27" i="10" s="1"/>
  <c r="G19" i="9"/>
  <c r="G42" i="9"/>
  <c r="D13" i="9"/>
  <c r="AE13" i="9"/>
  <c r="G58" i="10"/>
  <c r="E33" i="9"/>
  <c r="D61" i="8" s="1"/>
  <c r="D69" i="8" s="1"/>
  <c r="F36" i="9"/>
  <c r="H34" i="9"/>
  <c r="K35" i="9"/>
  <c r="M33" i="9"/>
  <c r="N36" i="9"/>
  <c r="E35" i="9"/>
  <c r="G33" i="9"/>
  <c r="H36" i="9"/>
  <c r="J34" i="9"/>
  <c r="M35" i="9"/>
  <c r="G34" i="9"/>
  <c r="J35" i="9"/>
  <c r="L33" i="9"/>
  <c r="M36" i="9"/>
  <c r="I33" i="9"/>
  <c r="J38" i="9" s="1"/>
  <c r="G35" i="9"/>
  <c r="J36" i="9"/>
  <c r="L34" i="9"/>
  <c r="I36" i="9"/>
  <c r="L35" i="9"/>
  <c r="E34" i="9"/>
  <c r="H33" i="9"/>
  <c r="M34" i="9"/>
  <c r="H35" i="9"/>
  <c r="K33" i="9"/>
  <c r="F33" i="9"/>
  <c r="K34" i="9"/>
  <c r="N33" i="9"/>
  <c r="N38" i="9" s="1"/>
  <c r="F34" i="9"/>
  <c r="I34" i="9"/>
  <c r="K36" i="9"/>
  <c r="N34" i="9"/>
  <c r="F40" i="9"/>
  <c r="F26" i="10" s="1"/>
  <c r="F39" i="10" s="1"/>
  <c r="G14" i="9"/>
  <c r="H50" i="10"/>
  <c r="D41" i="10"/>
  <c r="E18" i="4"/>
  <c r="E31" i="2" s="1"/>
  <c r="J18" i="4"/>
  <c r="J31" i="2" s="1"/>
  <c r="F18" i="4"/>
  <c r="F31" i="2" s="1"/>
  <c r="K18" i="4"/>
  <c r="K31" i="2" s="1"/>
  <c r="L18" i="4"/>
  <c r="L31" i="2" s="1"/>
  <c r="D18" i="4"/>
  <c r="D31" i="2" s="1"/>
  <c r="M18" i="4"/>
  <c r="M31" i="2" s="1"/>
  <c r="N18" i="4"/>
  <c r="N31" i="2" s="1"/>
  <c r="G18" i="4"/>
  <c r="G31" i="2" s="1"/>
  <c r="H18" i="4"/>
  <c r="H31" i="2" s="1"/>
  <c r="P39" i="10"/>
  <c r="AA39" i="10"/>
  <c r="V39" i="10"/>
  <c r="D39" i="10"/>
  <c r="Q39" i="10"/>
  <c r="D20" i="6"/>
  <c r="R39" i="10"/>
  <c r="AB39" i="10"/>
  <c r="U39" i="10"/>
  <c r="D57" i="10"/>
  <c r="D30" i="10"/>
  <c r="AE12" i="9"/>
  <c r="X39" i="10"/>
  <c r="T39" i="10"/>
  <c r="F41" i="10"/>
  <c r="D35" i="10"/>
  <c r="E57" i="10"/>
  <c r="E39" i="10"/>
  <c r="G25" i="10"/>
  <c r="G46" i="10" s="1"/>
  <c r="F25" i="10"/>
  <c r="F46" i="10" s="1"/>
  <c r="H41" i="10"/>
  <c r="I24" i="10"/>
  <c r="G41" i="10"/>
  <c r="Q14" i="7"/>
  <c r="Q13" i="7"/>
  <c r="D34" i="11"/>
  <c r="F34" i="11" s="1"/>
  <c r="Q4" i="8" s="1"/>
  <c r="H3" i="8"/>
  <c r="O38" i="9" l="1"/>
  <c r="P4" i="8"/>
  <c r="W59" i="10"/>
  <c r="Z59" i="10"/>
  <c r="E39" i="13"/>
  <c r="AE36" i="9"/>
  <c r="O59" i="10"/>
  <c r="Q59" i="10"/>
  <c r="E59" i="10"/>
  <c r="Y59" i="10"/>
  <c r="S59" i="10"/>
  <c r="T59" i="10"/>
  <c r="P59" i="10"/>
  <c r="AA59" i="10"/>
  <c r="D59" i="10"/>
  <c r="X59" i="10"/>
  <c r="E32" i="10"/>
  <c r="V59" i="10"/>
  <c r="D32" i="10"/>
  <c r="U59" i="10"/>
  <c r="F36" i="13"/>
  <c r="F39" i="2"/>
  <c r="F36" i="2"/>
  <c r="I18" i="6"/>
  <c r="H3" i="1"/>
  <c r="H17" i="7" s="1"/>
  <c r="K38" i="9"/>
  <c r="E51" i="10"/>
  <c r="E62" i="10" s="1"/>
  <c r="F38" i="9"/>
  <c r="F15" i="7" s="1"/>
  <c r="F35" i="10"/>
  <c r="D36" i="9"/>
  <c r="G38" i="9"/>
  <c r="H38" i="9"/>
  <c r="M3" i="8"/>
  <c r="D3" i="8" s="1"/>
  <c r="F31" i="6"/>
  <c r="F41" i="6" s="1"/>
  <c r="M38" i="9"/>
  <c r="F49" i="10"/>
  <c r="F51" i="10"/>
  <c r="F62" i="10" s="1"/>
  <c r="D35" i="9"/>
  <c r="D34" i="9"/>
  <c r="D33" i="9"/>
  <c r="F59" i="10"/>
  <c r="D49" i="10"/>
  <c r="D51" i="10"/>
  <c r="D62" i="10" s="1"/>
  <c r="I38" i="9"/>
  <c r="H42" i="9"/>
  <c r="G40" i="9"/>
  <c r="G26" i="10" s="1"/>
  <c r="G49" i="10" s="1"/>
  <c r="H14" i="9"/>
  <c r="G35" i="10"/>
  <c r="G36" i="13"/>
  <c r="F32" i="10"/>
  <c r="F57" i="10"/>
  <c r="F30" i="10"/>
  <c r="H58" i="10"/>
  <c r="I50" i="10"/>
  <c r="L38" i="9"/>
  <c r="G41" i="9"/>
  <c r="G27" i="10" s="1"/>
  <c r="H19" i="9"/>
  <c r="H25" i="10"/>
  <c r="I41" i="10"/>
  <c r="J24" i="10"/>
  <c r="F18" i="7" l="1"/>
  <c r="G12" i="7"/>
  <c r="G15" i="7" s="1"/>
  <c r="H12" i="7" s="1"/>
  <c r="E4" i="8"/>
  <c r="G39" i="13"/>
  <c r="F39" i="13"/>
  <c r="H6" i="2"/>
  <c r="H39" i="2" s="1"/>
  <c r="H36" i="2"/>
  <c r="G6" i="2"/>
  <c r="G39" i="2" s="1"/>
  <c r="G36" i="2"/>
  <c r="J18" i="6"/>
  <c r="O3" i="8"/>
  <c r="E3" i="8" s="1"/>
  <c r="P3" i="8"/>
  <c r="D43" i="1"/>
  <c r="G31" i="6"/>
  <c r="G41" i="6" s="1"/>
  <c r="I42" i="9"/>
  <c r="I14" i="9"/>
  <c r="H40" i="9"/>
  <c r="H26" i="10" s="1"/>
  <c r="I19" i="9"/>
  <c r="H41" i="9"/>
  <c r="H27" i="10" s="1"/>
  <c r="I58" i="10"/>
  <c r="J50" i="10"/>
  <c r="I3" i="1"/>
  <c r="I17" i="7" s="1"/>
  <c r="G57" i="10"/>
  <c r="G39" i="10"/>
  <c r="G59" i="10"/>
  <c r="G32" i="10"/>
  <c r="G30" i="10"/>
  <c r="G51" i="10"/>
  <c r="G62" i="10" s="1"/>
  <c r="I25" i="10"/>
  <c r="H36" i="13"/>
  <c r="H46" i="10"/>
  <c r="H35" i="10"/>
  <c r="K24" i="10"/>
  <c r="J41" i="10"/>
  <c r="H39" i="13" l="1"/>
  <c r="I6" i="2"/>
  <c r="I39" i="2" s="1"/>
  <c r="I36" i="2"/>
  <c r="K18" i="6"/>
  <c r="K50" i="10"/>
  <c r="J58" i="10"/>
  <c r="J19" i="9"/>
  <c r="I41" i="9"/>
  <c r="I27" i="10" s="1"/>
  <c r="H39" i="10"/>
  <c r="H57" i="10"/>
  <c r="H32" i="10"/>
  <c r="H30" i="10"/>
  <c r="H59" i="10"/>
  <c r="H51" i="10"/>
  <c r="H62" i="10" s="1"/>
  <c r="H49" i="10"/>
  <c r="I40" i="9"/>
  <c r="I26" i="10" s="1"/>
  <c r="J14" i="9"/>
  <c r="J3" i="1"/>
  <c r="J17" i="7" s="1"/>
  <c r="J42" i="9"/>
  <c r="I46" i="10"/>
  <c r="I35" i="10"/>
  <c r="J25" i="10"/>
  <c r="I36" i="13"/>
  <c r="L24" i="10"/>
  <c r="K41" i="10"/>
  <c r="G18" i="7"/>
  <c r="H15" i="7"/>
  <c r="H18" i="7" l="1"/>
  <c r="I12" i="7"/>
  <c r="I15" i="7" s="1"/>
  <c r="J12" i="7" s="1"/>
  <c r="I39" i="13"/>
  <c r="J6" i="2"/>
  <c r="J39" i="2" s="1"/>
  <c r="J36" i="2"/>
  <c r="L18" i="6"/>
  <c r="D52" i="10"/>
  <c r="D53" i="10" s="1"/>
  <c r="D33" i="10"/>
  <c r="D34" i="10" s="1"/>
  <c r="J41" i="9"/>
  <c r="J27" i="10" s="1"/>
  <c r="K19" i="9"/>
  <c r="I57" i="10"/>
  <c r="I39" i="10"/>
  <c r="I30" i="10"/>
  <c r="I32" i="10"/>
  <c r="I59" i="10"/>
  <c r="I49" i="10"/>
  <c r="I51" i="10"/>
  <c r="I62" i="10" s="1"/>
  <c r="K42" i="9"/>
  <c r="D60" i="10"/>
  <c r="D61" i="10" s="1"/>
  <c r="L50" i="10"/>
  <c r="J40" i="9"/>
  <c r="J26" i="10" s="1"/>
  <c r="K14" i="9"/>
  <c r="K58" i="10"/>
  <c r="K3" i="1"/>
  <c r="K17" i="7" s="1"/>
  <c r="J46" i="10"/>
  <c r="J35" i="10"/>
  <c r="J36" i="13"/>
  <c r="K25" i="10"/>
  <c r="L41" i="10"/>
  <c r="M24" i="10"/>
  <c r="J39" i="13" l="1"/>
  <c r="K6" i="2"/>
  <c r="K39" i="2" s="1"/>
  <c r="K36" i="2"/>
  <c r="N18" i="6"/>
  <c r="M18" i="6"/>
  <c r="E60" i="10"/>
  <c r="E61" i="10" s="1"/>
  <c r="L3" i="1"/>
  <c r="L17" i="7" s="1"/>
  <c r="L14" i="9"/>
  <c r="K40" i="9"/>
  <c r="K26" i="10" s="1"/>
  <c r="K41" i="9"/>
  <c r="K27" i="10" s="1"/>
  <c r="L19" i="9"/>
  <c r="L42" i="9"/>
  <c r="L58" i="10"/>
  <c r="E52" i="10"/>
  <c r="E53" i="10" s="1"/>
  <c r="J57" i="10"/>
  <c r="J39" i="10"/>
  <c r="J30" i="10"/>
  <c r="J32" i="10"/>
  <c r="J51" i="10"/>
  <c r="J62" i="10" s="1"/>
  <c r="J49" i="10"/>
  <c r="J59" i="10"/>
  <c r="E33" i="10"/>
  <c r="E34" i="10" s="1"/>
  <c r="M50" i="10"/>
  <c r="L25" i="10"/>
  <c r="K46" i="10"/>
  <c r="K35" i="10"/>
  <c r="K36" i="13"/>
  <c r="M41" i="10"/>
  <c r="N24" i="10"/>
  <c r="J15" i="7"/>
  <c r="K12" i="7" s="1"/>
  <c r="I18" i="7"/>
  <c r="K39" i="13" l="1"/>
  <c r="L6" i="2"/>
  <c r="L39" i="2" s="1"/>
  <c r="L36" i="2"/>
  <c r="F52" i="10"/>
  <c r="F53" i="10" s="1"/>
  <c r="F60" i="10"/>
  <c r="F61" i="10" s="1"/>
  <c r="L41" i="9"/>
  <c r="L27" i="10" s="1"/>
  <c r="M19" i="9"/>
  <c r="N50" i="10"/>
  <c r="F33" i="10"/>
  <c r="F34" i="10" s="1"/>
  <c r="M58" i="10"/>
  <c r="K57" i="10"/>
  <c r="K39" i="10"/>
  <c r="K30" i="10"/>
  <c r="K32" i="10"/>
  <c r="K59" i="10"/>
  <c r="K49" i="10"/>
  <c r="K51" i="10"/>
  <c r="M14" i="9"/>
  <c r="L40" i="9"/>
  <c r="L26" i="10" s="1"/>
  <c r="N42" i="9"/>
  <c r="M42" i="9"/>
  <c r="M3" i="1"/>
  <c r="M17" i="7" s="1"/>
  <c r="N25" i="10"/>
  <c r="M25" i="10"/>
  <c r="L36" i="13"/>
  <c r="L46" i="10"/>
  <c r="L35" i="10"/>
  <c r="N41" i="10"/>
  <c r="O24" i="10"/>
  <c r="J18" i="7"/>
  <c r="K15" i="7"/>
  <c r="L12" i="7" s="1"/>
  <c r="L39" i="13" l="1"/>
  <c r="M6" i="2"/>
  <c r="M39" i="2" s="1"/>
  <c r="M36" i="2"/>
  <c r="G33" i="10"/>
  <c r="G34" i="10" s="1"/>
  <c r="N3" i="1"/>
  <c r="Z3" i="1" s="1"/>
  <c r="K62" i="10"/>
  <c r="G52" i="10"/>
  <c r="G53" i="10" s="1"/>
  <c r="G60" i="10"/>
  <c r="G61" i="10" s="1"/>
  <c r="L57" i="10"/>
  <c r="L39" i="10"/>
  <c r="L30" i="10"/>
  <c r="L32" i="10"/>
  <c r="L51" i="10"/>
  <c r="L62" i="10" s="1"/>
  <c r="L49" i="10"/>
  <c r="L59" i="10"/>
  <c r="M40" i="9"/>
  <c r="M26" i="10" s="1"/>
  <c r="N14" i="9"/>
  <c r="N58" i="10"/>
  <c r="N19" i="9"/>
  <c r="M41" i="9"/>
  <c r="M27" i="10" s="1"/>
  <c r="M46" i="10"/>
  <c r="M35" i="10"/>
  <c r="N46" i="10"/>
  <c r="O25" i="10"/>
  <c r="N35" i="10"/>
  <c r="M36" i="13"/>
  <c r="P24" i="10"/>
  <c r="O41" i="10"/>
  <c r="O32" i="10"/>
  <c r="O30" i="10"/>
  <c r="K18" i="7"/>
  <c r="L15" i="7"/>
  <c r="M12" i="7" s="1"/>
  <c r="N17" i="7" l="1"/>
  <c r="O3" i="1"/>
  <c r="M39" i="13"/>
  <c r="N36" i="13"/>
  <c r="N6" i="2"/>
  <c r="N39" i="2" s="1"/>
  <c r="N36" i="2"/>
  <c r="AE19" i="9"/>
  <c r="AF19" i="9"/>
  <c r="H60" i="10"/>
  <c r="H61" i="10" s="1"/>
  <c r="M57" i="10"/>
  <c r="M39" i="10"/>
  <c r="M30" i="10"/>
  <c r="M32" i="10"/>
  <c r="M49" i="10"/>
  <c r="M51" i="10"/>
  <c r="M62" i="10" s="1"/>
  <c r="M59" i="10"/>
  <c r="N41" i="9"/>
  <c r="N27" i="10" s="1"/>
  <c r="O19" i="9"/>
  <c r="P19" i="9" s="1"/>
  <c r="Q19" i="9" s="1"/>
  <c r="R19" i="9" s="1"/>
  <c r="S19" i="9" s="1"/>
  <c r="T19" i="9" s="1"/>
  <c r="U19" i="9" s="1"/>
  <c r="V19" i="9" s="1"/>
  <c r="W19" i="9" s="1"/>
  <c r="X19" i="9" s="1"/>
  <c r="Y19" i="9" s="1"/>
  <c r="Z19" i="9" s="1"/>
  <c r="AA19" i="9" s="1"/>
  <c r="AB19" i="9" s="1"/>
  <c r="AC19" i="9" s="1"/>
  <c r="D19" i="9"/>
  <c r="H33" i="10"/>
  <c r="H34" i="10" s="1"/>
  <c r="H52" i="10"/>
  <c r="H53" i="10" s="1"/>
  <c r="O14" i="9"/>
  <c r="P14" i="9" s="1"/>
  <c r="Q14" i="9" s="1"/>
  <c r="R14" i="9" s="1"/>
  <c r="S14" i="9" s="1"/>
  <c r="T14" i="9" s="1"/>
  <c r="U14" i="9" s="1"/>
  <c r="V14" i="9" s="1"/>
  <c r="W14" i="9" s="1"/>
  <c r="X14" i="9" s="1"/>
  <c r="Y14" i="9" s="1"/>
  <c r="Z14" i="9" s="1"/>
  <c r="AA14" i="9" s="1"/>
  <c r="AB14" i="9" s="1"/>
  <c r="AC14" i="9" s="1"/>
  <c r="AE14" i="9"/>
  <c r="D14" i="9"/>
  <c r="N40" i="9"/>
  <c r="N26" i="10" s="1"/>
  <c r="O51" i="10"/>
  <c r="O49" i="10"/>
  <c r="P32" i="10"/>
  <c r="Q24" i="10"/>
  <c r="P30" i="10"/>
  <c r="P41" i="10"/>
  <c r="M15" i="7"/>
  <c r="N12" i="7" s="1"/>
  <c r="L18" i="7"/>
  <c r="P3" i="1" l="1"/>
  <c r="O17" i="7"/>
  <c r="N39" i="13"/>
  <c r="I33" i="10"/>
  <c r="I34" i="10" s="1"/>
  <c r="I52" i="10"/>
  <c r="I53" i="10" s="1"/>
  <c r="D42" i="10"/>
  <c r="N57" i="10"/>
  <c r="N39" i="10"/>
  <c r="F42" i="10" s="1"/>
  <c r="F44" i="10" s="1"/>
  <c r="F45" i="10" s="1"/>
  <c r="N30" i="10"/>
  <c r="N32" i="10"/>
  <c r="N59" i="10"/>
  <c r="N60" i="10" s="1"/>
  <c r="N61" i="10" s="1"/>
  <c r="N49" i="10"/>
  <c r="N51" i="10"/>
  <c r="I60" i="10"/>
  <c r="I61" i="10" s="1"/>
  <c r="Q30" i="10"/>
  <c r="Q41" i="10"/>
  <c r="R24" i="10"/>
  <c r="Q32" i="10"/>
  <c r="P49" i="10"/>
  <c r="P51" i="10"/>
  <c r="M18" i="7"/>
  <c r="Q3" i="1" l="1"/>
  <c r="P4" i="1"/>
  <c r="P5" i="1" s="1"/>
  <c r="F54" i="10"/>
  <c r="G42" i="10"/>
  <c r="G44" i="10" s="1"/>
  <c r="G45" i="10" s="1"/>
  <c r="K60" i="10"/>
  <c r="K61" i="10" s="1"/>
  <c r="L60" i="10"/>
  <c r="L61" i="10" s="1"/>
  <c r="M60" i="10"/>
  <c r="M61" i="10" s="1"/>
  <c r="D44" i="10"/>
  <c r="D45" i="10" s="1"/>
  <c r="D54" i="10"/>
  <c r="N62" i="10"/>
  <c r="J52" i="10"/>
  <c r="J53" i="10" s="1"/>
  <c r="E42" i="10"/>
  <c r="K52" i="10"/>
  <c r="K53" i="10" s="1"/>
  <c r="K33" i="10"/>
  <c r="K34" i="10" s="1"/>
  <c r="J33" i="10"/>
  <c r="J34" i="10" s="1"/>
  <c r="L33" i="10"/>
  <c r="L34" i="10" s="1"/>
  <c r="J60" i="10"/>
  <c r="J61" i="10" s="1"/>
  <c r="L52" i="10"/>
  <c r="L53" i="10" s="1"/>
  <c r="M33" i="10"/>
  <c r="M34" i="10" s="1"/>
  <c r="R41" i="10"/>
  <c r="S24" i="10"/>
  <c r="R32" i="10"/>
  <c r="R30" i="10"/>
  <c r="Q49" i="10"/>
  <c r="Q51" i="10"/>
  <c r="H42" i="10"/>
  <c r="N15" i="7"/>
  <c r="O12" i="7" s="1"/>
  <c r="Q12" i="7"/>
  <c r="O15" i="7" l="1"/>
  <c r="Q4" i="1"/>
  <c r="Q5" i="1" s="1"/>
  <c r="R3" i="1"/>
  <c r="M52" i="10"/>
  <c r="M53" i="10" s="1"/>
  <c r="G54" i="10"/>
  <c r="N33" i="10"/>
  <c r="N34" i="10" s="1"/>
  <c r="E44" i="10"/>
  <c r="E45" i="10" s="1"/>
  <c r="E54" i="10"/>
  <c r="H44" i="10"/>
  <c r="H45" i="10" s="1"/>
  <c r="H54" i="10"/>
  <c r="T24" i="10"/>
  <c r="S32" i="10"/>
  <c r="S41" i="10"/>
  <c r="S30" i="10"/>
  <c r="R51" i="10"/>
  <c r="R49" i="10"/>
  <c r="I42" i="10"/>
  <c r="N18" i="7"/>
  <c r="Q15" i="7"/>
  <c r="O18" i="7" l="1"/>
  <c r="C15" i="7"/>
  <c r="C18" i="7" s="1"/>
  <c r="S3" i="1"/>
  <c r="R4" i="1"/>
  <c r="R5" i="1" s="1"/>
  <c r="N52" i="10"/>
  <c r="N53" i="10" s="1"/>
  <c r="I44" i="10"/>
  <c r="I45" i="10" s="1"/>
  <c r="I54" i="10"/>
  <c r="U24" i="10"/>
  <c r="T41" i="10"/>
  <c r="T32" i="10"/>
  <c r="T30" i="10"/>
  <c r="S49" i="10"/>
  <c r="S51" i="10"/>
  <c r="J42" i="10"/>
  <c r="T3" i="1" l="1"/>
  <c r="S4" i="1"/>
  <c r="S5" i="1" s="1"/>
  <c r="U30" i="10"/>
  <c r="U41" i="10"/>
  <c r="V24" i="10"/>
  <c r="U32" i="10"/>
  <c r="J44" i="10"/>
  <c r="J45" i="10" s="1"/>
  <c r="J54" i="10"/>
  <c r="T49" i="10"/>
  <c r="T51" i="10"/>
  <c r="K42" i="10"/>
  <c r="L42" i="10"/>
  <c r="U3" i="1" l="1"/>
  <c r="T4" i="1"/>
  <c r="T5" i="1" s="1"/>
  <c r="K44" i="10"/>
  <c r="K45" i="10" s="1"/>
  <c r="K54" i="10"/>
  <c r="V41" i="10"/>
  <c r="V32" i="10"/>
  <c r="W24" i="10"/>
  <c r="V30" i="10"/>
  <c r="L44" i="10"/>
  <c r="L45" i="10" s="1"/>
  <c r="L54" i="10"/>
  <c r="U51" i="10"/>
  <c r="U49" i="10"/>
  <c r="U4" i="1" l="1"/>
  <c r="U5" i="1" s="1"/>
  <c r="V3" i="1"/>
  <c r="V51" i="10"/>
  <c r="V49" i="10"/>
  <c r="M42" i="10"/>
  <c r="X24" i="10"/>
  <c r="W32" i="10"/>
  <c r="W41" i="10"/>
  <c r="W30" i="10"/>
  <c r="W3" i="1" l="1"/>
  <c r="V4" i="1"/>
  <c r="V5" i="1" s="1"/>
  <c r="M44" i="10"/>
  <c r="M45" i="10" s="1"/>
  <c r="M54" i="10"/>
  <c r="W49" i="10"/>
  <c r="W51" i="10"/>
  <c r="N42" i="10"/>
  <c r="Y24" i="10"/>
  <c r="X41" i="10"/>
  <c r="X32" i="10"/>
  <c r="X30" i="10"/>
  <c r="X3" i="1" l="1"/>
  <c r="X4" i="1" s="1"/>
  <c r="X5" i="1" s="1"/>
  <c r="W4" i="1"/>
  <c r="W5" i="1" s="1"/>
  <c r="Y30" i="10"/>
  <c r="Z24" i="10"/>
  <c r="Y41" i="10"/>
  <c r="Y32" i="10"/>
  <c r="N44" i="10"/>
  <c r="N45" i="10" s="1"/>
  <c r="N54" i="10"/>
  <c r="X49" i="10"/>
  <c r="X51" i="10"/>
  <c r="Y51" i="10" l="1"/>
  <c r="Y49" i="10"/>
  <c r="AA24" i="10"/>
  <c r="Z41" i="10"/>
  <c r="Z30" i="10"/>
  <c r="Z32" i="10"/>
  <c r="AB24" i="10" l="1"/>
  <c r="AA41" i="10"/>
  <c r="AA32" i="10"/>
  <c r="AA30" i="10"/>
  <c r="Z51" i="10"/>
  <c r="Z49" i="10"/>
  <c r="AA51" i="10" l="1"/>
  <c r="AA49" i="10"/>
  <c r="AB41" i="10"/>
  <c r="AB32" i="10"/>
  <c r="AB30" i="10"/>
  <c r="AB49" i="10" l="1"/>
  <c r="AB51" i="10"/>
  <c r="F17" i="1" l="1"/>
  <c r="F21" i="1" s="1"/>
  <c r="J17" i="1"/>
  <c r="M17" i="1"/>
  <c r="L17" i="1"/>
  <c r="K17" i="1"/>
  <c r="E17" i="1" l="1"/>
  <c r="E21" i="1" s="1"/>
  <c r="G17" i="1"/>
  <c r="H17" i="1"/>
  <c r="I17" i="1"/>
  <c r="F32" i="6"/>
  <c r="F7" i="6" s="1"/>
  <c r="F19" i="6" l="1"/>
  <c r="G20" i="1"/>
  <c r="G42" i="1" s="1"/>
  <c r="G43" i="1" s="1"/>
  <c r="F30" i="1"/>
  <c r="F4" i="1"/>
  <c r="G32" i="6" l="1"/>
  <c r="G7" i="6" s="1"/>
  <c r="G19" i="6" l="1"/>
  <c r="H20" i="1"/>
  <c r="H42" i="1" s="1"/>
  <c r="H43" i="1" s="1"/>
  <c r="G4" i="1"/>
  <c r="G30" i="1" l="1"/>
  <c r="G21" i="1"/>
  <c r="I32" i="6" l="1"/>
  <c r="J32" i="6" l="1"/>
  <c r="K32" i="6" l="1"/>
  <c r="L32" i="6" l="1"/>
  <c r="N32" i="6" l="1"/>
  <c r="M32" i="6"/>
  <c r="P32" i="6" l="1"/>
  <c r="H31" i="6" l="1"/>
  <c r="K31" i="6"/>
  <c r="K7" i="6" s="1"/>
  <c r="L20" i="1" s="1"/>
  <c r="L42" i="1" s="1"/>
  <c r="L43" i="1" s="1"/>
  <c r="J31" i="6"/>
  <c r="J7" i="6" s="1"/>
  <c r="K20" i="1" s="1"/>
  <c r="K42" i="1" s="1"/>
  <c r="K43" i="1" s="1"/>
  <c r="L31" i="6"/>
  <c r="L7" i="6" s="1"/>
  <c r="M20" i="1" s="1"/>
  <c r="M42" i="1" s="1"/>
  <c r="M43" i="1" s="1"/>
  <c r="N31" i="6"/>
  <c r="N7" i="6" s="1"/>
  <c r="O20" i="1" s="1"/>
  <c r="O42" i="1" s="1"/>
  <c r="O43" i="1" s="1"/>
  <c r="M31" i="6"/>
  <c r="M7" i="6" s="1"/>
  <c r="N20" i="1" s="1"/>
  <c r="N42" i="1" s="1"/>
  <c r="N43" i="1" s="1"/>
  <c r="I31" i="6"/>
  <c r="I7" i="6" s="1"/>
  <c r="J20" i="1" s="1"/>
  <c r="J42" i="1" s="1"/>
  <c r="J43" i="1" s="1"/>
  <c r="O21" i="1" l="1"/>
  <c r="O4" i="1"/>
  <c r="H41" i="6"/>
  <c r="H7" i="6"/>
  <c r="I41" i="6"/>
  <c r="N41" i="6"/>
  <c r="L41" i="6"/>
  <c r="J41" i="6"/>
  <c r="M41" i="6"/>
  <c r="K41" i="6"/>
  <c r="P31" i="6"/>
  <c r="H19" i="6" l="1"/>
  <c r="I19" i="6" s="1"/>
  <c r="J19" i="6" s="1"/>
  <c r="K19" i="6" s="1"/>
  <c r="L19" i="6" s="1"/>
  <c r="M19" i="6" s="1"/>
  <c r="N19" i="6" s="1"/>
  <c r="I20" i="1"/>
  <c r="I42" i="1" s="1"/>
  <c r="I43" i="1" s="1"/>
  <c r="J4" i="1"/>
  <c r="J21" i="1"/>
  <c r="L4" i="1"/>
  <c r="L21" i="1"/>
  <c r="L30" i="1"/>
  <c r="N4" i="1"/>
  <c r="Z4" i="1" s="1"/>
  <c r="Z20" i="1"/>
  <c r="N21" i="1"/>
  <c r="N30" i="1"/>
  <c r="K4" i="1"/>
  <c r="K21" i="1"/>
  <c r="K30" i="1"/>
  <c r="M4" i="1"/>
  <c r="M30" i="1"/>
  <c r="M21" i="1"/>
  <c r="I21" i="1" l="1"/>
  <c r="I4" i="1"/>
  <c r="J30" i="1"/>
  <c r="I30" i="1"/>
  <c r="H4" i="1"/>
  <c r="H30" i="1"/>
  <c r="H21" i="1"/>
  <c r="N6" i="8" l="1"/>
  <c r="P6" i="8" l="1"/>
  <c r="Q6" i="8" l="1"/>
  <c r="E25" i="2" l="1"/>
  <c r="E11" i="8"/>
  <c r="D33" i="2"/>
  <c r="D11" i="8"/>
  <c r="D33" i="13"/>
  <c r="D45" i="13" l="1"/>
  <c r="D41" i="13"/>
  <c r="D43" i="13" s="1"/>
  <c r="D46" i="13"/>
  <c r="D47" i="13" s="1"/>
  <c r="D58" i="13"/>
  <c r="D61" i="13" s="1"/>
  <c r="D57" i="13"/>
  <c r="D60" i="13" s="1"/>
  <c r="D51" i="13"/>
  <c r="D3" i="6"/>
  <c r="E14" i="8"/>
  <c r="E21" i="8" s="1"/>
  <c r="E15" i="8"/>
  <c r="E22" i="8" s="1"/>
  <c r="E16" i="8"/>
  <c r="E23" i="8" s="1"/>
  <c r="E37" i="8" s="1"/>
  <c r="E18" i="8"/>
  <c r="E25" i="8" s="1"/>
  <c r="E17" i="8"/>
  <c r="E24" i="8" s="1"/>
  <c r="E38" i="8" s="1"/>
  <c r="D18" i="8"/>
  <c r="D25" i="8" s="1"/>
  <c r="D32" i="8" s="1"/>
  <c r="D16" i="8"/>
  <c r="D23" i="8" s="1"/>
  <c r="D15" i="8"/>
  <c r="D22" i="8" s="1"/>
  <c r="D17" i="8"/>
  <c r="D24" i="8" s="1"/>
  <c r="D14" i="8"/>
  <c r="D3" i="4"/>
  <c r="D8" i="4" s="1"/>
  <c r="E40" i="7" l="1"/>
  <c r="E41" i="7" s="1"/>
  <c r="D49" i="13"/>
  <c r="D52" i="13"/>
  <c r="E29" i="8"/>
  <c r="E28" i="8"/>
  <c r="E45" i="8" s="1"/>
  <c r="F23" i="1" s="1"/>
  <c r="E35" i="8"/>
  <c r="D62" i="13"/>
  <c r="D19" i="4"/>
  <c r="D27" i="2" s="1"/>
  <c r="D15" i="4"/>
  <c r="D14" i="4"/>
  <c r="E36" i="8"/>
  <c r="D31" i="8"/>
  <c r="E31" i="8"/>
  <c r="D29" i="8"/>
  <c r="E39" i="8"/>
  <c r="E32" i="8"/>
  <c r="D16" i="4"/>
  <c r="E30" i="8"/>
  <c r="D30" i="8"/>
  <c r="D11" i="6"/>
  <c r="D10" i="6"/>
  <c r="D21" i="7" l="1"/>
  <c r="E21" i="7"/>
  <c r="D53" i="13"/>
  <c r="D55" i="13" s="1"/>
  <c r="D21" i="6"/>
  <c r="D22" i="6" s="1"/>
  <c r="E40" i="8"/>
  <c r="E87" i="8"/>
  <c r="E79" i="8"/>
  <c r="E47" i="8"/>
  <c r="F25" i="1" s="1"/>
  <c r="E78" i="8"/>
  <c r="E86" i="8"/>
  <c r="E46" i="8"/>
  <c r="F24" i="1" s="1"/>
  <c r="E77" i="8"/>
  <c r="E85" i="8"/>
  <c r="E49" i="8"/>
  <c r="E57" i="8" s="1"/>
  <c r="E65" i="8" s="1"/>
  <c r="E73" i="8" s="1"/>
  <c r="E89" i="8"/>
  <c r="E81" i="8"/>
  <c r="E48" i="8"/>
  <c r="F26" i="1" s="1"/>
  <c r="E80" i="8"/>
  <c r="E88" i="8"/>
  <c r="E96" i="8" l="1"/>
  <c r="D28" i="2"/>
  <c r="E94" i="8"/>
  <c r="E50" i="8"/>
  <c r="E53" i="8"/>
  <c r="E61" i="8"/>
  <c r="E54" i="8"/>
  <c r="E62" i="8"/>
  <c r="E70" i="8" s="1"/>
  <c r="E93" i="8"/>
  <c r="E82" i="8"/>
  <c r="E63" i="8"/>
  <c r="E71" i="8" s="1"/>
  <c r="E55" i="8"/>
  <c r="E64" i="8"/>
  <c r="E72" i="8" s="1"/>
  <c r="E56" i="8"/>
  <c r="E95" i="8"/>
  <c r="E97" i="8"/>
  <c r="E90" i="8"/>
  <c r="E48" i="13" s="1"/>
  <c r="D22" i="7" l="1"/>
  <c r="D25" i="7" s="1"/>
  <c r="D28" i="7" s="1"/>
  <c r="D30" i="7" s="1"/>
  <c r="D35" i="7" s="1"/>
  <c r="E22" i="7"/>
  <c r="E25" i="7" s="1"/>
  <c r="F37" i="7"/>
  <c r="F38" i="7"/>
  <c r="E27" i="1"/>
  <c r="E98" i="8"/>
  <c r="F36" i="7" s="1"/>
  <c r="E69" i="8"/>
  <c r="E74" i="8" s="1"/>
  <c r="E66" i="8"/>
  <c r="E54" i="13"/>
  <c r="D40" i="7"/>
  <c r="D41" i="7" s="1"/>
  <c r="E58" i="8"/>
  <c r="F24" i="7" s="1"/>
  <c r="E34" i="7" l="1"/>
  <c r="E28" i="7"/>
  <c r="E30" i="7" s="1"/>
  <c r="E35" i="7" s="1"/>
  <c r="E29" i="2"/>
  <c r="F23" i="7" s="1"/>
  <c r="E33" i="2" l="1"/>
  <c r="F27" i="1"/>
  <c r="F5" i="1" l="1"/>
  <c r="E4" i="2" s="1"/>
  <c r="F13" i="2" s="1"/>
  <c r="F11" i="8" s="1"/>
  <c r="F15" i="8" s="1"/>
  <c r="F29" i="7" l="1"/>
  <c r="E12" i="2"/>
  <c r="E3" i="6" s="1"/>
  <c r="E33" i="13"/>
  <c r="E57" i="13" s="1"/>
  <c r="E60" i="13" s="1"/>
  <c r="E11" i="2"/>
  <c r="E23" i="2" s="1"/>
  <c r="E40" i="2"/>
  <c r="E41" i="2" s="1"/>
  <c r="F25" i="2"/>
  <c r="F17" i="8"/>
  <c r="F24" i="8" s="1"/>
  <c r="F14" i="8"/>
  <c r="F21" i="8" s="1"/>
  <c r="F28" i="8" s="1"/>
  <c r="F85" i="8" s="1"/>
  <c r="F16" i="8"/>
  <c r="F23" i="8" s="1"/>
  <c r="F22" i="8"/>
  <c r="F18" i="8"/>
  <c r="F25" i="8" s="1"/>
  <c r="E58" i="13" l="1"/>
  <c r="E61" i="13" s="1"/>
  <c r="E63" i="13" s="1"/>
  <c r="F39" i="7" s="1"/>
  <c r="E42" i="2"/>
  <c r="E43" i="2" s="1"/>
  <c r="E45" i="13"/>
  <c r="E51" i="13" s="1"/>
  <c r="E3" i="4"/>
  <c r="E8" i="4" s="1"/>
  <c r="E16" i="4" s="1"/>
  <c r="E46" i="13"/>
  <c r="E52" i="13" s="1"/>
  <c r="E41" i="13"/>
  <c r="E43" i="13" s="1"/>
  <c r="F29" i="8"/>
  <c r="F38" i="8"/>
  <c r="F31" i="8"/>
  <c r="F30" i="8"/>
  <c r="F37" i="8"/>
  <c r="F35" i="8"/>
  <c r="F39" i="8"/>
  <c r="F32" i="8"/>
  <c r="F36" i="8"/>
  <c r="E62" i="13" l="1"/>
  <c r="E15" i="4"/>
  <c r="E14" i="4"/>
  <c r="E19" i="4"/>
  <c r="E27" i="2" s="1"/>
  <c r="F21" i="7" s="1"/>
  <c r="E47" i="13"/>
  <c r="F40" i="7" s="1"/>
  <c r="F46" i="8"/>
  <c r="F86" i="8"/>
  <c r="F78" i="8"/>
  <c r="F81" i="8"/>
  <c r="F49" i="8"/>
  <c r="F57" i="8" s="1"/>
  <c r="F65" i="8" s="1"/>
  <c r="F73" i="8" s="1"/>
  <c r="F89" i="8"/>
  <c r="F40" i="8"/>
  <c r="F77" i="8"/>
  <c r="F45" i="8"/>
  <c r="F47" i="8"/>
  <c r="F79" i="8"/>
  <c r="F87" i="8"/>
  <c r="F88" i="8"/>
  <c r="F80" i="8"/>
  <c r="F48" i="8"/>
  <c r="E49" i="13" l="1"/>
  <c r="E53" i="13"/>
  <c r="E55" i="13" s="1"/>
  <c r="F93" i="8"/>
  <c r="F95" i="8"/>
  <c r="F94" i="8"/>
  <c r="F96" i="8"/>
  <c r="F97" i="8"/>
  <c r="F54" i="8"/>
  <c r="G24" i="1"/>
  <c r="F62" i="8"/>
  <c r="F70" i="8" s="1"/>
  <c r="G23" i="1"/>
  <c r="F61" i="8"/>
  <c r="F53" i="8"/>
  <c r="F50" i="8"/>
  <c r="F82" i="8"/>
  <c r="F63" i="8"/>
  <c r="F71" i="8" s="1"/>
  <c r="G25" i="1"/>
  <c r="F55" i="8"/>
  <c r="G26" i="1"/>
  <c r="F64" i="8"/>
  <c r="F72" i="8" s="1"/>
  <c r="F56" i="8"/>
  <c r="F90" i="8"/>
  <c r="G37" i="7" l="1"/>
  <c r="G38" i="7"/>
  <c r="F98" i="8"/>
  <c r="G36" i="7" s="1"/>
  <c r="F48" i="13"/>
  <c r="F58" i="8"/>
  <c r="G24" i="7" s="1"/>
  <c r="F66" i="8"/>
  <c r="F69" i="8"/>
  <c r="F74" i="8" s="1"/>
  <c r="G27" i="1"/>
  <c r="F54" i="13" l="1"/>
  <c r="G5" i="1"/>
  <c r="F4" i="2" s="1"/>
  <c r="F29" i="2"/>
  <c r="G23" i="7" s="1"/>
  <c r="F33" i="2" l="1"/>
  <c r="G29" i="7"/>
  <c r="F33" i="13" l="1"/>
  <c r="F40" i="2"/>
  <c r="G13" i="2"/>
  <c r="F11" i="2"/>
  <c r="F12" i="2"/>
  <c r="F58" i="13" l="1"/>
  <c r="F61" i="13" s="1"/>
  <c r="F57" i="13"/>
  <c r="F41" i="13"/>
  <c r="F43" i="13" s="1"/>
  <c r="F46" i="13"/>
  <c r="F52" i="13" s="1"/>
  <c r="F45" i="13"/>
  <c r="F51" i="13" s="1"/>
  <c r="F23" i="2"/>
  <c r="F3" i="4"/>
  <c r="F8" i="4" s="1"/>
  <c r="G11" i="8"/>
  <c r="G15" i="8" s="1"/>
  <c r="G22" i="8" s="1"/>
  <c r="G25" i="2"/>
  <c r="F41" i="2"/>
  <c r="F42" i="2"/>
  <c r="F43" i="2" s="1"/>
  <c r="F3" i="6"/>
  <c r="F60" i="13" l="1"/>
  <c r="F47" i="13"/>
  <c r="G16" i="8"/>
  <c r="G23" i="8" s="1"/>
  <c r="G17" i="8"/>
  <c r="G24" i="8" s="1"/>
  <c r="G14" i="8"/>
  <c r="G21" i="8" s="1"/>
  <c r="G18" i="8"/>
  <c r="G25" i="8" s="1"/>
  <c r="F14" i="4"/>
  <c r="F15" i="4"/>
  <c r="F16" i="4"/>
  <c r="F19" i="4"/>
  <c r="F27" i="2" s="1"/>
  <c r="G21" i="7" s="1"/>
  <c r="F49" i="13" l="1"/>
  <c r="G40" i="7"/>
  <c r="F62" i="13"/>
  <c r="F63" i="13"/>
  <c r="G39" i="7" s="1"/>
  <c r="F41" i="7"/>
  <c r="F53" i="13"/>
  <c r="F55" i="13" s="1"/>
  <c r="G38" i="8"/>
  <c r="G31" i="8"/>
  <c r="G39" i="8"/>
  <c r="G32" i="8"/>
  <c r="G37" i="8"/>
  <c r="G30" i="8"/>
  <c r="G36" i="8"/>
  <c r="G29" i="8"/>
  <c r="G35" i="8"/>
  <c r="G28" i="8"/>
  <c r="G40" i="8" l="1"/>
  <c r="G47" i="8"/>
  <c r="G79" i="8"/>
  <c r="G87" i="8"/>
  <c r="G78" i="8"/>
  <c r="G46" i="8"/>
  <c r="G86" i="8"/>
  <c r="G48" i="8"/>
  <c r="G88" i="8"/>
  <c r="G80" i="8"/>
  <c r="G49" i="8"/>
  <c r="G57" i="8" s="1"/>
  <c r="G65" i="8" s="1"/>
  <c r="G73" i="8" s="1"/>
  <c r="G89" i="8"/>
  <c r="G81" i="8"/>
  <c r="G77" i="8"/>
  <c r="G85" i="8"/>
  <c r="G45" i="8"/>
  <c r="G95" i="8" l="1"/>
  <c r="G90" i="8"/>
  <c r="G97" i="8"/>
  <c r="H26" i="1"/>
  <c r="G64" i="8"/>
  <c r="G72" i="8" s="1"/>
  <c r="G56" i="8"/>
  <c r="G93" i="8"/>
  <c r="G82" i="8"/>
  <c r="G53" i="8"/>
  <c r="G61" i="8"/>
  <c r="H23" i="1"/>
  <c r="G50" i="8"/>
  <c r="G96" i="8"/>
  <c r="G54" i="8"/>
  <c r="G62" i="8"/>
  <c r="G70" i="8" s="1"/>
  <c r="H24" i="1"/>
  <c r="G94" i="8"/>
  <c r="H25" i="1"/>
  <c r="G63" i="8"/>
  <c r="G71" i="8" s="1"/>
  <c r="G55" i="8"/>
  <c r="H37" i="7" l="1"/>
  <c r="H38" i="7"/>
  <c r="G48" i="13"/>
  <c r="G58" i="8"/>
  <c r="H24" i="7" s="1"/>
  <c r="H27" i="1"/>
  <c r="G98" i="8"/>
  <c r="H36" i="7" s="1"/>
  <c r="G69" i="8"/>
  <c r="G74" i="8" s="1"/>
  <c r="G66" i="8"/>
  <c r="G54" i="13" l="1"/>
  <c r="G29" i="2"/>
  <c r="H23" i="7" s="1"/>
  <c r="H5" i="1"/>
  <c r="G4" i="2" s="1"/>
  <c r="H29" i="7" l="1"/>
  <c r="G33" i="2"/>
  <c r="G33" i="13" l="1"/>
  <c r="H13" i="2"/>
  <c r="G40" i="2"/>
  <c r="G12" i="2"/>
  <c r="G11" i="2"/>
  <c r="G58" i="13" l="1"/>
  <c r="G61" i="13" s="1"/>
  <c r="G57" i="13"/>
  <c r="G60" i="13" s="1"/>
  <c r="G41" i="13"/>
  <c r="G43" i="13" s="1"/>
  <c r="G46" i="13"/>
  <c r="G52" i="13" s="1"/>
  <c r="G45" i="13"/>
  <c r="G51" i="13" s="1"/>
  <c r="G41" i="2"/>
  <c r="G42" i="2"/>
  <c r="G43" i="2" s="1"/>
  <c r="H25" i="2"/>
  <c r="H11" i="8"/>
  <c r="G23" i="2"/>
  <c r="G3" i="4"/>
  <c r="G8" i="4" s="1"/>
  <c r="G3" i="6"/>
  <c r="G62" i="13" l="1"/>
  <c r="G63" i="13"/>
  <c r="H39" i="7" s="1"/>
  <c r="G47" i="13"/>
  <c r="H40" i="7" s="1"/>
  <c r="H15" i="8"/>
  <c r="H22" i="8" s="1"/>
  <c r="H17" i="8"/>
  <c r="H24" i="8" s="1"/>
  <c r="H16" i="8"/>
  <c r="H23" i="8" s="1"/>
  <c r="H14" i="8"/>
  <c r="H21" i="8" s="1"/>
  <c r="H18" i="8"/>
  <c r="H25" i="8" s="1"/>
  <c r="G19" i="4"/>
  <c r="G27" i="2" s="1"/>
  <c r="H21" i="7" s="1"/>
  <c r="G14" i="4"/>
  <c r="G15" i="4"/>
  <c r="G16" i="4"/>
  <c r="G53" i="13" l="1"/>
  <c r="G55" i="13" s="1"/>
  <c r="G49" i="13"/>
  <c r="H37" i="8"/>
  <c r="H30" i="8"/>
  <c r="H35" i="8"/>
  <c r="H28" i="8"/>
  <c r="H38" i="8"/>
  <c r="H31" i="8"/>
  <c r="G41" i="7"/>
  <c r="H39" i="8"/>
  <c r="H32" i="8"/>
  <c r="H36" i="8"/>
  <c r="H29" i="8"/>
  <c r="H45" i="8" l="1"/>
  <c r="H77" i="8"/>
  <c r="H85" i="8"/>
  <c r="H47" i="8"/>
  <c r="H87" i="8"/>
  <c r="H79" i="8"/>
  <c r="H89" i="8"/>
  <c r="H49" i="8"/>
  <c r="H57" i="8" s="1"/>
  <c r="H65" i="8" s="1"/>
  <c r="H73" i="8" s="1"/>
  <c r="H81" i="8"/>
  <c r="H78" i="8"/>
  <c r="H46" i="8"/>
  <c r="H86" i="8"/>
  <c r="H88" i="8"/>
  <c r="H48" i="8"/>
  <c r="H80" i="8"/>
  <c r="H40" i="8"/>
  <c r="I25" i="1" l="1"/>
  <c r="H63" i="8"/>
  <c r="H71" i="8" s="1"/>
  <c r="H55" i="8"/>
  <c r="H54" i="8"/>
  <c r="H62" i="8"/>
  <c r="H70" i="8" s="1"/>
  <c r="I24" i="1"/>
  <c r="H90" i="8"/>
  <c r="H94" i="8"/>
  <c r="H95" i="8"/>
  <c r="H93" i="8"/>
  <c r="H82" i="8"/>
  <c r="I26" i="1"/>
  <c r="H56" i="8"/>
  <c r="H64" i="8"/>
  <c r="H72" i="8" s="1"/>
  <c r="H96" i="8"/>
  <c r="H97" i="8"/>
  <c r="H53" i="8"/>
  <c r="I23" i="1"/>
  <c r="H61" i="8"/>
  <c r="H50" i="8"/>
  <c r="I37" i="7" l="1"/>
  <c r="I38" i="7"/>
  <c r="H48" i="13"/>
  <c r="I27" i="1"/>
  <c r="I5" i="1" s="1"/>
  <c r="H4" i="2" s="1"/>
  <c r="H58" i="8"/>
  <c r="I24" i="7" s="1"/>
  <c r="H98" i="8"/>
  <c r="I36" i="7" s="1"/>
  <c r="H69" i="8"/>
  <c r="H74" i="8" s="1"/>
  <c r="H66" i="8"/>
  <c r="H54" i="13" l="1"/>
  <c r="I29" i="7"/>
  <c r="H29" i="2"/>
  <c r="I23" i="7" s="1"/>
  <c r="H33" i="13" l="1"/>
  <c r="H11" i="2"/>
  <c r="H12" i="2"/>
  <c r="H40" i="2"/>
  <c r="I13" i="2"/>
  <c r="H33" i="2"/>
  <c r="H58" i="13" l="1"/>
  <c r="H61" i="13" s="1"/>
  <c r="H57" i="13"/>
  <c r="H41" i="13"/>
  <c r="H43" i="13" s="1"/>
  <c r="H46" i="13"/>
  <c r="H52" i="13" s="1"/>
  <c r="H45" i="13"/>
  <c r="H51" i="13" s="1"/>
  <c r="H41" i="2"/>
  <c r="H42" i="2"/>
  <c r="H43" i="2" s="1"/>
  <c r="H3" i="6"/>
  <c r="H3" i="4"/>
  <c r="H8" i="4" s="1"/>
  <c r="H23" i="2"/>
  <c r="I25" i="2"/>
  <c r="I11" i="8"/>
  <c r="H60" i="13" l="1"/>
  <c r="H47" i="13"/>
  <c r="I40" i="7" s="1"/>
  <c r="I17" i="8"/>
  <c r="I24" i="8" s="1"/>
  <c r="I18" i="8"/>
  <c r="I25" i="8" s="1"/>
  <c r="I14" i="8"/>
  <c r="I21" i="8" s="1"/>
  <c r="I15" i="8"/>
  <c r="I22" i="8" s="1"/>
  <c r="I16" i="8"/>
  <c r="I23" i="8" s="1"/>
  <c r="H14" i="4"/>
  <c r="H15" i="4"/>
  <c r="H19" i="4"/>
  <c r="H27" i="2" s="1"/>
  <c r="I21" i="7" s="1"/>
  <c r="H16" i="4"/>
  <c r="H63" i="13" l="1"/>
  <c r="I39" i="7" s="1"/>
  <c r="H62" i="13"/>
  <c r="H53" i="13"/>
  <c r="H55" i="13" s="1"/>
  <c r="H49" i="13"/>
  <c r="I36" i="8"/>
  <c r="I29" i="8"/>
  <c r="I35" i="8"/>
  <c r="I28" i="8"/>
  <c r="I32" i="8"/>
  <c r="I39" i="8"/>
  <c r="H41" i="7"/>
  <c r="I37" i="8"/>
  <c r="I30" i="8"/>
  <c r="I38" i="8"/>
  <c r="I31" i="8"/>
  <c r="I40" i="8" l="1"/>
  <c r="I78" i="8"/>
  <c r="I46" i="8"/>
  <c r="I86" i="8"/>
  <c r="I47" i="8"/>
  <c r="I87" i="8"/>
  <c r="I79" i="8"/>
  <c r="I89" i="8"/>
  <c r="I81" i="8"/>
  <c r="I49" i="8"/>
  <c r="I57" i="8" s="1"/>
  <c r="I65" i="8" s="1"/>
  <c r="I73" i="8" s="1"/>
  <c r="I80" i="8"/>
  <c r="I48" i="8"/>
  <c r="I88" i="8"/>
  <c r="I85" i="8"/>
  <c r="I45" i="8"/>
  <c r="I77" i="8"/>
  <c r="I90" i="8" l="1"/>
  <c r="I95" i="8"/>
  <c r="I96" i="8"/>
  <c r="I53" i="8"/>
  <c r="I50" i="8"/>
  <c r="J23" i="1"/>
  <c r="I61" i="8"/>
  <c r="I54" i="8"/>
  <c r="J24" i="1"/>
  <c r="I62" i="8"/>
  <c r="I70" i="8" s="1"/>
  <c r="I94" i="8"/>
  <c r="I97" i="8"/>
  <c r="J25" i="1"/>
  <c r="I63" i="8"/>
  <c r="I71" i="8" s="1"/>
  <c r="I55" i="8"/>
  <c r="I82" i="8"/>
  <c r="I93" i="8"/>
  <c r="J26" i="1"/>
  <c r="I64" i="8"/>
  <c r="I72" i="8" s="1"/>
  <c r="I56" i="8"/>
  <c r="J37" i="7" l="1"/>
  <c r="J38" i="7"/>
  <c r="I48" i="13"/>
  <c r="I98" i="8"/>
  <c r="J36" i="7" s="1"/>
  <c r="I66" i="8"/>
  <c r="I69" i="8"/>
  <c r="I74" i="8" s="1"/>
  <c r="J27" i="1"/>
  <c r="J5" i="1" s="1"/>
  <c r="I4" i="2" s="1"/>
  <c r="I58" i="8"/>
  <c r="J24" i="7" s="1"/>
  <c r="I54" i="13" l="1"/>
  <c r="I29" i="2"/>
  <c r="J23" i="7" s="1"/>
  <c r="J29" i="7"/>
  <c r="I11" i="2" l="1"/>
  <c r="I12" i="2"/>
  <c r="J13" i="2"/>
  <c r="I33" i="13"/>
  <c r="I40" i="2"/>
  <c r="I33" i="2"/>
  <c r="I58" i="13" l="1"/>
  <c r="I61" i="13" s="1"/>
  <c r="I57" i="13"/>
  <c r="I60" i="13" s="1"/>
  <c r="I41" i="13"/>
  <c r="I43" i="13" s="1"/>
  <c r="I46" i="13"/>
  <c r="I52" i="13" s="1"/>
  <c r="I45" i="13"/>
  <c r="I51" i="13" s="1"/>
  <c r="I3" i="6"/>
  <c r="J25" i="2"/>
  <c r="J11" i="8"/>
  <c r="I41" i="2"/>
  <c r="I42" i="2"/>
  <c r="I43" i="2" s="1"/>
  <c r="I23" i="2"/>
  <c r="I3" i="4"/>
  <c r="I8" i="4" s="1"/>
  <c r="I62" i="13" l="1"/>
  <c r="I63" i="13"/>
  <c r="J39" i="7" s="1"/>
  <c r="I47" i="13"/>
  <c r="J40" i="7" s="1"/>
  <c r="I19" i="4"/>
  <c r="I27" i="2" s="1"/>
  <c r="J21" i="7" s="1"/>
  <c r="I14" i="4"/>
  <c r="I16" i="4"/>
  <c r="I15" i="4"/>
  <c r="J17" i="8"/>
  <c r="J24" i="8" s="1"/>
  <c r="J14" i="8"/>
  <c r="J21" i="8" s="1"/>
  <c r="J16" i="8"/>
  <c r="J23" i="8" s="1"/>
  <c r="J18" i="8"/>
  <c r="J25" i="8" s="1"/>
  <c r="J15" i="8"/>
  <c r="J22" i="8" s="1"/>
  <c r="I53" i="13" l="1"/>
  <c r="I55" i="13" s="1"/>
  <c r="I49" i="13"/>
  <c r="J36" i="8"/>
  <c r="J29" i="8"/>
  <c r="J38" i="8"/>
  <c r="J31" i="8"/>
  <c r="J35" i="8"/>
  <c r="J28" i="8"/>
  <c r="J32" i="8"/>
  <c r="J39" i="8"/>
  <c r="J37" i="8"/>
  <c r="J30" i="8"/>
  <c r="I41" i="7"/>
  <c r="J40" i="8" l="1"/>
  <c r="J78" i="8"/>
  <c r="J86" i="8"/>
  <c r="J46" i="8"/>
  <c r="J49" i="8"/>
  <c r="J57" i="8" s="1"/>
  <c r="J65" i="8" s="1"/>
  <c r="J73" i="8" s="1"/>
  <c r="J81" i="8"/>
  <c r="J89" i="8"/>
  <c r="J77" i="8"/>
  <c r="J85" i="8"/>
  <c r="J45" i="8"/>
  <c r="J79" i="8"/>
  <c r="J47" i="8"/>
  <c r="J87" i="8"/>
  <c r="J80" i="8"/>
  <c r="J88" i="8"/>
  <c r="J48" i="8"/>
  <c r="J97" i="8" l="1"/>
  <c r="J96" i="8"/>
  <c r="J95" i="8"/>
  <c r="K25" i="1"/>
  <c r="J63" i="8"/>
  <c r="J71" i="8" s="1"/>
  <c r="J55" i="8"/>
  <c r="J93" i="8"/>
  <c r="J82" i="8"/>
  <c r="J54" i="8"/>
  <c r="K24" i="1"/>
  <c r="J62" i="8"/>
  <c r="J70" i="8" s="1"/>
  <c r="K26" i="1"/>
  <c r="J64" i="8"/>
  <c r="J72" i="8" s="1"/>
  <c r="J56" i="8"/>
  <c r="J61" i="8"/>
  <c r="J53" i="8"/>
  <c r="K23" i="1"/>
  <c r="J50" i="8"/>
  <c r="J94" i="8"/>
  <c r="J90" i="8"/>
  <c r="K37" i="7" l="1"/>
  <c r="K38" i="7"/>
  <c r="J48" i="13"/>
  <c r="J69" i="8"/>
  <c r="J74" i="8" s="1"/>
  <c r="J66" i="8"/>
  <c r="J58" i="8"/>
  <c r="K24" i="7" s="1"/>
  <c r="K27" i="1"/>
  <c r="K5" i="1" s="1"/>
  <c r="J4" i="2" s="1"/>
  <c r="J98" i="8"/>
  <c r="K36" i="7" s="1"/>
  <c r="J54" i="13" l="1"/>
  <c r="K29" i="7"/>
  <c r="J29" i="2"/>
  <c r="K23" i="7" s="1"/>
  <c r="J33" i="2" l="1"/>
  <c r="J33" i="13"/>
  <c r="J11" i="2"/>
  <c r="J12" i="2"/>
  <c r="K13" i="2"/>
  <c r="J40" i="2"/>
  <c r="J58" i="13" l="1"/>
  <c r="J61" i="13" s="1"/>
  <c r="J57" i="13"/>
  <c r="J41" i="13"/>
  <c r="J43" i="13" s="1"/>
  <c r="J46" i="13"/>
  <c r="J45" i="13"/>
  <c r="J51" i="13" s="1"/>
  <c r="J41" i="2"/>
  <c r="J42" i="2"/>
  <c r="J43" i="2" s="1"/>
  <c r="J23" i="2"/>
  <c r="J3" i="4"/>
  <c r="J8" i="4" s="1"/>
  <c r="K11" i="8"/>
  <c r="K25" i="2"/>
  <c r="J3" i="6"/>
  <c r="J60" i="13" l="1"/>
  <c r="J47" i="13"/>
  <c r="J52" i="13"/>
  <c r="J15" i="4"/>
  <c r="J19" i="4"/>
  <c r="J27" i="2" s="1"/>
  <c r="K21" i="7" s="1"/>
  <c r="J16" i="4"/>
  <c r="J14" i="4"/>
  <c r="K15" i="8"/>
  <c r="K22" i="8" s="1"/>
  <c r="K16" i="8"/>
  <c r="K23" i="8" s="1"/>
  <c r="K14" i="8"/>
  <c r="K21" i="8" s="1"/>
  <c r="K17" i="8"/>
  <c r="K24" i="8" s="1"/>
  <c r="K18" i="8"/>
  <c r="K25" i="8" s="1"/>
  <c r="J41" i="7" l="1"/>
  <c r="K40" i="7"/>
  <c r="J62" i="13"/>
  <c r="J63" i="13"/>
  <c r="K39" i="7" s="1"/>
  <c r="J53" i="13"/>
  <c r="J55" i="13" s="1"/>
  <c r="J49" i="13"/>
  <c r="K37" i="8"/>
  <c r="K30" i="8"/>
  <c r="K39" i="8"/>
  <c r="K32" i="8"/>
  <c r="K36" i="8"/>
  <c r="K29" i="8"/>
  <c r="K38" i="8"/>
  <c r="K31" i="8"/>
  <c r="K35" i="8"/>
  <c r="K28" i="8"/>
  <c r="K40" i="8" l="1"/>
  <c r="K86" i="8"/>
  <c r="K78" i="8"/>
  <c r="K46" i="8"/>
  <c r="K45" i="8"/>
  <c r="K77" i="8"/>
  <c r="K85" i="8"/>
  <c r="K89" i="8"/>
  <c r="K81" i="8"/>
  <c r="K49" i="8"/>
  <c r="K57" i="8" s="1"/>
  <c r="K65" i="8" s="1"/>
  <c r="K73" i="8" s="1"/>
  <c r="K88" i="8"/>
  <c r="K80" i="8"/>
  <c r="K48" i="8"/>
  <c r="K79" i="8"/>
  <c r="K47" i="8"/>
  <c r="K87" i="8"/>
  <c r="K95" i="8" l="1"/>
  <c r="K97" i="8"/>
  <c r="K96" i="8"/>
  <c r="K54" i="8"/>
  <c r="K62" i="8"/>
  <c r="K70" i="8" s="1"/>
  <c r="L24" i="1"/>
  <c r="L26" i="1"/>
  <c r="K64" i="8"/>
  <c r="K72" i="8" s="1"/>
  <c r="K56" i="8"/>
  <c r="K53" i="8"/>
  <c r="K61" i="8"/>
  <c r="K50" i="8"/>
  <c r="L23" i="1"/>
  <c r="L25" i="1"/>
  <c r="K63" i="8"/>
  <c r="K71" i="8" s="1"/>
  <c r="K55" i="8"/>
  <c r="K90" i="8"/>
  <c r="K94" i="8"/>
  <c r="K93" i="8"/>
  <c r="K82" i="8"/>
  <c r="L37" i="7" l="1"/>
  <c r="L38" i="7"/>
  <c r="K48" i="13"/>
  <c r="K58" i="8"/>
  <c r="L24" i="7" s="1"/>
  <c r="L27" i="1"/>
  <c r="L5" i="1" s="1"/>
  <c r="K4" i="2" s="1"/>
  <c r="K98" i="8"/>
  <c r="L36" i="7" s="1"/>
  <c r="K66" i="8"/>
  <c r="K69" i="8"/>
  <c r="K74" i="8" s="1"/>
  <c r="K29" i="2" s="1"/>
  <c r="L23" i="7" s="1"/>
  <c r="K54" i="13" l="1"/>
  <c r="K33" i="2"/>
  <c r="L29" i="7"/>
  <c r="K33" i="13" l="1"/>
  <c r="L13" i="2"/>
  <c r="K12" i="2"/>
  <c r="K40" i="2"/>
  <c r="K11" i="2"/>
  <c r="K58" i="13" l="1"/>
  <c r="K61" i="13" s="1"/>
  <c r="K57" i="13"/>
  <c r="K60" i="13" s="1"/>
  <c r="K41" i="13"/>
  <c r="K43" i="13" s="1"/>
  <c r="K46" i="13"/>
  <c r="K52" i="13" s="1"/>
  <c r="K45" i="13"/>
  <c r="K51" i="13" s="1"/>
  <c r="K41" i="2"/>
  <c r="K42" i="2"/>
  <c r="K43" i="2" s="1"/>
  <c r="L25" i="2"/>
  <c r="L11" i="8"/>
  <c r="K3" i="6"/>
  <c r="K23" i="2"/>
  <c r="K3" i="4"/>
  <c r="K8" i="4" s="1"/>
  <c r="K62" i="13" l="1"/>
  <c r="K63" i="13"/>
  <c r="L39" i="7" s="1"/>
  <c r="K47" i="13"/>
  <c r="L40" i="7" s="1"/>
  <c r="K16" i="4"/>
  <c r="K14" i="4"/>
  <c r="K15" i="4"/>
  <c r="K19" i="4"/>
  <c r="K27" i="2" s="1"/>
  <c r="L21" i="7" s="1"/>
  <c r="L16" i="8"/>
  <c r="L23" i="8" s="1"/>
  <c r="L17" i="8"/>
  <c r="L24" i="8" s="1"/>
  <c r="L15" i="8"/>
  <c r="L22" i="8" s="1"/>
  <c r="L29" i="8" s="1"/>
  <c r="L18" i="8"/>
  <c r="L25" i="8" s="1"/>
  <c r="L14" i="8"/>
  <c r="L21" i="8" s="1"/>
  <c r="K53" i="13" l="1"/>
  <c r="K55" i="13" s="1"/>
  <c r="K49" i="13"/>
  <c r="K41" i="7"/>
  <c r="L36" i="8"/>
  <c r="L38" i="8"/>
  <c r="L31" i="8"/>
  <c r="L39" i="8"/>
  <c r="L32" i="8"/>
  <c r="L35" i="8"/>
  <c r="L28" i="8"/>
  <c r="L37" i="8"/>
  <c r="L30" i="8"/>
  <c r="L47" i="8" l="1"/>
  <c r="L79" i="8"/>
  <c r="L87" i="8"/>
  <c r="L81" i="8"/>
  <c r="L49" i="8"/>
  <c r="L57" i="8" s="1"/>
  <c r="L65" i="8" s="1"/>
  <c r="L73" i="8" s="1"/>
  <c r="L89" i="8"/>
  <c r="L86" i="8"/>
  <c r="L78" i="8"/>
  <c r="L46" i="8"/>
  <c r="L77" i="8"/>
  <c r="L45" i="8"/>
  <c r="L85" i="8"/>
  <c r="L40" i="8"/>
  <c r="L80" i="8"/>
  <c r="L88" i="8"/>
  <c r="L48" i="8"/>
  <c r="L96" i="8" l="1"/>
  <c r="L95" i="8"/>
  <c r="L55" i="8"/>
  <c r="M25" i="1"/>
  <c r="L63" i="8"/>
  <c r="L71" i="8" s="1"/>
  <c r="L94" i="8"/>
  <c r="L93" i="8"/>
  <c r="L82" i="8"/>
  <c r="L54" i="8"/>
  <c r="M24" i="1"/>
  <c r="L62" i="8"/>
  <c r="L70" i="8" s="1"/>
  <c r="M26" i="1"/>
  <c r="L56" i="8"/>
  <c r="L64" i="8"/>
  <c r="L72" i="8" s="1"/>
  <c r="L90" i="8"/>
  <c r="L97" i="8"/>
  <c r="L61" i="8"/>
  <c r="L50" i="8"/>
  <c r="M23" i="1"/>
  <c r="L53" i="8"/>
  <c r="M37" i="7" l="1"/>
  <c r="M38" i="7"/>
  <c r="L48" i="13"/>
  <c r="L58" i="8"/>
  <c r="M24" i="7" s="1"/>
  <c r="L69" i="8"/>
  <c r="L74" i="8" s="1"/>
  <c r="L29" i="2" s="1"/>
  <c r="M23" i="7" s="1"/>
  <c r="L66" i="8"/>
  <c r="M27" i="1"/>
  <c r="M5" i="1" s="1"/>
  <c r="L4" i="2" s="1"/>
  <c r="L98" i="8"/>
  <c r="M36" i="7" s="1"/>
  <c r="L54" i="13" l="1"/>
  <c r="L33" i="2"/>
  <c r="M29" i="7"/>
  <c r="L40" i="2" l="1"/>
  <c r="M13" i="2"/>
  <c r="L33" i="13"/>
  <c r="L12" i="2"/>
  <c r="L11" i="2"/>
  <c r="L58" i="13" l="1"/>
  <c r="L61" i="13" s="1"/>
  <c r="L57" i="13"/>
  <c r="L60" i="13" s="1"/>
  <c r="L41" i="13"/>
  <c r="L43" i="13" s="1"/>
  <c r="L46" i="13"/>
  <c r="L52" i="13" s="1"/>
  <c r="L45" i="13"/>
  <c r="L51" i="13" s="1"/>
  <c r="L3" i="6"/>
  <c r="M11" i="8"/>
  <c r="M25" i="2"/>
  <c r="L3" i="4"/>
  <c r="L8" i="4" s="1"/>
  <c r="L23" i="2"/>
  <c r="L41" i="2"/>
  <c r="L42" i="2"/>
  <c r="L43" i="2" s="1"/>
  <c r="L63" i="13" l="1"/>
  <c r="M39" i="7" s="1"/>
  <c r="L62" i="13"/>
  <c r="L47" i="13"/>
  <c r="L19" i="4"/>
  <c r="L27" i="2" s="1"/>
  <c r="M21" i="7" s="1"/>
  <c r="L16" i="4"/>
  <c r="L14" i="4"/>
  <c r="L15" i="4"/>
  <c r="M16" i="8"/>
  <c r="M23" i="8" s="1"/>
  <c r="M17" i="8"/>
  <c r="M24" i="8" s="1"/>
  <c r="M18" i="8"/>
  <c r="M25" i="8" s="1"/>
  <c r="M14" i="8"/>
  <c r="M21" i="8" s="1"/>
  <c r="M15" i="8"/>
  <c r="M22" i="8" s="1"/>
  <c r="L41" i="7" l="1"/>
  <c r="M40" i="7"/>
  <c r="L53" i="13"/>
  <c r="L55" i="13" s="1"/>
  <c r="L49" i="13"/>
  <c r="M32" i="8"/>
  <c r="M39" i="8"/>
  <c r="M38" i="8"/>
  <c r="M31" i="8"/>
  <c r="M35" i="8"/>
  <c r="M28" i="8"/>
  <c r="M36" i="8"/>
  <c r="M29" i="8"/>
  <c r="M37" i="8"/>
  <c r="M30" i="8"/>
  <c r="M86" i="8" l="1"/>
  <c r="M46" i="8"/>
  <c r="M78" i="8"/>
  <c r="M47" i="8"/>
  <c r="M79" i="8"/>
  <c r="M87" i="8"/>
  <c r="M45" i="8"/>
  <c r="M85" i="8"/>
  <c r="M77" i="8"/>
  <c r="M88" i="8"/>
  <c r="M80" i="8"/>
  <c r="M48" i="8"/>
  <c r="M40" i="8"/>
  <c r="M81" i="8"/>
  <c r="M49" i="8"/>
  <c r="M57" i="8" s="1"/>
  <c r="M65" i="8" s="1"/>
  <c r="M73" i="8" s="1"/>
  <c r="M89" i="8"/>
  <c r="M95" i="8" l="1"/>
  <c r="M97" i="8"/>
  <c r="M94" i="8"/>
  <c r="M82" i="8"/>
  <c r="M93" i="8"/>
  <c r="N26" i="1"/>
  <c r="M64" i="8"/>
  <c r="M72" i="8" s="1"/>
  <c r="M56" i="8"/>
  <c r="M90" i="8"/>
  <c r="N25" i="1"/>
  <c r="M55" i="8"/>
  <c r="M63" i="8"/>
  <c r="M71" i="8" s="1"/>
  <c r="M62" i="8"/>
  <c r="M70" i="8" s="1"/>
  <c r="M54" i="8"/>
  <c r="N24" i="1"/>
  <c r="M96" i="8"/>
  <c r="N23" i="1"/>
  <c r="M53" i="8"/>
  <c r="M50" i="8"/>
  <c r="M61" i="8"/>
  <c r="N37" i="7" l="1"/>
  <c r="N38" i="7"/>
  <c r="M48" i="13"/>
  <c r="M58" i="8"/>
  <c r="N24" i="7" s="1"/>
  <c r="M98" i="8"/>
  <c r="N36" i="7" s="1"/>
  <c r="N27" i="1"/>
  <c r="M66" i="8"/>
  <c r="M69" i="8"/>
  <c r="M74" i="8" s="1"/>
  <c r="M29" i="2" s="1"/>
  <c r="N23" i="7" s="1"/>
  <c r="M54" i="13" l="1"/>
  <c r="M33" i="2"/>
  <c r="N5" i="1"/>
  <c r="M4" i="2" s="1"/>
  <c r="N13" i="2" s="1"/>
  <c r="N29" i="7" l="1"/>
  <c r="Z5" i="1"/>
  <c r="M33" i="13" l="1"/>
  <c r="M40" i="2"/>
  <c r="M12" i="2"/>
  <c r="M11" i="2"/>
  <c r="M58" i="13" l="1"/>
  <c r="M61" i="13" s="1"/>
  <c r="M57" i="13"/>
  <c r="M41" i="13"/>
  <c r="M43" i="13" s="1"/>
  <c r="M46" i="13"/>
  <c r="M52" i="13" s="1"/>
  <c r="M45" i="13"/>
  <c r="M51" i="13" s="1"/>
  <c r="M3" i="6"/>
  <c r="M41" i="2"/>
  <c r="M42" i="2"/>
  <c r="M43" i="2" s="1"/>
  <c r="N11" i="8"/>
  <c r="N25" i="2"/>
  <c r="M23" i="2"/>
  <c r="M3" i="4"/>
  <c r="M8" i="4" s="1"/>
  <c r="M60" i="13" l="1"/>
  <c r="M47" i="13"/>
  <c r="M14" i="4"/>
  <c r="M16" i="4"/>
  <c r="M19" i="4"/>
  <c r="M27" i="2" s="1"/>
  <c r="N21" i="7" s="1"/>
  <c r="M15" i="4"/>
  <c r="N14" i="8"/>
  <c r="N21" i="8" s="1"/>
  <c r="N17" i="8"/>
  <c r="N24" i="8" s="1"/>
  <c r="N15" i="8"/>
  <c r="N22" i="8" s="1"/>
  <c r="N29" i="8" s="1"/>
  <c r="N18" i="8"/>
  <c r="N25" i="8" s="1"/>
  <c r="N16" i="8"/>
  <c r="N23" i="8" s="1"/>
  <c r="M41" i="7" l="1"/>
  <c r="N40" i="7"/>
  <c r="M62" i="13"/>
  <c r="M63" i="13"/>
  <c r="N39" i="7" s="1"/>
  <c r="M53" i="13"/>
  <c r="M55" i="13" s="1"/>
  <c r="M49" i="13"/>
  <c r="N36" i="8"/>
  <c r="N39" i="8"/>
  <c r="N32" i="8"/>
  <c r="N38" i="8"/>
  <c r="N31" i="8"/>
  <c r="N37" i="8"/>
  <c r="N30" i="8"/>
  <c r="N35" i="8"/>
  <c r="N28" i="8"/>
  <c r="N40" i="8" l="1"/>
  <c r="N88" i="8"/>
  <c r="N80" i="8"/>
  <c r="N48" i="8"/>
  <c r="N45" i="8"/>
  <c r="N85" i="8"/>
  <c r="N77" i="8"/>
  <c r="N86" i="8"/>
  <c r="N78" i="8"/>
  <c r="N46" i="8"/>
  <c r="N87" i="8"/>
  <c r="N47" i="8"/>
  <c r="N79" i="8"/>
  <c r="N49" i="8"/>
  <c r="N57" i="8" s="1"/>
  <c r="N65" i="8" s="1"/>
  <c r="N73" i="8" s="1"/>
  <c r="N81" i="8"/>
  <c r="N89" i="8"/>
  <c r="N95" i="8" l="1"/>
  <c r="N97" i="8"/>
  <c r="N96" i="8"/>
  <c r="N90" i="8"/>
  <c r="N82" i="8"/>
  <c r="N93" i="8"/>
  <c r="N62" i="8"/>
  <c r="N70" i="8" s="1"/>
  <c r="N54" i="8"/>
  <c r="O24" i="1"/>
  <c r="Z24" i="1" s="1"/>
  <c r="N94" i="8"/>
  <c r="N53" i="8"/>
  <c r="N50" i="8"/>
  <c r="O23" i="1"/>
  <c r="Z23" i="1" s="1"/>
  <c r="N61" i="8"/>
  <c r="N63" i="8"/>
  <c r="N71" i="8" s="1"/>
  <c r="N55" i="8"/>
  <c r="O25" i="1"/>
  <c r="Z25" i="1" s="1"/>
  <c r="O26" i="1"/>
  <c r="Z26" i="1" s="1"/>
  <c r="N64" i="8"/>
  <c r="N72" i="8" s="1"/>
  <c r="N56" i="8"/>
  <c r="O37" i="7" l="1"/>
  <c r="O38" i="7"/>
  <c r="N48" i="13"/>
  <c r="N58" i="8"/>
  <c r="O24" i="7" s="1"/>
  <c r="C24" i="7" s="1"/>
  <c r="N66" i="8"/>
  <c r="N69" i="8"/>
  <c r="N74" i="8" s="1"/>
  <c r="N98" i="8"/>
  <c r="O27" i="1"/>
  <c r="C38" i="7" s="1"/>
  <c r="C37" i="7"/>
  <c r="C36" i="7" l="1"/>
  <c r="O36" i="7"/>
  <c r="N54" i="13"/>
  <c r="O5" i="1"/>
  <c r="Z27" i="1"/>
  <c r="N29" i="2"/>
  <c r="O23" i="7" s="1"/>
  <c r="C23" i="7" s="1"/>
  <c r="P74" i="8"/>
  <c r="P58" i="8"/>
  <c r="N4" i="2" l="1"/>
  <c r="N40" i="2" s="1"/>
  <c r="N42" i="2" s="1"/>
  <c r="N43" i="2" s="1"/>
  <c r="O29" i="7"/>
  <c r="N33" i="2"/>
  <c r="P23" i="7"/>
  <c r="N11" i="2" l="1"/>
  <c r="N3" i="4" s="1"/>
  <c r="N8" i="4" s="1"/>
  <c r="N19" i="4" s="1"/>
  <c r="N27" i="2" s="1"/>
  <c r="O21" i="7" s="1"/>
  <c r="C21" i="7" s="1"/>
  <c r="N41" i="2"/>
  <c r="N12" i="2"/>
  <c r="N3" i="6" s="1"/>
  <c r="N33" i="13"/>
  <c r="N58" i="13" s="1"/>
  <c r="N61" i="13" s="1"/>
  <c r="N41" i="13" l="1"/>
  <c r="N43" i="13" s="1"/>
  <c r="N15" i="4"/>
  <c r="N46" i="13"/>
  <c r="N52" i="13" s="1"/>
  <c r="N16" i="4"/>
  <c r="N23" i="2"/>
  <c r="N14" i="4"/>
  <c r="N57" i="13"/>
  <c r="N60" i="13" s="1"/>
  <c r="N45" i="13"/>
  <c r="N51" i="13" s="1"/>
  <c r="P21" i="7"/>
  <c r="N47" i="13" l="1"/>
  <c r="N62" i="13"/>
  <c r="N63" i="13"/>
  <c r="O39" i="7" s="1"/>
  <c r="C39" i="7" s="1"/>
  <c r="N53" i="13" l="1"/>
  <c r="N55" i="13" s="1"/>
  <c r="O40" i="7"/>
  <c r="N49" i="13"/>
  <c r="N65" i="13"/>
  <c r="O41" i="7" l="1"/>
  <c r="C40" i="7"/>
  <c r="N41" i="7"/>
  <c r="C41" i="7" l="1"/>
  <c r="E8" i="6" l="1"/>
  <c r="E20" i="6" l="1"/>
  <c r="E10" i="6"/>
  <c r="E11" i="6"/>
  <c r="E20" i="2"/>
  <c r="E24" i="2" s="1"/>
  <c r="F48" i="6"/>
  <c r="E21" i="6" l="1"/>
  <c r="E22" i="6" s="1"/>
  <c r="F8" i="6"/>
  <c r="G48" i="6"/>
  <c r="H48" i="6" l="1"/>
  <c r="G8" i="6"/>
  <c r="F20" i="2"/>
  <c r="F24" i="2" s="1"/>
  <c r="F20" i="6"/>
  <c r="F11" i="6"/>
  <c r="F10" i="6"/>
  <c r="E28" i="2"/>
  <c r="F22" i="7" s="1"/>
  <c r="F21" i="6" l="1"/>
  <c r="F22" i="6" s="1"/>
  <c r="F28" i="2" s="1"/>
  <c r="G22" i="7" s="1"/>
  <c r="G11" i="6"/>
  <c r="G10" i="6"/>
  <c r="G20" i="2"/>
  <c r="G24" i="2" s="1"/>
  <c r="G20" i="6"/>
  <c r="H8" i="6"/>
  <c r="I48" i="6"/>
  <c r="F25" i="7" l="1"/>
  <c r="G21" i="6"/>
  <c r="G22" i="6" s="1"/>
  <c r="J48" i="6"/>
  <c r="I8" i="6"/>
  <c r="H10" i="6"/>
  <c r="H20" i="6"/>
  <c r="H11" i="6"/>
  <c r="H20" i="2"/>
  <c r="H24" i="2" s="1"/>
  <c r="F34" i="7" l="1"/>
  <c r="F28" i="7"/>
  <c r="H21" i="6"/>
  <c r="H22" i="6" s="1"/>
  <c r="H28" i="2" s="1"/>
  <c r="I22" i="7" s="1"/>
  <c r="K48" i="6"/>
  <c r="J8" i="6"/>
  <c r="G28" i="2"/>
  <c r="H22" i="7" s="1"/>
  <c r="I20" i="6"/>
  <c r="I11" i="6"/>
  <c r="I20" i="2"/>
  <c r="I24" i="2" s="1"/>
  <c r="I10" i="6"/>
  <c r="F30" i="7" l="1"/>
  <c r="F35" i="7" s="1"/>
  <c r="H25" i="7"/>
  <c r="J20" i="2"/>
  <c r="J24" i="2" s="1"/>
  <c r="J11" i="6"/>
  <c r="J20" i="6"/>
  <c r="J10" i="6"/>
  <c r="G25" i="7"/>
  <c r="I21" i="6"/>
  <c r="I22" i="6" s="1"/>
  <c r="L48" i="6"/>
  <c r="K8" i="6"/>
  <c r="H28" i="7" l="1"/>
  <c r="H30" i="7" s="1"/>
  <c r="H35" i="7" s="1"/>
  <c r="H34" i="7"/>
  <c r="I28" i="2"/>
  <c r="J22" i="7" s="1"/>
  <c r="K20" i="2"/>
  <c r="K24" i="2" s="1"/>
  <c r="K10" i="6"/>
  <c r="K11" i="6"/>
  <c r="K20" i="6"/>
  <c r="G34" i="7"/>
  <c r="G28" i="7"/>
  <c r="M48" i="6"/>
  <c r="L8" i="6"/>
  <c r="J21" i="6"/>
  <c r="J22" i="6" s="1"/>
  <c r="K21" i="6" l="1"/>
  <c r="K22" i="6" s="1"/>
  <c r="K28" i="2" s="1"/>
  <c r="L22" i="7" s="1"/>
  <c r="J28" i="2"/>
  <c r="K22" i="7" s="1"/>
  <c r="L10" i="6"/>
  <c r="L20" i="6"/>
  <c r="L20" i="2"/>
  <c r="L24" i="2" s="1"/>
  <c r="L11" i="6"/>
  <c r="G30" i="7"/>
  <c r="G35" i="7" s="1"/>
  <c r="M8" i="6"/>
  <c r="N48" i="6"/>
  <c r="N8" i="6" s="1"/>
  <c r="I25" i="7"/>
  <c r="K25" i="7" l="1"/>
  <c r="J25" i="7"/>
  <c r="N20" i="2"/>
  <c r="N24" i="2" s="1"/>
  <c r="N20" i="6"/>
  <c r="N11" i="6"/>
  <c r="N10" i="6"/>
  <c r="L21" i="6"/>
  <c r="L22" i="6" s="1"/>
  <c r="L28" i="2" s="1"/>
  <c r="M22" i="7" s="1"/>
  <c r="M20" i="6"/>
  <c r="M11" i="6"/>
  <c r="M20" i="2"/>
  <c r="M24" i="2" s="1"/>
  <c r="M10" i="6"/>
  <c r="I28" i="7"/>
  <c r="I34" i="7"/>
  <c r="J34" i="7" l="1"/>
  <c r="J28" i="7"/>
  <c r="J30" i="7" s="1"/>
  <c r="J35" i="7" s="1"/>
  <c r="K28" i="7"/>
  <c r="K30" i="7" s="1"/>
  <c r="K35" i="7" s="1"/>
  <c r="K34" i="7"/>
  <c r="L25" i="7"/>
  <c r="N21" i="6"/>
  <c r="N22" i="6" s="1"/>
  <c r="M21" i="6"/>
  <c r="M22" i="6" s="1"/>
  <c r="M28" i="2" s="1"/>
  <c r="N22" i="7" s="1"/>
  <c r="I30" i="7"/>
  <c r="I35" i="7" s="1"/>
  <c r="L28" i="7" l="1"/>
  <c r="L30" i="7" s="1"/>
  <c r="L35" i="7" s="1"/>
  <c r="L34" i="7"/>
  <c r="M25" i="7"/>
  <c r="N28" i="2"/>
  <c r="O22" i="7" s="1"/>
  <c r="D24" i="6"/>
  <c r="O25" i="7" l="1"/>
  <c r="O34" i="7" s="1"/>
  <c r="C22" i="7"/>
  <c r="P22" i="7" s="1"/>
  <c r="N25" i="7"/>
  <c r="M28" i="7"/>
  <c r="M34" i="7"/>
  <c r="C25" i="7" l="1"/>
  <c r="O28" i="7"/>
  <c r="N34" i="7"/>
  <c r="C34" i="7" s="1"/>
  <c r="N28" i="7"/>
  <c r="N30" i="7" s="1"/>
  <c r="N35" i="7" s="1"/>
  <c r="M30" i="7"/>
  <c r="M35" i="7" s="1"/>
  <c r="C28" i="7" l="1"/>
  <c r="C30" i="7" s="1"/>
  <c r="C35" i="7" s="1"/>
  <c r="O30" i="7"/>
  <c r="O3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Fischer, Maria</author>
  </authors>
  <commentList>
    <comment ref="B8" authorId="0" shapeId="0" xr:uid="{435BC7F0-5381-4FE2-8922-0DED92FCD65F}">
      <text>
        <r>
          <rPr>
            <b/>
            <sz val="9"/>
            <color indexed="81"/>
            <rFont val="Tahoma"/>
            <family val="2"/>
          </rPr>
          <t>Fischer, Maria:</t>
        </r>
        <r>
          <rPr>
            <sz val="9"/>
            <color indexed="81"/>
            <rFont val="Tahoma"/>
            <family val="2"/>
          </rPr>
          <t xml:space="preserve">
impact of Tier III; NOT NM impacts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tc={778F7B1A-3038-480F-B882-8DF5040E2CD3}</author>
  </authors>
  <commentList>
    <comment ref="E64" authorId="0" shapeId="0" xr:uid="{778F7B1A-3038-480F-B882-8DF5040E2CD3}">
      <text>
        <t>[Threaded comment]
Your version of Excel allows you to read this threaded comment; however, any edits to it will get removed if the file is opened in a newer version of Excel. Learn more: https://go.microsoft.com/fwlink/?linkid=870924
Comment:
    percentages based on: https://factfinder.census.gov/faces/tableservices/jsf/pages/productview.xhtml?src=CF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Fischer, Maria</author>
    <author>Woodward, John</author>
    <author>tc={C259254F-419A-4425-9010-C0296256C68E}</author>
    <author>tc={A44B6082-2116-4546-863A-8AF3871B80AB}</author>
    <author>tc={BD8718E2-389C-4A27-B2FE-8A31266C91BA}</author>
  </authors>
  <commentList>
    <comment ref="A3" authorId="0" shapeId="0" xr:uid="{00000000-0006-0000-0200-000001000000}">
      <text>
        <r>
          <rPr>
            <b/>
            <sz val="9"/>
            <color indexed="81"/>
            <rFont val="Tahoma"/>
            <family val="2"/>
          </rPr>
          <t>Fischer, Maria:</t>
        </r>
        <r>
          <rPr>
            <sz val="9"/>
            <color indexed="81"/>
            <rFont val="Tahoma"/>
            <family val="2"/>
          </rPr>
          <t xml:space="preserve">
based on 2017 retail sales escalating at same rate as VELCO LRTP baseline forecast</t>
        </r>
      </text>
    </comment>
    <comment ref="D3" authorId="1" shapeId="0" xr:uid="{00000000-0006-0000-0200-000002000000}">
      <text>
        <r>
          <rPr>
            <sz val="11"/>
            <color indexed="81"/>
            <rFont val="Tahoma"/>
            <family val="2"/>
          </rPr>
          <t>actual 2017 sales reported in RES compliance filings</t>
        </r>
      </text>
    </comment>
    <comment ref="E3" authorId="2" shapeId="0" xr:uid="{C259254F-419A-4425-9010-C0296256C68E}">
      <text>
        <t>[Threaded comment]
Your version of Excel allows you to read this threaded comment; however, any edits to it will get removed if the file is opened in a newer version of Excel. Learn more: https://go.microsoft.com/fwlink/?linkid=870924
Comment:
    actual as reported in 2018 RES compliance filings</t>
      </text>
    </comment>
    <comment ref="E4" authorId="3" shapeId="0" xr:uid="{A44B6082-2116-4546-863A-8AF3871B80AB}">
      <text>
        <t>[Threaded comment]
Your version of Excel allows you to read this threaded comment; however, any edits to it will get removed if the file is opened in a newer version of Excel. Learn more: https://go.microsoft.com/fwlink/?linkid=870924
Comment:
    actual as reported in 2018 RES compliance filings</t>
      </text>
    </comment>
    <comment ref="A5" authorId="0" shapeId="0" xr:uid="{00000000-0006-0000-0200-000003000000}">
      <text>
        <r>
          <rPr>
            <b/>
            <sz val="9"/>
            <color indexed="81"/>
            <rFont val="Tahoma"/>
            <family val="2"/>
          </rPr>
          <t>Fischer, Maria:</t>
        </r>
        <r>
          <rPr>
            <sz val="9"/>
            <color indexed="81"/>
            <rFont val="Tahoma"/>
            <family val="2"/>
          </rPr>
          <t xml:space="preserve">
new load (CCHP, EV, Custom)</t>
        </r>
      </text>
    </comment>
    <comment ref="E5" authorId="4" shapeId="0" xr:uid="{BD8718E2-389C-4A27-B2FE-8A31266C91BA}">
      <text>
        <t>[Threaded comment]
Your version of Excel allows you to read this threaded comment; however, any edits to it will get removed if the file is opened in a newer version of Excel. Learn more: https://go.microsoft.com/fwlink/?linkid=870924
Comment:
    actual as reported in 2018 RES compliance filings</t>
      </text>
    </comment>
    <comment ref="B7" authorId="0" shapeId="0" xr:uid="{00000000-0006-0000-0200-000004000000}">
      <text>
        <r>
          <rPr>
            <b/>
            <sz val="9"/>
            <color indexed="81"/>
            <rFont val="Tahoma"/>
            <family val="2"/>
          </rPr>
          <t>Fischer, Maria:</t>
        </r>
        <r>
          <rPr>
            <sz val="9"/>
            <color indexed="81"/>
            <rFont val="Tahoma"/>
            <family val="2"/>
          </rPr>
          <t xml:space="preserve">
RTLO (net of existing NM, but before the addition of new NM)
https://www.vermontspc.com/library/document/download/5926/20170712_VSPC_Slides_LRTP_Forecast.pdf
</t>
        </r>
      </text>
    </comment>
    <comment ref="B8" authorId="0" shapeId="0" xr:uid="{00000000-0006-0000-0200-000005000000}">
      <text>
        <r>
          <rPr>
            <b/>
            <sz val="9"/>
            <color indexed="81"/>
            <rFont val="Tahoma"/>
            <family val="2"/>
          </rPr>
          <t>Fischer, Maria:</t>
        </r>
        <r>
          <rPr>
            <sz val="9"/>
            <color indexed="81"/>
            <rFont val="Tahoma"/>
            <family val="2"/>
          </rPr>
          <t xml:space="preserve">
New NM
</t>
        </r>
      </text>
    </comment>
    <comment ref="B13" authorId="0" shapeId="0" xr:uid="{00000000-0006-0000-0200-000006000000}">
      <text>
        <r>
          <rPr>
            <b/>
            <sz val="9"/>
            <color indexed="81"/>
            <rFont val="Tahoma"/>
            <family val="2"/>
          </rPr>
          <t>Fischer, Maria:</t>
        </r>
        <r>
          <rPr>
            <sz val="9"/>
            <color indexed="81"/>
            <rFont val="Tahoma"/>
            <family val="2"/>
          </rPr>
          <t xml:space="preserve">
New BTM
</t>
        </r>
      </text>
    </comment>
    <comment ref="B17" authorId="0" shapeId="0" xr:uid="{40C84916-F80D-476A-81BA-D1C8628B1394}">
      <text>
        <r>
          <rPr>
            <b/>
            <sz val="9"/>
            <color indexed="81"/>
            <rFont val="Tahoma"/>
            <family val="2"/>
          </rPr>
          <t>Fischer, Maria:</t>
        </r>
        <r>
          <rPr>
            <sz val="9"/>
            <color indexed="81"/>
            <rFont val="Tahoma"/>
            <family val="2"/>
          </rPr>
          <t xml:space="preserve">
embedded in forecast
</t>
        </r>
      </text>
    </comment>
    <comment ref="B18" authorId="0" shapeId="0" xr:uid="{00000000-0006-0000-0200-000007000000}">
      <text>
        <r>
          <rPr>
            <b/>
            <sz val="9"/>
            <color indexed="81"/>
            <rFont val="Tahoma"/>
            <family val="2"/>
          </rPr>
          <t>Fischer, Maria:</t>
        </r>
        <r>
          <rPr>
            <sz val="9"/>
            <color indexed="81"/>
            <rFont val="Tahoma"/>
            <family val="2"/>
          </rPr>
          <t xml:space="preserve">
embedded in baseline forecast. 
62 MW of NM RECs online. Assume 14% CF and 1% give their RECs to the utility PLUS 2017 RECs at the same price</t>
        </r>
      </text>
    </comment>
    <comment ref="B39" authorId="0" shapeId="0" xr:uid="{A76F80B1-20CD-4B05-88FD-77558F0A60F9}">
      <text>
        <r>
          <rPr>
            <b/>
            <sz val="9"/>
            <color indexed="81"/>
            <rFont val="Tahoma"/>
            <family val="2"/>
          </rPr>
          <t>Fischer, Maria:</t>
        </r>
        <r>
          <rPr>
            <sz val="9"/>
            <color indexed="81"/>
            <rFont val="Tahoma"/>
            <family val="2"/>
          </rPr>
          <t xml:space="preserve">
embedded in forecast. Do not qualify as Tier II RECs. Reflects installations through 2015.
</t>
        </r>
      </text>
    </comment>
    <comment ref="B40" authorId="0" shapeId="0" xr:uid="{A5B50211-A61F-4E60-8334-3566A8D4567A}">
      <text>
        <r>
          <rPr>
            <b/>
            <sz val="9"/>
            <color indexed="81"/>
            <rFont val="Tahoma"/>
            <family val="2"/>
          </rPr>
          <t>Fischer, Maria:</t>
        </r>
        <r>
          <rPr>
            <sz val="9"/>
            <color indexed="81"/>
            <rFont val="Tahoma"/>
            <family val="2"/>
          </rPr>
          <t xml:space="preserve">
NM 1.0 not embedded in baseline forecast. 
161 MW of NM 1.0RECs online. Assume 14% CF and 1% give their RECs to the utility
</t>
        </r>
      </text>
    </comment>
    <comment ref="B41" authorId="0" shapeId="0" xr:uid="{772641AF-3723-4C11-A9BC-FF3F9BFE3183}">
      <text>
        <r>
          <rPr>
            <b/>
            <sz val="9"/>
            <color indexed="81"/>
            <rFont val="Tahoma"/>
            <family val="2"/>
          </rPr>
          <t>Fischer, Maria:</t>
        </r>
        <r>
          <rPr>
            <sz val="9"/>
            <color indexed="81"/>
            <rFont val="Tahoma"/>
            <family val="2"/>
          </rPr>
          <t xml:space="preserve">
new NM.  Most do transfer RECs to utility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Fischer, Maria</author>
  </authors>
  <commentList>
    <comment ref="B29" authorId="0" shapeId="0" xr:uid="{00000000-0006-0000-0300-000001000000}">
      <text>
        <r>
          <rPr>
            <b/>
            <sz val="9"/>
            <color indexed="81"/>
            <rFont val="Tahoma"/>
            <family val="2"/>
          </rPr>
          <t>Fischer, Maria:</t>
        </r>
        <r>
          <rPr>
            <sz val="9"/>
            <color indexed="81"/>
            <rFont val="Tahoma"/>
            <family val="2"/>
          </rPr>
          <t xml:space="preserve">
this does not include additional revenues at retail rates to offset costs
</t>
        </r>
      </text>
    </comment>
    <comment ref="B33" authorId="0" shapeId="0" xr:uid="{00000000-0006-0000-0300-000002000000}">
      <text>
        <r>
          <rPr>
            <b/>
            <sz val="9"/>
            <color indexed="81"/>
            <rFont val="Tahoma"/>
            <family val="2"/>
          </rPr>
          <t>Fischer, Maria:</t>
        </r>
        <r>
          <rPr>
            <sz val="9"/>
            <color indexed="81"/>
            <rFont val="Tahoma"/>
            <family val="2"/>
          </rPr>
          <t xml:space="preserve">
this does not include additional revenues at retail rates to offset costs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Fischer, Maria</author>
  </authors>
  <commentList>
    <comment ref="B6" authorId="0" shapeId="0" xr:uid="{00000000-0006-0000-0400-000001000000}">
      <text>
        <r>
          <rPr>
            <b/>
            <sz val="9"/>
            <color indexed="81"/>
            <rFont val="Tahoma"/>
            <family val="2"/>
          </rPr>
          <t>Fischer, Maria:</t>
        </r>
        <r>
          <rPr>
            <sz val="9"/>
            <color indexed="81"/>
            <rFont val="Tahoma"/>
            <family val="2"/>
          </rPr>
          <t xml:space="preserve">
based on actual 2017 total COS
</t>
        </r>
      </text>
    </comment>
    <comment ref="B17" authorId="0" shapeId="0" xr:uid="{00000000-0006-0000-0400-000002000000}">
      <text>
        <r>
          <rPr>
            <b/>
            <sz val="9"/>
            <color indexed="81"/>
            <rFont val="Tahoma"/>
            <family val="2"/>
          </rPr>
          <t>Fischer, Maria:</t>
        </r>
        <r>
          <rPr>
            <sz val="9"/>
            <color indexed="81"/>
            <rFont val="Tahoma"/>
            <family val="2"/>
          </rPr>
          <t xml:space="preserve">
based on actual 2018 sales escalating at VELCO LRTP baseline escalation.  Reflects RTLO (net of existing NM, but before the addition of new NM)</t>
        </r>
      </text>
    </comment>
    <comment ref="B24" authorId="0" shapeId="0" xr:uid="{00000000-0006-0000-0400-000003000000}">
      <text>
        <r>
          <rPr>
            <b/>
            <sz val="9"/>
            <color indexed="81"/>
            <rFont val="Tahoma"/>
            <family val="2"/>
          </rPr>
          <t>Fischer, Maria:</t>
        </r>
        <r>
          <rPr>
            <sz val="9"/>
            <color indexed="81"/>
            <rFont val="Tahoma"/>
            <family val="2"/>
          </rPr>
          <t xml:space="preserve">
related to additional load from Tier III measures</t>
        </r>
      </text>
    </comment>
    <comment ref="B29" authorId="0" shapeId="0" xr:uid="{00000000-0006-0000-0400-000004000000}">
      <text>
        <r>
          <rPr>
            <b/>
            <sz val="9"/>
            <color indexed="81"/>
            <rFont val="Tahoma"/>
            <family val="2"/>
          </rPr>
          <t>Fischer, Maria:</t>
        </r>
        <r>
          <rPr>
            <sz val="9"/>
            <color indexed="81"/>
            <rFont val="Tahoma"/>
            <family val="2"/>
          </rPr>
          <t xml:space="preserve">
based on actual 2017 sales escalating at VELCO LRTP baseline escalation, plus new NM and additional load resulting from Tier III measures</t>
        </r>
      </text>
    </comment>
    <comment ref="B38" authorId="0" shapeId="0" xr:uid="{00000000-0006-0000-0400-000005000000}">
      <text>
        <r>
          <rPr>
            <b/>
            <sz val="9"/>
            <color indexed="81"/>
            <rFont val="Tahoma"/>
            <family val="2"/>
          </rPr>
          <t>Fischer, Maria:</t>
        </r>
        <r>
          <rPr>
            <sz val="9"/>
            <color indexed="81"/>
            <rFont val="Tahoma"/>
            <family val="2"/>
          </rPr>
          <t xml:space="preserve">
impact of Tier III; NOT NM impacts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Fischer, Maria</author>
  </authors>
  <commentList>
    <comment ref="B5" authorId="0" shapeId="0" xr:uid="{00000000-0006-0000-0600-000001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B6" authorId="0" shapeId="0" xr:uid="{7D5874B5-3C8E-4E27-A1AE-A418176B5C43}">
      <text>
        <r>
          <rPr>
            <b/>
            <sz val="9"/>
            <color indexed="81"/>
            <rFont val="Tahoma"/>
            <family val="2"/>
          </rPr>
          <t>Fischer, Maria:</t>
        </r>
        <r>
          <rPr>
            <sz val="9"/>
            <color indexed="81"/>
            <rFont val="Tahoma"/>
            <family val="2"/>
          </rPr>
          <t xml:space="preserve">
new NM.  Most do transfer RECs to utility
</t>
        </r>
      </text>
    </comment>
    <comment ref="B11" authorId="0" shapeId="0" xr:uid="{00000000-0006-0000-0600-000002000000}">
      <text>
        <r>
          <rPr>
            <b/>
            <sz val="9"/>
            <color indexed="81"/>
            <rFont val="Tahoma"/>
            <family val="2"/>
          </rPr>
          <t>Fischer, Maria:</t>
        </r>
        <r>
          <rPr>
            <sz val="9"/>
            <color indexed="81"/>
            <rFont val="Tahoma"/>
            <family val="2"/>
          </rPr>
          <t xml:space="preserve">
does not allow for resale of NM RECs
</t>
        </r>
      </text>
    </comment>
    <comment ref="B13" authorId="0" shapeId="0" xr:uid="{00000000-0006-0000-0600-000003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B18" authorId="0" shapeId="0" xr:uid="{00000000-0006-0000-0600-000004000000}">
      <text>
        <r>
          <rPr>
            <b/>
            <sz val="9"/>
            <color indexed="81"/>
            <rFont val="Tahoma"/>
            <family val="2"/>
          </rPr>
          <t>Fischer, Maria:</t>
        </r>
        <r>
          <rPr>
            <sz val="9"/>
            <color indexed="81"/>
            <rFont val="Tahoma"/>
            <family val="2"/>
          </rPr>
          <t xml:space="preserve">
62 MW of NM RECs online. Assume 14% CF and 1% give their RECs to the utility PLUS 2017 RECs at the same price
</t>
        </r>
      </text>
    </comment>
    <comment ref="D28" authorId="0" shapeId="0" xr:uid="{E0A6FF69-CC59-4945-9747-870192C861B8}">
      <text>
        <r>
          <rPr>
            <b/>
            <sz val="9"/>
            <color indexed="81"/>
            <rFont val="Tahoma"/>
            <family val="2"/>
          </rPr>
          <t>Fischer, Maria:</t>
        </r>
        <r>
          <rPr>
            <sz val="9"/>
            <color indexed="81"/>
            <rFont val="Tahoma"/>
            <family val="2"/>
          </rPr>
          <t xml:space="preserve">
this is a bit higher than VELCO forecast of 35,268 for 2017.  Actuals - 37 MW installed ~ 45,263 MWh
</t>
        </r>
      </text>
    </comment>
    <comment ref="D29" authorId="0" shapeId="0" xr:uid="{00000000-0006-0000-0600-000005000000}">
      <text>
        <r>
          <rPr>
            <b/>
            <sz val="9"/>
            <color indexed="81"/>
            <rFont val="Tahoma"/>
            <family val="2"/>
          </rPr>
          <t>Fischer, Maria:</t>
        </r>
        <r>
          <rPr>
            <sz val="9"/>
            <color indexed="81"/>
            <rFont val="Tahoma"/>
            <family val="2"/>
          </rPr>
          <t xml:space="preserve">
this is a bit higher than VELCO forecast of 35,268 for 2017.  Actuals - 37 MW installed ~ 45,263 MWh
</t>
        </r>
      </text>
    </comment>
    <comment ref="D30" authorId="0" shapeId="0" xr:uid="{00000000-0006-0000-0600-000006000000}">
      <text>
        <r>
          <rPr>
            <b/>
            <sz val="9"/>
            <color indexed="81"/>
            <rFont val="Tahoma"/>
            <family val="2"/>
          </rPr>
          <t>Fischer, Maria:</t>
        </r>
        <r>
          <rPr>
            <sz val="9"/>
            <color indexed="81"/>
            <rFont val="Tahoma"/>
            <family val="2"/>
          </rPr>
          <t xml:space="preserve">
this is a bit higher than VELCO forecast of 35,268 for 2017.  Actuals - 37 MW installed ~ 45,263 MWh
</t>
        </r>
      </text>
    </comment>
    <comment ref="D31" authorId="0" shapeId="0" xr:uid="{00000000-0006-0000-0600-000007000000}">
      <text>
        <r>
          <rPr>
            <b/>
            <sz val="9"/>
            <color indexed="81"/>
            <rFont val="Tahoma"/>
            <family val="2"/>
          </rPr>
          <t>Fischer, Maria:</t>
        </r>
        <r>
          <rPr>
            <sz val="9"/>
            <color indexed="81"/>
            <rFont val="Tahoma"/>
            <family val="2"/>
          </rPr>
          <t xml:space="preserve">
this is a bit higher than VELCO forecast of 35,268 for 2017.  Actuals - 37 MW installed ~ 45,263 MWh
</t>
        </r>
      </text>
    </comment>
    <comment ref="D32" authorId="0" shapeId="0" xr:uid="{00000000-0006-0000-0600-000008000000}">
      <text>
        <r>
          <rPr>
            <b/>
            <sz val="9"/>
            <color indexed="81"/>
            <rFont val="Tahoma"/>
            <family val="2"/>
          </rPr>
          <t>Fischer, Maria:</t>
        </r>
        <r>
          <rPr>
            <sz val="9"/>
            <color indexed="81"/>
            <rFont val="Tahoma"/>
            <family val="2"/>
          </rPr>
          <t xml:space="preserve">
this is a bit higher than VELCO forecast of 35,268 for 2017.  Actuals - 37 MW installed ~ 45,263 MWh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tc={2D5082E3-CDF3-4D36-A401-8E9D1C75FDA4}</author>
    <author>Richard Faesy</author>
    <author>tc={4774CEDB-B83C-4DBA-AC5C-52F2327F202F}</author>
  </authors>
  <commentList>
    <comment ref="E1" authorId="0" shapeId="0" xr:uid="{2D5082E3-CDF3-4D36-A401-8E9D1C75FDA4}">
      <text>
        <t>[Threaded comment]
Your version of Excel allows you to read this threaded comment; however, any edits to it will get removed if the file is opened in a newer version of Excel. Learn more: https://go.microsoft.com/fwlink/?linkid=870924
Comment:
    These values were set with a trial and error method—low FF has incentives for CCHP and EVs around $1000, and high FF has incentives around $500 per unit, which seem like reasonable per measure incentives.</t>
      </text>
    </comment>
    <comment ref="K2" authorId="1" shapeId="0" xr:uid="{00000000-0006-0000-0700-000001000000}">
      <text>
        <r>
          <rPr>
            <sz val="9"/>
            <color indexed="81"/>
            <rFont val="Tahoma"/>
            <family val="2"/>
          </rPr>
          <t>http://www.eia.gov/totalenergy/data/monthly/pdf/sec13_6.pdf
Table A6: Monthly Updates page on EIA site: http://www.eia.gov/totalenergy/data/monthly/</t>
        </r>
      </text>
    </comment>
    <comment ref="L2" authorId="1" shapeId="0" xr:uid="{00000000-0006-0000-0700-000002000000}">
      <text>
        <r>
          <rPr>
            <sz val="9"/>
            <color indexed="81"/>
            <rFont val="Tahoma"/>
            <family val="2"/>
          </rPr>
          <t>To account for free-ridership.  From planning tool.</t>
        </r>
      </text>
    </comment>
    <comment ref="G6" authorId="2" shapeId="0" xr:uid="{4774CEDB-B83C-4DBA-AC5C-52F2327F202F}">
      <text>
        <t>[Threaded comment]
Your version of Excel allows you to read this threaded comment; however, any edits to it will get removed if the file is opened in a newer version of Excel. Learn more: https://go.microsoft.com/fwlink/?linkid=870924
Comment:
    29 kwh of additional load per MWh of claimed savings based on VEC 2017 actual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tc={DF42EEF7-8216-4605-BC50-491C726ECF79}</author>
    <author>Fischer, Maria</author>
    <author>tc={FFCEC4D2-2087-4F12-A7ED-63466D74372E}</author>
  </authors>
  <commentList>
    <comment ref="G38" authorId="0" shapeId="0" xr:uid="{DF42EEF7-8216-4605-BC50-491C726ECF79}">
      <text>
        <t>[Threaded comment]
Your version of Excel allows you to read this threaded comment; however, any edits to it will get removed if the file is opened in a newer version of Excel. Learn more: https://go.microsoft.com/fwlink/?linkid=870924
Comment:
    leave at 30% nuclear??</t>
      </text>
    </comment>
    <comment ref="B45" authorId="1" shapeId="0" xr:uid="{DF4425D8-E777-4BEC-8DBE-9F16FA1784E6}">
      <text>
        <r>
          <rPr>
            <b/>
            <sz val="9"/>
            <color indexed="81"/>
            <rFont val="Tahoma"/>
            <family val="2"/>
          </rPr>
          <t>Fischer, Maria:</t>
        </r>
        <r>
          <rPr>
            <sz val="9"/>
            <color indexed="81"/>
            <rFont val="Tahoma"/>
            <family val="2"/>
          </rPr>
          <t xml:space="preserve">
assumes constant emissions rate of the residual mix
</t>
        </r>
      </text>
    </comment>
    <comment ref="B46" authorId="1" shapeId="0" xr:uid="{D11984A1-2E41-4EFE-B4FA-5E97CE421E07}">
      <text>
        <r>
          <rPr>
            <b/>
            <sz val="9"/>
            <color indexed="81"/>
            <rFont val="Tahoma"/>
            <family val="2"/>
          </rPr>
          <t>Fischer, Maria:</t>
        </r>
        <r>
          <rPr>
            <sz val="9"/>
            <color indexed="81"/>
            <rFont val="Tahoma"/>
            <family val="2"/>
          </rPr>
          <t xml:space="preserve">
assumes constant emissions rate of the residual mix
</t>
        </r>
      </text>
    </comment>
    <comment ref="B47" authorId="1" shapeId="0" xr:uid="{00000000-0006-0000-0900-000001000000}">
      <text>
        <r>
          <rPr>
            <b/>
            <sz val="9"/>
            <color indexed="81"/>
            <rFont val="Tahoma"/>
            <family val="2"/>
          </rPr>
          <t>Fischer, Maria:</t>
        </r>
        <r>
          <rPr>
            <sz val="9"/>
            <color indexed="81"/>
            <rFont val="Tahoma"/>
            <family val="2"/>
          </rPr>
          <t xml:space="preserve">
assumes constant emissions rate of the residual mix
</t>
        </r>
      </text>
    </comment>
    <comment ref="B51" authorId="1" shapeId="0" xr:uid="{D8A0A609-6A85-49E1-A476-3144777EE975}">
      <text>
        <r>
          <rPr>
            <b/>
            <sz val="9"/>
            <color indexed="81"/>
            <rFont val="Tahoma"/>
            <family val="2"/>
          </rPr>
          <t>Fischer, Maria:</t>
        </r>
        <r>
          <rPr>
            <sz val="9"/>
            <color indexed="81"/>
            <rFont val="Tahoma"/>
            <family val="2"/>
          </rPr>
          <t xml:space="preserve">
assumes constant emissions rate of the residual mix
</t>
        </r>
      </text>
    </comment>
    <comment ref="B52" authorId="1" shapeId="0" xr:uid="{A181A58D-80F4-4F09-816D-04B633E54F46}">
      <text>
        <r>
          <rPr>
            <b/>
            <sz val="9"/>
            <color indexed="81"/>
            <rFont val="Tahoma"/>
            <family val="2"/>
          </rPr>
          <t>Fischer, Maria:</t>
        </r>
        <r>
          <rPr>
            <sz val="9"/>
            <color indexed="81"/>
            <rFont val="Tahoma"/>
            <family val="2"/>
          </rPr>
          <t xml:space="preserve">
assumes constant emissions rate of the residual mix
</t>
        </r>
      </text>
    </comment>
    <comment ref="B53" authorId="1" shapeId="0" xr:uid="{6E16D5B9-3718-4EE7-974D-90054C9DE4FC}">
      <text>
        <r>
          <rPr>
            <b/>
            <sz val="9"/>
            <color indexed="81"/>
            <rFont val="Tahoma"/>
            <family val="2"/>
          </rPr>
          <t>Fischer, Maria:</t>
        </r>
        <r>
          <rPr>
            <sz val="9"/>
            <color indexed="81"/>
            <rFont val="Tahoma"/>
            <family val="2"/>
          </rPr>
          <t xml:space="preserve">
assumes constant emissions rate of the residual mix
</t>
        </r>
      </text>
    </comment>
    <comment ref="B60" authorId="2" shapeId="0" xr:uid="{FFCEC4D2-2087-4F12-A7ED-63466D74372E}">
      <text>
        <t>[Threaded comment]
Your version of Excel allows you to read this threaded comment; however, any edits to it will get removed if the file is opened in a newer version of Excel. Learn more: https://go.microsoft.com/fwlink/?linkid=870924
Comment:
    is this OK-- check for 2018</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Woodward, John</author>
  </authors>
  <commentList>
    <comment ref="B5" authorId="0" shapeId="0" xr:uid="{00000000-0006-0000-0B00-000001000000}">
      <text>
        <r>
          <rPr>
            <b/>
            <sz val="9"/>
            <color indexed="81"/>
            <rFont val="Tahoma"/>
            <family val="2"/>
          </rPr>
          <t>for reference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 Plotzker</author>
  </authors>
  <commentList>
    <comment ref="J2" authorId="0" shapeId="0" xr:uid="{F6BDC4EF-1CE5-47EA-B10A-DCF3BDCAC0F7}">
      <text>
        <r>
          <rPr>
            <b/>
            <sz val="9"/>
            <color indexed="81"/>
            <rFont val="Tahoma"/>
            <family val="2"/>
          </rPr>
          <t>Ben Plotzker:</t>
        </r>
        <r>
          <rPr>
            <sz val="9"/>
            <color indexed="81"/>
            <rFont val="Tahoma"/>
            <family val="2"/>
          </rPr>
          <t xml:space="preserve">
* This is 2015 value for % of Fossil Fuel in electric mix</t>
        </r>
      </text>
    </comment>
    <comment ref="G111" authorId="0" shapeId="0" xr:uid="{837409E6-5C82-4FEA-B271-DC421CC443E8}">
      <text>
        <r>
          <rPr>
            <b/>
            <sz val="9"/>
            <color indexed="81"/>
            <rFont val="Tahoma"/>
            <family val="2"/>
          </rPr>
          <t>Ben Plotzker:</t>
        </r>
        <r>
          <rPr>
            <sz val="9"/>
            <color indexed="81"/>
            <rFont val="Tahoma"/>
            <family val="2"/>
          </rPr>
          <t xml:space="preserve">
DU must use the 2019 Tier III Battery Analysis tool to find out their DU specific savings for Tier III savings. This tool outputs the net MWh, so there is no need to fill columns I or J for this measure.
Verify you are inputting the first year Net MWh equivalent saved. This value will be multiplied by measure life by Column M.</t>
        </r>
      </text>
    </comment>
    <comment ref="G119" authorId="0" shapeId="0" xr:uid="{5F000080-8E15-47FA-960D-161CEDB30FA1}">
      <text>
        <r>
          <rPr>
            <b/>
            <sz val="9"/>
            <color indexed="81"/>
            <rFont val="Tahoma"/>
            <family val="2"/>
          </rPr>
          <t>Ben Plotzker:</t>
        </r>
        <r>
          <rPr>
            <sz val="9"/>
            <color indexed="81"/>
            <rFont val="Tahoma"/>
            <family val="2"/>
          </rPr>
          <t xml:space="preserve">
http://www.eia.gov/totalenergy/data/monthly/
Page 221, Table A6. Approximate Heat Rates for Electricity, and Heat Content of Electricity</t>
        </r>
      </text>
    </comment>
  </commentList>
</comments>
</file>

<file path=xl/sharedStrings.xml><?xml version="1.0" encoding="utf-8"?>
<sst xmlns="http://schemas.openxmlformats.org/spreadsheetml/2006/main" count="1511" uniqueCount="755">
  <si>
    <t xml:space="preserve">Projected Retail Sales </t>
  </si>
  <si>
    <t>MWh</t>
  </si>
  <si>
    <t>Tier I Requirement</t>
  </si>
  <si>
    <t>Tier II Requirement</t>
  </si>
  <si>
    <t>Tier III Requirement</t>
  </si>
  <si>
    <t>%</t>
  </si>
  <si>
    <t>CCHP</t>
  </si>
  <si>
    <t>EV</t>
  </si>
  <si>
    <t>TOTAL</t>
  </si>
  <si>
    <t>Baseline</t>
  </si>
  <si>
    <t>- Solar</t>
  </si>
  <si>
    <t>+ Heat Pumps</t>
  </si>
  <si>
    <t>Solar</t>
  </si>
  <si>
    <t>Heat Pumps</t>
  </si>
  <si>
    <t>Retail Sales</t>
  </si>
  <si>
    <t>NIA</t>
  </si>
  <si>
    <t>Low</t>
  </si>
  <si>
    <t>Mid</t>
  </si>
  <si>
    <t>High</t>
  </si>
  <si>
    <t>inflation rate</t>
  </si>
  <si>
    <t>customer discount rate</t>
  </si>
  <si>
    <t>residential electricity rate ($/MWh)</t>
  </si>
  <si>
    <t xml:space="preserve">retail electricity price trend </t>
  </si>
  <si>
    <t>Custom</t>
  </si>
  <si>
    <t>Weatherization</t>
  </si>
  <si>
    <t>Tier I Sources</t>
  </si>
  <si>
    <t>Tier II Sources</t>
  </si>
  <si>
    <t>Tier III Sources</t>
  </si>
  <si>
    <t>HQ</t>
  </si>
  <si>
    <t>Total NIA to VT</t>
  </si>
  <si>
    <r>
      <t xml:space="preserve">VELCO LRTP                </t>
    </r>
    <r>
      <rPr>
        <sz val="10"/>
        <color theme="1"/>
        <rFont val="Calibri"/>
        <family val="2"/>
        <scheme val="minor"/>
      </rPr>
      <t>(spring 2018)</t>
    </r>
  </si>
  <si>
    <t>NM Escalation Rate</t>
  </si>
  <si>
    <t>low</t>
  </si>
  <si>
    <t>high</t>
  </si>
  <si>
    <t>Standard Offer (post 7/2015)</t>
  </si>
  <si>
    <t>Technology</t>
  </si>
  <si>
    <t>Capacity Factor AC</t>
  </si>
  <si>
    <t>Biomass</t>
  </si>
  <si>
    <t>Farm Methane</t>
  </si>
  <si>
    <t>Hydropower</t>
  </si>
  <si>
    <t>Landfill Methane</t>
  </si>
  <si>
    <t>Wind</t>
  </si>
  <si>
    <t>% of Projects</t>
  </si>
  <si>
    <t>mid</t>
  </si>
  <si>
    <t>Tier I @ Market</t>
  </si>
  <si>
    <t>Tier II @ Market</t>
  </si>
  <si>
    <t>Tier III @ Market</t>
  </si>
  <si>
    <t>Tier I Cost</t>
  </si>
  <si>
    <t>Tier II Cost</t>
  </si>
  <si>
    <t>Tier III Cost</t>
  </si>
  <si>
    <t>Purchases/ Owned</t>
  </si>
  <si>
    <t>Cost</t>
  </si>
  <si>
    <t>$/MWh</t>
  </si>
  <si>
    <t>$$</t>
  </si>
  <si>
    <t>Source</t>
  </si>
  <si>
    <t>AVG</t>
  </si>
  <si>
    <t>RNS</t>
  </si>
  <si>
    <t>COS Market tied</t>
  </si>
  <si>
    <t>COS inflation tied</t>
  </si>
  <si>
    <t>COS depreciation tied</t>
  </si>
  <si>
    <t>COS TOTAL</t>
  </si>
  <si>
    <t>Allocation</t>
  </si>
  <si>
    <t>Annual Additional MWh per unit</t>
  </si>
  <si>
    <t>Energy (ATC)</t>
  </si>
  <si>
    <t>$/ MWh</t>
  </si>
  <si>
    <t>Capacity</t>
  </si>
  <si>
    <t>$/kw-mo</t>
  </si>
  <si>
    <t>$/kw-year</t>
  </si>
  <si>
    <t>RES TIER III Req</t>
  </si>
  <si>
    <t>MWh Equivalent to Meet Requirement</t>
  </si>
  <si>
    <t>Tier II RECs</t>
  </si>
  <si>
    <t>VT Non-Fossil %</t>
  </si>
  <si>
    <t>New NM- post-2016</t>
  </si>
  <si>
    <t>TOTAL NM</t>
  </si>
  <si>
    <t>Number of New Units</t>
  </si>
  <si>
    <t>Cost of Incentive</t>
  </si>
  <si>
    <t>$</t>
  </si>
  <si>
    <t>baseline</t>
  </si>
  <si>
    <t>Total Tier III additions</t>
  </si>
  <si>
    <t>Tier I Price</t>
  </si>
  <si>
    <t>Tier II Price</t>
  </si>
  <si>
    <t>Tier III Price</t>
  </si>
  <si>
    <t>Price</t>
  </si>
  <si>
    <t>MID</t>
  </si>
  <si>
    <t>STANDARD OFFER</t>
  </si>
  <si>
    <t>NET METERING</t>
  </si>
  <si>
    <t>VELCO</t>
  </si>
  <si>
    <t>CAGR</t>
  </si>
  <si>
    <t>New Standard Offer MW</t>
  </si>
  <si>
    <t>Cumulative SO MW (post-2016)</t>
  </si>
  <si>
    <t>Standard Offer Capacity Factor</t>
  </si>
  <si>
    <t>NM Annual Escalation rate</t>
  </si>
  <si>
    <t>Excess Tier II RECS</t>
  </si>
  <si>
    <t>Tier II RECs to AQUIRE</t>
  </si>
  <si>
    <t>Market</t>
  </si>
  <si>
    <t>Price:</t>
  </si>
  <si>
    <t>NYPA (NIA)</t>
  </si>
  <si>
    <t>(low, mid, high)</t>
  </si>
  <si>
    <t>BAU</t>
  </si>
  <si>
    <t>FF MMBtu displaced per T3 credit</t>
  </si>
  <si>
    <t>space htg load (MMBtu/yr)</t>
  </si>
  <si>
    <t>water htg load (MMBtu/yr)</t>
  </si>
  <si>
    <t>not used</t>
  </si>
  <si>
    <t>space htg equip cost</t>
  </si>
  <si>
    <t>avg for 9,000 Btu single head system is around $1,300; multi-head systems run from$3,500 to $6,000</t>
  </si>
  <si>
    <t>water htg equip cost</t>
  </si>
  <si>
    <t>equipment cost trend</t>
  </si>
  <si>
    <t>not a critical assumption to stress test. Fine to set at inflation but can set escalation rate high to help find upper bound of compliance costs</t>
  </si>
  <si>
    <t>% space htg load displaced</t>
  </si>
  <si>
    <t>N/A</t>
  </si>
  <si>
    <t>set low to find upper bound of compliance costs</t>
  </si>
  <si>
    <t>% water htg load displaced</t>
  </si>
  <si>
    <t>space htg load met w/CCHP</t>
  </si>
  <si>
    <t>water htg load met w/CCHP</t>
  </si>
  <si>
    <t>space htg load met w/FF</t>
  </si>
  <si>
    <t>water htg load met w/FF</t>
  </si>
  <si>
    <t>space htg elc usage (MWh)</t>
  </si>
  <si>
    <t xml:space="preserve">LRTP assumes 3.256 UEC. Cadmus metering study found 1,500 kWh supplies around 50 MMBtu of htg load </t>
  </si>
  <si>
    <t>water htg elc usage (MWh</t>
  </si>
  <si>
    <t>space clg elc usage (MWh)</t>
  </si>
  <si>
    <t xml:space="preserve"> </t>
  </si>
  <si>
    <t>space htg T3 credit (MWh)</t>
  </si>
  <si>
    <t xml:space="preserve">enter assumed average over projection period </t>
  </si>
  <si>
    <t>water htg T3 credit (MWh)</t>
  </si>
  <si>
    <t>break-even incentive</t>
  </si>
  <si>
    <t>incentive cost per T3 credit</t>
  </si>
  <si>
    <t>ACP celiling on incentive</t>
  </si>
  <si>
    <t>BAU CAPEX</t>
  </si>
  <si>
    <t>CCHP CAPEX</t>
  </si>
  <si>
    <t>BAU expected OPEX</t>
  </si>
  <si>
    <t>CCHP expected OPEX</t>
  </si>
  <si>
    <t>NOTES:</t>
  </si>
  <si>
    <t>$/mmbtu</t>
  </si>
  <si>
    <t>Retail Rate</t>
  </si>
  <si>
    <t>Tier III ACP</t>
  </si>
  <si>
    <t>Tier I ACP</t>
  </si>
  <si>
    <t>Tier II ACP</t>
  </si>
  <si>
    <t>$/unit</t>
  </si>
  <si>
    <t>CALENDAR YEAR</t>
  </si>
  <si>
    <t>ELECTRIC VEHICLES</t>
  </si>
  <si>
    <t>WEATHERIZATION</t>
  </si>
  <si>
    <t>CUSTOM</t>
  </si>
  <si>
    <t>EV CAPEX</t>
  </si>
  <si>
    <t>EV expected OPEX</t>
  </si>
  <si>
    <t>Wx CAPEX</t>
  </si>
  <si>
    <t>Wx expected OPEX</t>
  </si>
  <si>
    <t>CAPEX</t>
  </si>
  <si>
    <t>Expected OPEX</t>
  </si>
  <si>
    <t>VMT/year</t>
  </si>
  <si>
    <t>equipment cost</t>
  </si>
  <si>
    <t>cost trend</t>
  </si>
  <si>
    <t>fuel efficiency (MMBtu/mile)</t>
  </si>
  <si>
    <t>fuel usage (MMBtu)</t>
  </si>
  <si>
    <t>maintenance cost/mi (yr 1)</t>
  </si>
  <si>
    <t>maintenance cost/yr (yr 1)</t>
  </si>
  <si>
    <t>electricity usage (MWh)</t>
  </si>
  <si>
    <t>T3 credit (MWh)</t>
  </si>
  <si>
    <t>Federal Incentive</t>
  </si>
  <si>
    <t>net incentive from DU</t>
  </si>
  <si>
    <t>Wholesale Cost of CCHP</t>
  </si>
  <si>
    <t>Wholesale Cost of EV</t>
  </si>
  <si>
    <t>CCHP LMP multiplier</t>
  </si>
  <si>
    <t>EV LMP multiplier</t>
  </si>
  <si>
    <t>Weatherization multiplier</t>
  </si>
  <si>
    <t>Custom multiplier</t>
  </si>
  <si>
    <t>Tier III contribution to RNS peaks</t>
  </si>
  <si>
    <t>Tier III contribution to FCM peaks</t>
  </si>
  <si>
    <t>(0 = no additional peak load; 1 = 100% of load at the time of peaks)</t>
  </si>
  <si>
    <t>Additional Revenue at Retail Rates</t>
  </si>
  <si>
    <t>Cost of Additional Load</t>
  </si>
  <si>
    <t>base year</t>
  </si>
  <si>
    <t>Total Number of Units</t>
  </si>
  <si>
    <t>Tier III Technology Allocation</t>
  </si>
  <si>
    <t>Wholesale Cost of Weatherization</t>
  </si>
  <si>
    <t>Wholesale Cost of Custom</t>
  </si>
  <si>
    <t>(VELCO, low, mid, high) NM forecasts on Tier II tab, rows 26-30</t>
  </si>
  <si>
    <t>base</t>
  </si>
  <si>
    <t>Base Energy, Capacity, REC Tier I forecats from PSD fall outlooks</t>
  </si>
  <si>
    <t>Low Fossil Fuel escalation</t>
  </si>
  <si>
    <t>Mid Fossil Fuel escalation</t>
  </si>
  <si>
    <t>High Fossil Fuel escalation</t>
  </si>
  <si>
    <t>1.6% is consistent with base PSD LMP forecast from fall 2018</t>
  </si>
  <si>
    <t>FF SCENARIO:</t>
  </si>
  <si>
    <t>Fossil Fuel Scenario</t>
  </si>
  <si>
    <t>Total</t>
  </si>
  <si>
    <t>scalar from base</t>
  </si>
  <si>
    <t>FF price- transportation</t>
  </si>
  <si>
    <t>FF price- heating</t>
  </si>
  <si>
    <t>Retail Sales- Baseline</t>
  </si>
  <si>
    <t>+ Tier I Costs</t>
  </si>
  <si>
    <t>+ Tier II Costs</t>
  </si>
  <si>
    <t>+ Tier III Costs</t>
  </si>
  <si>
    <t>- Revenue from Add. Sales</t>
  </si>
  <si>
    <t>TOTAL Cost of Tier III</t>
  </si>
  <si>
    <t>TOTAL Cost of RES</t>
  </si>
  <si>
    <t>REC Scenario</t>
  </si>
  <si>
    <t>Retail Rate- Baseline</t>
  </si>
  <si>
    <t>Rate Impact</t>
  </si>
  <si>
    <t>BASELINE</t>
  </si>
  <si>
    <t>RES</t>
  </si>
  <si>
    <t>Wholesale price trend</t>
  </si>
  <si>
    <t>Fossil Fuel- heating</t>
  </si>
  <si>
    <t>Fossil Fuel- transportation</t>
  </si>
  <si>
    <t>REC SCENARIO:</t>
  </si>
  <si>
    <t>PRICES USED IN MODEL:</t>
  </si>
  <si>
    <t>- new NM</t>
  </si>
  <si>
    <t>+ Tier III additions</t>
  </si>
  <si>
    <t>depreciation rate</t>
  </si>
  <si>
    <t>COS ESCALATION</t>
  </si>
  <si>
    <t>share tied to market</t>
  </si>
  <si>
    <t>share tied to inflation</t>
  </si>
  <si>
    <t>share tied to depreciation</t>
  </si>
  <si>
    <t>ASSUMPTIONS</t>
  </si>
  <si>
    <t>NPV</t>
  </si>
  <si>
    <t>measure life</t>
  </si>
  <si>
    <t>Net to Gross</t>
  </si>
  <si>
    <t>tier 3 lifetime MWh equiv</t>
  </si>
  <si>
    <t>Gross tier 3 lifetime MWh equiv</t>
  </si>
  <si>
    <t>increased kWh/MWh equiv</t>
  </si>
  <si>
    <t>Net Lifetime MWh Savings per Unit</t>
  </si>
  <si>
    <t>Gross Lifetime MWh Saved</t>
  </si>
  <si>
    <t>Multi Zone Cold-Climate Heat Pump (CCHP) with Controls* and High Performing Home</t>
  </si>
  <si>
    <t>Multi Zone Cold-Climate Heat Pump (CCHP) with no Controls* and Low Performing Home</t>
  </si>
  <si>
    <t>Multi Zone Cold-Climate Heat Pump (CCHP) with Controls* and Low Performing Home</t>
  </si>
  <si>
    <t>Multi Zone Cold-Climate Heat Pump (CCHP) with no Controls* and High Performing Home</t>
  </si>
  <si>
    <t>Single Zone Cold-Climate Heat Pump (CCHP) with Controls* and High Performing Home</t>
  </si>
  <si>
    <t>Single Zone Cold-Climate Heat Pump (CCHP) with no Controls* and Low Performing Home</t>
  </si>
  <si>
    <t>Single Zone Cold-Climate Heat Pump (CCHP) with Controls* and Low Performing Home</t>
  </si>
  <si>
    <t>Single Zone Cold-Climate Heat Pump (CCHP) with no Controls* and High Performing Home</t>
  </si>
  <si>
    <t>Heat Pump Water Heater (HPWH)</t>
  </si>
  <si>
    <t>Biodiesel</t>
  </si>
  <si>
    <t>Pellet Heating</t>
  </si>
  <si>
    <t>All Electric Vehicle</t>
  </si>
  <si>
    <t>Plug-in Hybrid Electric Vehicle</t>
  </si>
  <si>
    <t>Level 2 Public Charging Stations</t>
  </si>
  <si>
    <t>Level 2 Workplace Charging Stations</t>
  </si>
  <si>
    <t>DC Fast Public Charging Stations</t>
  </si>
  <si>
    <t>Smart Thermostat</t>
  </si>
  <si>
    <t>Electric Bike</t>
  </si>
  <si>
    <t>Low Flow Faucet Aerator</t>
  </si>
  <si>
    <t>Low Flow Showerhead</t>
  </si>
  <si>
    <t>Solar Hot Water</t>
  </si>
  <si>
    <t>CCHP Average</t>
  </si>
  <si>
    <t>Heat Rate for Fossil Fuels</t>
  </si>
  <si>
    <t>Existing MMBtu Consumption Annually</t>
  </si>
  <si>
    <t>Existing System MMBtu Displaced / Reduced By New System (DMMBtu)</t>
  </si>
  <si>
    <t>Added kWh new system (DkWh)</t>
  </si>
  <si>
    <t>Tier III lifetime MWh elec penalty</t>
  </si>
  <si>
    <t>TOTAL MMBtu of Fossil Fuel Saved</t>
  </si>
  <si>
    <t>Annual MMBtu of Fossil Fuel Saved</t>
  </si>
  <si>
    <t>Energy Prices by Sector and Source</t>
  </si>
  <si>
    <t>Source: U.S. Energy Information Administration</t>
  </si>
  <si>
    <t>full name</t>
  </si>
  <si>
    <t>api key</t>
  </si>
  <si>
    <t>units</t>
  </si>
  <si>
    <t>Residential</t>
  </si>
  <si>
    <t>Propane</t>
  </si>
  <si>
    <t>Energy Prices: Residential: Propane: Reference case</t>
  </si>
  <si>
    <t>Distillate Fuel Oil</t>
  </si>
  <si>
    <t>Energy Prices: Residential: Distillate Fuel Oil: Reference case</t>
  </si>
  <si>
    <t>Natural Gas</t>
  </si>
  <si>
    <t>Energy Prices: Residential: Natural Gas: Reference case</t>
  </si>
  <si>
    <t>Electricity</t>
  </si>
  <si>
    <t>Energy Prices: Residential: Electricity: Reference case</t>
  </si>
  <si>
    <t>Commercial</t>
  </si>
  <si>
    <t>Energy Prices: Commercial: Propane: Reference case</t>
  </si>
  <si>
    <t>Energy Prices: Commercial: Distillate Fuel Oil: Reference case</t>
  </si>
  <si>
    <t>Residual Fuel Oil</t>
  </si>
  <si>
    <t>Energy Prices: Commercial: Residual Fuel: Reference case</t>
  </si>
  <si>
    <t>Energy Prices: Commercial: Natural Gas: Reference case</t>
  </si>
  <si>
    <t>Energy Prices: Commercial: Electricity: Reference case</t>
  </si>
  <si>
    <t>Industrial</t>
  </si>
  <si>
    <t>Energy Prices: Industrial: Propane: Reference case</t>
  </si>
  <si>
    <t>Energy Prices: Industrial: Distillate Fuel Oil: Reference case</t>
  </si>
  <si>
    <t>Energy Prices: Industrial: Residual Fuel Oil: Reference case</t>
  </si>
  <si>
    <t>Energy Prices: Industrial: Natural Gas: Reference case</t>
  </si>
  <si>
    <t>Metallurgical Coal</t>
  </si>
  <si>
    <t>Energy Prices: Industrial: Metallurgical Coal: Reference case</t>
  </si>
  <si>
    <t>Other Industrial Coal</t>
  </si>
  <si>
    <t>Energy Prices: Industrial: Other Industrial Coal: Reference case</t>
  </si>
  <si>
    <t>Coal to Liquids</t>
  </si>
  <si>
    <t>Energy Prices: Industrial: Coal to Liquids: Reference case</t>
  </si>
  <si>
    <t>- -</t>
  </si>
  <si>
    <t>Energy Prices: Industrial: Electricity: Reference case</t>
  </si>
  <si>
    <t>Transportation</t>
  </si>
  <si>
    <t>Energy Prices: Transportation: Propane: Reference case</t>
  </si>
  <si>
    <t>E85</t>
  </si>
  <si>
    <t>Energy Prices: Transportation: E85: Reference case</t>
  </si>
  <si>
    <t>Motor Gasoline</t>
  </si>
  <si>
    <t>Energy Prices: Transportation: Motor Gasoline: Reference case</t>
  </si>
  <si>
    <t>Jet Fuel</t>
  </si>
  <si>
    <t>Energy Prices: Transportation: Jet Fuel: Reference case</t>
  </si>
  <si>
    <t>Diesel Fuel (distillate fuel oil)</t>
  </si>
  <si>
    <t>Energy Prices: Transportation: Diesel Fuel: Reference case</t>
  </si>
  <si>
    <t>Energy Prices: Transportation: Residual Fuel Oil: Reference case</t>
  </si>
  <si>
    <t>Energy Prices: Transportation: Natural Gas: Reference case</t>
  </si>
  <si>
    <t>Energy Prices: Transportation: Electricity: Reference case</t>
  </si>
  <si>
    <t>Electric Power</t>
  </si>
  <si>
    <t>Energy Prices: Electric Power: Distillate Fuel Oil: Reference case</t>
  </si>
  <si>
    <t>Energy Prices: Electric Power: Residual Fuel Oil: Reference case</t>
  </si>
  <si>
    <t>Energy Prices: Electric Power: Natural Gas: Reference case</t>
  </si>
  <si>
    <t>Steam Coal</t>
  </si>
  <si>
    <t>Energy Prices: Electric Power: Steam Coal: Reference case</t>
  </si>
  <si>
    <t>Uranium</t>
  </si>
  <si>
    <t>Energy Prices: Electric Power: Uranium: Reference case</t>
  </si>
  <si>
    <t>Average Price to All Users</t>
  </si>
  <si>
    <t>Energy Prices: Average Price to All Users: Propane: Reference case</t>
  </si>
  <si>
    <t>Energy Prices: Average Price to All Users: E85: Reference case</t>
  </si>
  <si>
    <t>Energy Prices: Average Price to All Users: Motor Gasoline: Reference case</t>
  </si>
  <si>
    <t>Energy Prices: Average Price to All Users: Jet Fuel: Reference case</t>
  </si>
  <si>
    <t>Energy Prices: Average Price to All Users: Distillate Fuel Oil: Reference case</t>
  </si>
  <si>
    <t>Energy Prices: Average Price to All Users: Residual Fuel Oil: Reference case</t>
  </si>
  <si>
    <t>Energy Prices: Average Price to All Users: Natural Gas: Reference case</t>
  </si>
  <si>
    <t>Energy Prices: Average Price to All Users: Metallurgical Coal: Reference case</t>
  </si>
  <si>
    <t>Other Coal</t>
  </si>
  <si>
    <t>Energy Prices: Average Price to All Users: Other Coal: Reference case</t>
  </si>
  <si>
    <t>Energy Prices: Average Price to All Users: Coal to Liquids: Reference case</t>
  </si>
  <si>
    <t>Energy Prices: Average Price to All Users: Electricity: Reference case</t>
  </si>
  <si>
    <t>Non-Renewable Energy Expenditures by Sector</t>
  </si>
  <si>
    <t>Energy Expenditures: Non-Renewable Residential: Reference case</t>
  </si>
  <si>
    <t>Energy Expenditures: Non-Renewable Commercial: Reference case</t>
  </si>
  <si>
    <t>Energy Expenditures: Non-Renewable Industrial: Reference case</t>
  </si>
  <si>
    <t>Energy Expenditures: Non-Renewable Transportation: Reference case</t>
  </si>
  <si>
    <t>Total Non-Renewable Expenditures</t>
  </si>
  <si>
    <t>Energy Expenditures: Total Non-Renewable: Reference case</t>
  </si>
  <si>
    <t>Transportation Renewable Expenditures</t>
  </si>
  <si>
    <t>Energy Expenditures: Renewable Transportation: Reference case</t>
  </si>
  <si>
    <t>Total Expenditures</t>
  </si>
  <si>
    <t>Energy Expenditures: Total Non-Renewable with Renewable Transportation: Reference case</t>
  </si>
  <si>
    <t>Prices in Nominal Dollars</t>
  </si>
  <si>
    <t>Energy Prices: Nominal: Residential: Propane: Reference case</t>
  </si>
  <si>
    <t>nom $/MMBtu</t>
  </si>
  <si>
    <t>Energy Prices: Nominal: Residential: Distillate Fuel Oil: Reference case</t>
  </si>
  <si>
    <t>Energy Prices: Nominal: Residential: Natural Gas: Reference case</t>
  </si>
  <si>
    <t>Energy Prices: Nominal: Residential: Electricity: Reference case</t>
  </si>
  <si>
    <t>Energy Prices: Nominal: Commercial: Propane: Reference case</t>
  </si>
  <si>
    <t>Energy Prices: Nominal: Commercial: Distillate Fuel Oil: Reference case</t>
  </si>
  <si>
    <t>Energy Prices: Nominal: Commercial: Residual Fuel: Reference case</t>
  </si>
  <si>
    <t>Energy Prices: Nominal: Commercial: Natural Gas: Reference case</t>
  </si>
  <si>
    <t>Energy Prices: Nominal: Commercial: Electricity: Reference case</t>
  </si>
  <si>
    <t>Energy Prices: Nominal: Industrial: Propane: Reference case</t>
  </si>
  <si>
    <t>Energy Prices: Nominal: Industrial: Distillate Fuel Oil: Reference case</t>
  </si>
  <si>
    <t>Energy Prices: Nominal: Industrial: Residual Fuel Oil: Reference case</t>
  </si>
  <si>
    <t>Energy Prices: Nominal: Industrial: Natural Gas: Reference case</t>
  </si>
  <si>
    <t>Energy Prices: Nominal: Industrial: Metallurgical Coal: Reference case</t>
  </si>
  <si>
    <t>Energy Prices: Nominal: Industrial: Other Industrial Coal: Reference case</t>
  </si>
  <si>
    <t>Energy Prices: Nominal: Industrial: Coal to Liquids: Reference case</t>
  </si>
  <si>
    <t>Energy Prices: Nominal: Industrial: Electricity: Reference case</t>
  </si>
  <si>
    <t>Energy Prices: Nominal: Transportation: Propane: Reference case</t>
  </si>
  <si>
    <t>Energy Prices: Nominal: Transportation: E85: Reference case</t>
  </si>
  <si>
    <t>Energy Prices: Nominal: Transportation: Motor Gasoline: Reference case</t>
  </si>
  <si>
    <t>Energy Prices: Nominal: Transportation: Jet Fuel: Reference case</t>
  </si>
  <si>
    <t>Energy Prices: Nominal: Transportation: Diesel Fuel: Reference case</t>
  </si>
  <si>
    <t>Energy Prices: Nominal: Transportation: Residual Fuel Oil: Reference case</t>
  </si>
  <si>
    <t>Energy Prices: Nominal: Transportation: Natural Gas: Reference case</t>
  </si>
  <si>
    <t>Energy Prices: Nominal: Transportation: Electricity: Reference case</t>
  </si>
  <si>
    <t>Energy Prices: Nominal: Electric Power: Distillate Fuel Oil: Reference case</t>
  </si>
  <si>
    <t>Energy Prices: Nominal: Electric Power: Residual Fuel Oil: Reference case</t>
  </si>
  <si>
    <t>Energy Prices: Nominal: Electric Power: Natural Gas: Reference case</t>
  </si>
  <si>
    <t>Energy Prices: Nominal: Electric Power: Steam Coal: Reference case</t>
  </si>
  <si>
    <t>Energy Prices: Nominal: Electric Power: Uranium: Reference case</t>
  </si>
  <si>
    <t>Energy Prices: Nominal: Average Price to All Users: Propane: Reference case</t>
  </si>
  <si>
    <t>Energy Prices: Nominal: Average Price to All Users: E85: Reference case</t>
  </si>
  <si>
    <t>Energy Prices: Nominal: Average Price to All Users: Motor Gasoline: Reference case</t>
  </si>
  <si>
    <t>Energy Prices: Nominal: Average Price to All Users: Jet Fuel: Reference case</t>
  </si>
  <si>
    <t>Energy Prices: Nominal: Average Price to All Users: Distillate Fuel Oil: Reference case</t>
  </si>
  <si>
    <t>Energy Prices: Nominal: Average Price to All Users: Residual Fuel Oil: Reference case</t>
  </si>
  <si>
    <t>Energy Prices: Nominal: Average Price to All Users: Natural Gas: Reference case</t>
  </si>
  <si>
    <t>Energy Prices: Nominal: Average Price to All Users: Metallurgical Coal: Reference case</t>
  </si>
  <si>
    <t>Energy Prices: Nominal: Average Price to All Users: Other Coal: Reference case</t>
  </si>
  <si>
    <t>Energy Prices: Nominal: Average Price to All Users: Coal to Liquids: Reference case</t>
  </si>
  <si>
    <t>Energy Prices: Nominal: Average Price to All Users: Electricity: Reference case</t>
  </si>
  <si>
    <t>(billion nominal dollars)</t>
  </si>
  <si>
    <t>Energy Expenditures: Nominal: Non-Renewable Residential: Reference case</t>
  </si>
  <si>
    <t>billion nom $</t>
  </si>
  <si>
    <t>Energy Expenditures: Nominal: Non-Renewable Commercial: Reference case</t>
  </si>
  <si>
    <t>Energy Expenditures: Nominal: Non-Renewable Industrial: Reference case</t>
  </si>
  <si>
    <t>Energy Expenditures: Nominal: Non-Renewable Transportation: Reference case</t>
  </si>
  <si>
    <t>Energy Expenditures: Nominal: Total Non-Renewable: Reference case</t>
  </si>
  <si>
    <t>Energy Expenditures: Nominal: Renewable Transportation: Reference case</t>
  </si>
  <si>
    <t>Energy Expenditures: Nominal: Total Non-Renewable with Renewable Transportation: Reference case</t>
  </si>
  <si>
    <t>AEO</t>
  </si>
  <si>
    <t>6% is consistent with AEO base case</t>
  </si>
  <si>
    <t>Additional Electric Load</t>
  </si>
  <si>
    <t>https://www.eia.gov/tools/faqs/faq.php?id=73&amp;t=11</t>
  </si>
  <si>
    <t>DISPLACED MMBTU</t>
  </si>
  <si>
    <t>lbs CO2 per mmBTU</t>
  </si>
  <si>
    <t>lbs of CO2 saved annually</t>
  </si>
  <si>
    <t>TOTAL lbs of CO2 saved</t>
  </si>
  <si>
    <t>from ITRON load forecast for VELCO showing non-utility scale solar</t>
  </si>
  <si>
    <t>Distillate</t>
  </si>
  <si>
    <t>HQ System Mix</t>
  </si>
  <si>
    <t>Nuclear</t>
  </si>
  <si>
    <t>Unspecified ⁱ</t>
  </si>
  <si>
    <t>lbs of CO2</t>
  </si>
  <si>
    <t>RES % renewable requirement</t>
  </si>
  <si>
    <t>% non-fossil</t>
  </si>
  <si>
    <t>% residual mix</t>
  </si>
  <si>
    <t>Projected Retail Sales</t>
  </si>
  <si>
    <t>MWh of residual mix</t>
  </si>
  <si>
    <t>lbs of CO2 with RES</t>
  </si>
  <si>
    <t>Total lbs of CO2 Saved</t>
  </si>
  <si>
    <t>Total tons of CO2 Saved</t>
  </si>
  <si>
    <t>Decrease in Energy Consumption</t>
  </si>
  <si>
    <t>Total Energy Consumption Impact (mmbtu)</t>
  </si>
  <si>
    <t>Retail Sales w/ RES (MWh)</t>
  </si>
  <si>
    <t>Retail Rate w/ RES ($/MWh)</t>
  </si>
  <si>
    <t>COS with RES ($$)</t>
  </si>
  <si>
    <t>from EIA August 2018</t>
  </si>
  <si>
    <t>2017 Deliveries to Vermont</t>
  </si>
  <si>
    <t>New NM- post-1/1/2017</t>
  </si>
  <si>
    <t>lbs of CO2 saved per unit annually</t>
  </si>
  <si>
    <t>Total Fossil Fuel Consumption Impact (mmbtu)</t>
  </si>
  <si>
    <t>Electric Energy Consumption Impact (MWh)</t>
  </si>
  <si>
    <t>Electric Energy Consumption Impact (%)</t>
  </si>
  <si>
    <t>New NM- post-2017</t>
  </si>
  <si>
    <t>tons of CO2</t>
  </si>
  <si>
    <t>2016 Vermont % residual mix</t>
  </si>
  <si>
    <t>Install Date</t>
  </si>
  <si>
    <t>7/1/2015</t>
  </si>
  <si>
    <t>Net Metering REC adjustor ($/MWh)</t>
  </si>
  <si>
    <t>6/30/2020</t>
  </si>
  <si>
    <t>n/a</t>
  </si>
  <si>
    <t>New NM- install 7/1/2015 - 12/31/2016</t>
  </si>
  <si>
    <t>Assumption Level of Certainty</t>
  </si>
  <si>
    <t>Vermont emissions rate pre-RES (lbs/MWh)</t>
  </si>
  <si>
    <t>HP Hot Water Heater</t>
  </si>
  <si>
    <t>EV Chargers</t>
  </si>
  <si>
    <t>Smart Thermostats</t>
  </si>
  <si>
    <t>Home Battery</t>
  </si>
  <si>
    <t>Pellet Boiler</t>
  </si>
  <si>
    <t>Tier I Requirement (net)</t>
  </si>
  <si>
    <t>New NM- post-2016-- NO RECs</t>
  </si>
  <si>
    <t>NM installed capacity (14% CF)</t>
  </si>
  <si>
    <t>MW</t>
  </si>
  <si>
    <t>NM2.0 -post-2016 install</t>
  </si>
  <si>
    <t>NM 1.0 - pre-2015</t>
  </si>
  <si>
    <t>NM 1.0 - 7/15 - 12/16 install</t>
  </si>
  <si>
    <t>Net Metering INSTALLED CAPACITY</t>
  </si>
  <si>
    <t>Incentive Cost per Unit</t>
  </si>
  <si>
    <t>Overhead Costs</t>
  </si>
  <si>
    <t>Tier III Overhead in Year 1</t>
  </si>
  <si>
    <t>Tier III Overhead escalation</t>
  </si>
  <si>
    <t>Tier III Incentive Escalation</t>
  </si>
  <si>
    <t>BASE Incentive per MWh ($/MWh)</t>
  </si>
  <si>
    <t>Incentive Factor:</t>
  </si>
  <si>
    <t>LOW</t>
  </si>
  <si>
    <t>(for HIGH FF prices, incentive reduced by 25%; MID FF prices, incentive equals "BASE"; LOW FF prices, incentive increased by 30%)</t>
  </si>
  <si>
    <t>Claimed lifetime MWh</t>
  </si>
  <si>
    <t>Measure Life (years)</t>
  </si>
  <si>
    <t>FF Heat Rate</t>
  </si>
  <si>
    <t>MMBtu of FF saved</t>
  </si>
  <si>
    <t>Displaced MMBtu per project</t>
  </si>
  <si>
    <t>LOW FF</t>
  </si>
  <si>
    <t>MID FF</t>
  </si>
  <si>
    <t>HIGH FF</t>
  </si>
  <si>
    <t>HIGH</t>
  </si>
  <si>
    <t>REC Price Forecast</t>
  </si>
  <si>
    <t>NM Adoption Rate</t>
  </si>
  <si>
    <t>Peak contribution of New Load</t>
  </si>
  <si>
    <t>Fossil Fuel Price</t>
  </si>
  <si>
    <t>None</t>
  </si>
  <si>
    <t>Tier 1 Cost</t>
  </si>
  <si>
    <t>Tier 2 Cost</t>
  </si>
  <si>
    <t>Tier 3 Net Cost</t>
  </si>
  <si>
    <t>HIGH INCREMENTAL COST</t>
  </si>
  <si>
    <t>LOW      INCREMENTAL COST</t>
  </si>
  <si>
    <t>Tier III CO2 savings</t>
  </si>
  <si>
    <t>SYSTEM MWh (non-renewable)</t>
  </si>
  <si>
    <t>Decrease in system MWh</t>
  </si>
  <si>
    <t>change in FF consumed from Tier I &amp; II (mmbtu)</t>
  </si>
  <si>
    <t>FF Consumed (mmbtu)</t>
  </si>
  <si>
    <t>Tier I &amp; II reduction in residual mix (from pre-RES)</t>
  </si>
  <si>
    <t>Tier I &amp; II  reduction in residual mix (from pre-RES)</t>
  </si>
  <si>
    <t>mmbtu</t>
  </si>
  <si>
    <t>PSD BASE CASE</t>
  </si>
  <si>
    <t>HIGH SCENARIO</t>
  </si>
  <si>
    <t>Tier III BASE Incentive Rates ($/claimed MWh)</t>
  </si>
  <si>
    <t xml:space="preserve">"Likely" PSD upperbound </t>
  </si>
  <si>
    <t>high cost</t>
  </si>
  <si>
    <t>low cost</t>
  </si>
  <si>
    <t>from EIA July 2019.  https://www.eia.gov/electricity/monthly/epm_table_grapher.php?t=epmt_5_6_a</t>
  </si>
  <si>
    <t>+ Electric Vehicles</t>
  </si>
  <si>
    <t>Electric Vehicles</t>
  </si>
  <si>
    <t>Tier I</t>
  </si>
  <si>
    <t>Tier I net of Tier II</t>
  </si>
  <si>
    <t>Tier II</t>
  </si>
  <si>
    <t>Tier III</t>
  </si>
  <si>
    <t>ACP</t>
  </si>
  <si>
    <t>https://www.eia.gov/outlooks/aeo/tables_ref.php</t>
  </si>
  <si>
    <t>Data pulled on: 10/28/2019</t>
  </si>
  <si>
    <t>Growth (2018-2050)</t>
  </si>
  <si>
    <t>3-AEO2019.2.</t>
  </si>
  <si>
    <t>3-AEO2019.3.ref2019-d111618a</t>
  </si>
  <si>
    <t>2018 $/MMBtu</t>
  </si>
  <si>
    <t>3-AEO2019.4.ref2019-d111618a</t>
  </si>
  <si>
    <t>3-AEO2019.5.ref2019-d111618a</t>
  </si>
  <si>
    <t>3-AEO2019.6.ref2019-d111618a</t>
  </si>
  <si>
    <t>3-AEO2019.8.</t>
  </si>
  <si>
    <t>3-AEO2019.9.ref2019-d111618a</t>
  </si>
  <si>
    <t>3-AEO2019.10.ref2019-d111618a</t>
  </si>
  <si>
    <t>3-AEO2019.11.ref2019-d111618a</t>
  </si>
  <si>
    <t>3-AEO2019.12.ref2019-d111618a</t>
  </si>
  <si>
    <t>3-AEO2019.13.ref2019-d111618a</t>
  </si>
  <si>
    <t>3-AEO2019.15.</t>
  </si>
  <si>
    <t>3-AEO2019.16.ref2019-d111618a</t>
  </si>
  <si>
    <t>3-AEO2019.17.ref2019-d111618a</t>
  </si>
  <si>
    <t>3-AEO2019.18.ref2019-d111618a</t>
  </si>
  <si>
    <t>3-AEO2019.19.ref2019-d111618a</t>
  </si>
  <si>
    <t>3-AEO2019.20.ref2019-d111618a</t>
  </si>
  <si>
    <t>3-AEO2019.21.ref2019-d111618a</t>
  </si>
  <si>
    <t>3-AEO2019.22.ref2019-d111618a</t>
  </si>
  <si>
    <t>3-AEO2019.23.ref2019-d111618a</t>
  </si>
  <si>
    <t>3-AEO2019.25.</t>
  </si>
  <si>
    <t>3-AEO2019.26.ref2019-d111618a</t>
  </si>
  <si>
    <t>3-AEO2019.27.ref2019-d111618a</t>
  </si>
  <si>
    <t>3-AEO2019.28.ref2019-d111618a</t>
  </si>
  <si>
    <t>3-AEO2019.29.ref2019-d111618a</t>
  </si>
  <si>
    <t>3-AEO2019.30.ref2019-d111618a</t>
  </si>
  <si>
    <t>3-AEO2019.31.ref2019-d111618a</t>
  </si>
  <si>
    <t>3-AEO2019.32.ref2019-d111618a</t>
  </si>
  <si>
    <t>3-AEO2019.33.ref2019-d111618a</t>
  </si>
  <si>
    <t>3-AEO2019.35.</t>
  </si>
  <si>
    <t>3-AEO2019.36.ref2019-d111618a</t>
  </si>
  <si>
    <t>3-AEO2019.37.ref2019-d111618a</t>
  </si>
  <si>
    <t>3-AEO2019.38.ref2019-d111618a</t>
  </si>
  <si>
    <t>3-AEO2019.39.ref2019-d111618a</t>
  </si>
  <si>
    <t>3-AEO2019.40.ref2019-d111618a</t>
  </si>
  <si>
    <t>3-AEO2019.44.</t>
  </si>
  <si>
    <t>3-AEO2019.45.ref2019-d111618a</t>
  </si>
  <si>
    <t>3-AEO2019.46.ref2019-d111618a</t>
  </si>
  <si>
    <t>3-AEO2019.47.ref2019-d111618a</t>
  </si>
  <si>
    <t>3-AEO2019.48.ref2019-d111618a</t>
  </si>
  <si>
    <t>3-AEO2019.49.ref2019-d111618a</t>
  </si>
  <si>
    <t>3-AEO2019.50.ref2019-d111618a</t>
  </si>
  <si>
    <t>3-AEO2019.51.ref2019-d111618a</t>
  </si>
  <si>
    <t>3-AEO2019.52.ref2019-d111618a</t>
  </si>
  <si>
    <t>3-AEO2019.53.ref2019-d111618a</t>
  </si>
  <si>
    <t>3-AEO2019.54.ref2019-d111618a</t>
  </si>
  <si>
    <t>3-AEO2019.55.ref2019-d111618a</t>
  </si>
  <si>
    <t>3-AEO2019.57.</t>
  </si>
  <si>
    <t>(billion 2018 dollars)</t>
  </si>
  <si>
    <t>3-AEO2019.58.</t>
  </si>
  <si>
    <t>3-AEO2019.59.ref2019-d111618a</t>
  </si>
  <si>
    <t>billion 2018 $</t>
  </si>
  <si>
    <t>3-AEO2019.60.ref2019-d111618a</t>
  </si>
  <si>
    <t>3-AEO2019.61.ref2019-d111618a</t>
  </si>
  <si>
    <t>3-AEO2019.62.ref2019-d111618a</t>
  </si>
  <si>
    <t>3-AEO2019.63.ref2019-d111618a</t>
  </si>
  <si>
    <t>3-AEO2019.64.ref2019-d111618a</t>
  </si>
  <si>
    <t>3-AEO2019.65.ref2019-d111618a</t>
  </si>
  <si>
    <t>3-AEO2019.68.</t>
  </si>
  <si>
    <t>3-AEO2019.69.</t>
  </si>
  <si>
    <t>3-AEO2019.70.ref2019-d111618a</t>
  </si>
  <si>
    <t>3-AEO2019.71.ref2019-d111618a</t>
  </si>
  <si>
    <t>3-AEO2019.72.ref2019-d111618a</t>
  </si>
  <si>
    <t>3-AEO2019.73.ref2019-d111618a</t>
  </si>
  <si>
    <t>3-AEO2019.75.</t>
  </si>
  <si>
    <t>3-AEO2019.76.ref2019-d111618a</t>
  </si>
  <si>
    <t>3-AEO2019.77.ref2019-d111618a</t>
  </si>
  <si>
    <t>3-AEO2019.78.ref2019-d111618a</t>
  </si>
  <si>
    <t>3-AEO2019.79.ref2019-d111618a</t>
  </si>
  <si>
    <t>3-AEO2019.80.ref2019-d111618a</t>
  </si>
  <si>
    <t>3-AEO2019.82.</t>
  </si>
  <si>
    <t>3-AEO2019.83.ref2019-d111618a</t>
  </si>
  <si>
    <t>3-AEO2019.84.ref2019-d111618a</t>
  </si>
  <si>
    <t>3-AEO2019.85.ref2019-d111618a</t>
  </si>
  <si>
    <t>3-AEO2019.86.ref2019-d111618a</t>
  </si>
  <si>
    <t>3-AEO2019.87.ref2019-d111618a</t>
  </si>
  <si>
    <t>3-AEO2019.88.ref2019-d111618a</t>
  </si>
  <si>
    <t>3-AEO2019.89.ref2019-d111618a</t>
  </si>
  <si>
    <t>3-AEO2019.90.ref2019-d111618a</t>
  </si>
  <si>
    <t>3-AEO2019.93.</t>
  </si>
  <si>
    <t>3-AEO2019.94.ref2019-d111618a</t>
  </si>
  <si>
    <t>3-AEO2019.95.ref2019-d111618a</t>
  </si>
  <si>
    <t>3-AEO2019.96.ref2019-d111618a</t>
  </si>
  <si>
    <t>3-AEO2019.97.ref2019-d111618a</t>
  </si>
  <si>
    <t>3-AEO2019.98.ref2019-d111618a</t>
  </si>
  <si>
    <t>3-AEO2019.99.ref2019-d111618a</t>
  </si>
  <si>
    <t>3-AEO2019.100.ref2019-d111618a</t>
  </si>
  <si>
    <t>3-AEO2019.101.ref2019-d111618a</t>
  </si>
  <si>
    <t>3-AEO2019.103.</t>
  </si>
  <si>
    <t>3-AEO2019.104.ref2019-d111618a</t>
  </si>
  <si>
    <t>3-AEO2019.105.ref2019-d111618a</t>
  </si>
  <si>
    <t>3-AEO2019.106.ref2019-d111618a</t>
  </si>
  <si>
    <t>3-AEO2019.107.ref2019-d111618a</t>
  </si>
  <si>
    <t>3-AEO2019.108.ref2019-d111618a</t>
  </si>
  <si>
    <t>3-AEO2019.111.</t>
  </si>
  <si>
    <t>3-AEO2019.112.ref2019-d111618a</t>
  </si>
  <si>
    <t>3-AEO2019.113.ref2019-d111618a</t>
  </si>
  <si>
    <t>3-AEO2019.114.ref2019-d111618a</t>
  </si>
  <si>
    <t>3-AEO2019.115.ref2019-d111618a</t>
  </si>
  <si>
    <t>3-AEO2019.116.ref2019-d111618a</t>
  </si>
  <si>
    <t>3-AEO2019.117.ref2019-d111618a</t>
  </si>
  <si>
    <t>3-AEO2019.118.ref2019-d111618a</t>
  </si>
  <si>
    <t>3-AEO2019.119.ref2019-d111618a</t>
  </si>
  <si>
    <t>3-AEO2019.120.ref2019-d111618a</t>
  </si>
  <si>
    <t>3-AEO2019.121.ref2019-d111618a</t>
  </si>
  <si>
    <t>3-AEO2019.122.ref2019-d111618a</t>
  </si>
  <si>
    <t>3-AEO2019.124.</t>
  </si>
  <si>
    <t>3-AEO2019.125.</t>
  </si>
  <si>
    <t>3-AEO2019.126.ref2019-d111618a</t>
  </si>
  <si>
    <t>3-AEO2019.127.ref2019-d111618a</t>
  </si>
  <si>
    <t>3-AEO2019.128.ref2019-d111618a</t>
  </si>
  <si>
    <t>3-AEO2019.129.ref2019-d111618a</t>
  </si>
  <si>
    <t>3-AEO2019.130.ref2019-d111618a</t>
  </si>
  <si>
    <t>3-AEO2019.131.ref2019-d111618a</t>
  </si>
  <si>
    <t>3-AEO2019.132.ref2019-d111618a</t>
  </si>
  <si>
    <t>2018 Retail Sales:</t>
  </si>
  <si>
    <t>2017 ISO-NE Average emissions</t>
  </si>
  <si>
    <t>2017 ISO-NE Marginal emissions (all marginal units)</t>
  </si>
  <si>
    <t>2018 NEPOOL GIS Residual Mix (lbs/MWh)</t>
  </si>
  <si>
    <t>2018 Emissions w/o RES (lbs)</t>
  </si>
  <si>
    <t>2016 Share</t>
  </si>
  <si>
    <t>Energy Source</t>
  </si>
  <si>
    <t>2018 Share (attributes)</t>
  </si>
  <si>
    <t>Renewables in Excess of RES</t>
  </si>
  <si>
    <t>Tier I &amp; II CO2 savings from pre-RES</t>
  </si>
  <si>
    <t>2016 Vermont % renewable</t>
  </si>
  <si>
    <t>2016 Vermont % nuclear</t>
  </si>
  <si>
    <t>2018 MWh of residual mix based on 2016 % mix</t>
  </si>
  <si>
    <t>2018 mmbtu of residual mix based on 2016 mix</t>
  </si>
  <si>
    <t>2018 MWh of nuclear based on 2016 % mix</t>
  </si>
  <si>
    <t>2018 MWh of renewables based on 2016 % mix</t>
  </si>
  <si>
    <t>Vermont Fuel Mix (after the sale of RECs)</t>
  </si>
  <si>
    <t>Nuclear CO2 savings from pre-RES</t>
  </si>
  <si>
    <t>Total Electric CO2 savings from pre-RES</t>
  </si>
  <si>
    <t>TOTAL CO2 Savings</t>
  </si>
  <si>
    <t>Nuclear reduction in residual mix (from pre-RES)</t>
  </si>
  <si>
    <t>TOTAL mmbtu reduction from pre-RES</t>
  </si>
  <si>
    <t>Existing System</t>
  </si>
  <si>
    <t>System Displacement</t>
  </si>
  <si>
    <t>Electric Penalty New System</t>
  </si>
  <si>
    <t>Utility Savings and ACP Cap</t>
  </si>
  <si>
    <t>Measure</t>
  </si>
  <si>
    <t>Tier III Approval</t>
  </si>
  <si>
    <t>Assumptions</t>
  </si>
  <si>
    <r>
      <t>Existing System MMBtu Displaced / Reduced By New System (</t>
    </r>
    <r>
      <rPr>
        <b/>
        <sz val="10"/>
        <color theme="1"/>
        <rFont val="Symbol"/>
        <family val="1"/>
        <charset val="2"/>
      </rPr>
      <t>D</t>
    </r>
    <r>
      <rPr>
        <b/>
        <sz val="10"/>
        <color theme="1"/>
        <rFont val="Arial"/>
        <family val="2"/>
      </rPr>
      <t>MMBtu)</t>
    </r>
  </si>
  <si>
    <t>Measure Cost</t>
  </si>
  <si>
    <t>Existing System MWH Equivalent Displaced</t>
  </si>
  <si>
    <t>% of Load Displaced / Reduced By New System</t>
  </si>
  <si>
    <r>
      <t>Added kWh new system (</t>
    </r>
    <r>
      <rPr>
        <b/>
        <sz val="10"/>
        <color theme="1"/>
        <rFont val="Symbol"/>
        <family val="1"/>
        <charset val="2"/>
      </rPr>
      <t>D</t>
    </r>
    <r>
      <rPr>
        <b/>
        <sz val="10"/>
        <color theme="1"/>
        <rFont val="Arial"/>
        <family val="2"/>
      </rPr>
      <t>kWh)</t>
    </r>
  </si>
  <si>
    <t>Lifetime Avg Annual MWh Penalty 
(adj for %Fossil)</t>
  </si>
  <si>
    <t>Gross 1st Yr MWh Saved</t>
  </si>
  <si>
    <t>Net 1st Yr MWh Saved</t>
  </si>
  <si>
    <t>Measure Life</t>
  </si>
  <si>
    <t>Net Lifetime MWh Saved</t>
  </si>
  <si>
    <t>Alternative Compliance Cap 
(%Fossil=1st Year)</t>
  </si>
  <si>
    <t>Alternative Compliance Cap 
(RE=100%)</t>
  </si>
  <si>
    <t>Yes</t>
  </si>
  <si>
    <t xml:space="preserve">18000 Btu/Hr </t>
  </si>
  <si>
    <t xml:space="preserve">24000 Btu/Hr </t>
  </si>
  <si>
    <t xml:space="preserve">30000 Btu/Hr </t>
  </si>
  <si>
    <t xml:space="preserve">36000 Btu/Hr </t>
  </si>
  <si>
    <t xml:space="preserve">42000 Btu/Hr </t>
  </si>
  <si>
    <t xml:space="preserve">48000 Btu/Hr </t>
  </si>
  <si>
    <t xml:space="preserve">6000 Btu/Hr </t>
  </si>
  <si>
    <t xml:space="preserve">9000 Btu/Hr </t>
  </si>
  <si>
    <t xml:space="preserve">12000 Btu/Hr </t>
  </si>
  <si>
    <t xml:space="preserve">15000 Btu/Hr </t>
  </si>
  <si>
    <t>&lt; 55 Gallon, EF&lt;2.35</t>
  </si>
  <si>
    <t>&lt; 55 Gallon, 2.35&lt;EF&lt;2.7</t>
  </si>
  <si>
    <t>&lt; 55 Gallon, 2.7&lt;EF</t>
  </si>
  <si>
    <t>&gt; 55 Gallon, EF&lt;2.35</t>
  </si>
  <si>
    <t>&gt; 55 Gallon, 2.35&lt;EF&lt;2.7</t>
  </si>
  <si>
    <t>&gt; 55 Gallon, 2.7&lt;EF</t>
  </si>
  <si>
    <t xml:space="preserve">Biodiesel** </t>
  </si>
  <si>
    <t>B5, per gallon</t>
  </si>
  <si>
    <t>B10, per gallon</t>
  </si>
  <si>
    <t>B20, per gallon</t>
  </si>
  <si>
    <t>B100, per gallon</t>
  </si>
  <si>
    <t>Pellet Heating***</t>
  </si>
  <si>
    <t>Residential Pellet boilers or furnaces, Existing Boiler</t>
  </si>
  <si>
    <t>Residential Pellet boilers or furnaces, Existing Furnace</t>
  </si>
  <si>
    <t>Residential Pellet stoves, Existing Boiler</t>
  </si>
  <si>
    <t>Residential Pellet stoves, Existing Furnace</t>
  </si>
  <si>
    <t>New All Electric Vehicle</t>
  </si>
  <si>
    <t>New Plug-in Hybrid Electric Vehicle</t>
  </si>
  <si>
    <t>Used All Electric Vehicle</t>
  </si>
  <si>
    <t>Used Plug-in Hybrid Electric Vehicle</t>
  </si>
  <si>
    <t>Charging Stations****</t>
  </si>
  <si>
    <t>Level 2 Public</t>
  </si>
  <si>
    <t>DC Fast</t>
  </si>
  <si>
    <t>Level 2 Workplace</t>
  </si>
  <si>
    <t>Multifamily</t>
  </si>
  <si>
    <t>Blend of fuels and Existing Homes/RNC</t>
  </si>
  <si>
    <t>Use in place of an automobile for all activities, except exercise</t>
  </si>
  <si>
    <t>Transit Bus*****</t>
  </si>
  <si>
    <t>New transit bus in place of a gas or diesel vehicle, requires custom inputs</t>
  </si>
  <si>
    <t>School Bus*****</t>
  </si>
  <si>
    <t>New school bus in place of a gas or diesel vehicle, requires custom inputs</t>
  </si>
  <si>
    <t>Paratransit Vehicle*****</t>
  </si>
  <si>
    <t>New paratransit vehicle in place of a gas or diesel vehicle, requires custom inputs</t>
  </si>
  <si>
    <t>1.5 GPM, Direct Install (DHW fuel known)</t>
  </si>
  <si>
    <t>1.5 GPM, Direct Install (DHW fuel unknown)</t>
  </si>
  <si>
    <t>1.5 GPM, Free Giveaways</t>
  </si>
  <si>
    <t>1.5 GPM or less</t>
  </si>
  <si>
    <t>1.0 ≤ SEF &lt; 1.5</t>
  </si>
  <si>
    <t>1.5 ≤ SEF &lt; 2.0</t>
  </si>
  <si>
    <t>2.0 ≤ SEF &lt; 2.5</t>
  </si>
  <si>
    <t>2.5 ≤ SEF</t>
  </si>
  <si>
    <t>Electric Forklift</t>
  </si>
  <si>
    <t>New electric forklift</t>
  </si>
  <si>
    <t>Used electric forklift</t>
  </si>
  <si>
    <t>Electric Golf Cart</t>
  </si>
  <si>
    <t>New electric golf cart</t>
  </si>
  <si>
    <t>Air to Water Heat Pump</t>
  </si>
  <si>
    <t>Residential 2 Ton</t>
  </si>
  <si>
    <t>Residential 3 Ton</t>
  </si>
  <si>
    <t>Residential 4 Ton</t>
  </si>
  <si>
    <t>Commercial 2 Ton</t>
  </si>
  <si>
    <t>Commercial 3 Ton</t>
  </si>
  <si>
    <t>Commercial 4 Ton</t>
  </si>
  <si>
    <t>Lawnmowers</t>
  </si>
  <si>
    <t>Commercial Electric Lawnmower</t>
  </si>
  <si>
    <t>Residential Electric Lawnmower</t>
  </si>
  <si>
    <t>Leafblowers</t>
  </si>
  <si>
    <t>Commerical Electric Leafblower</t>
  </si>
  <si>
    <t>Centrally Ducted Air Source Heat Pumps</t>
  </si>
  <si>
    <t>Residential 18000 Btu/hr</t>
  </si>
  <si>
    <t>Residential 24000 Btu/hr</t>
  </si>
  <si>
    <t>Residential 30000 Btu/hr</t>
  </si>
  <si>
    <t>Residential 36000 Btu/hr</t>
  </si>
  <si>
    <t>Residential 42000 Btu/hr</t>
  </si>
  <si>
    <t>Residential 48000 Btu/hr</t>
  </si>
  <si>
    <t>Commercial 18000 Btu/hr</t>
  </si>
  <si>
    <t>Commercial 24000 Btu/hr</t>
  </si>
  <si>
    <t>Commercial 30000 Btu/hr</t>
  </si>
  <si>
    <t>Commercial 36000 Btu/hr</t>
  </si>
  <si>
    <t>Commercial 42000 Btu/hr</t>
  </si>
  <si>
    <t>Commercial 48000 Btu/hr</t>
  </si>
  <si>
    <t>Induction Stovetop</t>
  </si>
  <si>
    <t>Residential Induction Stovetop</t>
  </si>
  <si>
    <t>Battery</t>
  </si>
  <si>
    <t>Custom Input from Tool</t>
  </si>
  <si>
    <t>*Net savings calculations (Column L and O) are referring to low performing home FR/SO values. To calculate for high performing home, point the formulas to D4 and D5 on "FR SO Table" tab for multi zone and single zone respectively.</t>
  </si>
  <si>
    <t xml:space="preserve">**There is an additional cost for B20 and above. The additional cost of replacing a burner to accommodate biodiesel blends above B20 is $1,000 for boilers less than 300,000 Btu/hr and furnaces less than 225,000 Btu/hr and $2,500 for boilers equal to or greater than 300,000 Btu/hr and furnaces equal to or greater than 225,000 Btu/hr.  </t>
  </si>
  <si>
    <t>***For commercial pellet heating applications, a custom Existing MMBtu Consumption is needed to calculate savings.</t>
  </si>
  <si>
    <t xml:space="preserve">****All savings for Tier III Charging Stations will be based on actual kWh consumption from metered data from the utility. </t>
  </si>
  <si>
    <t>*****All commercial electric vehicles require DU custom inputs of annual vehicle miles traveled and electric efficiency of new electric vehicle</t>
  </si>
  <si>
    <t>Key</t>
  </si>
  <si>
    <t>Heat Rate</t>
  </si>
  <si>
    <t>Still questions around measure</t>
  </si>
  <si>
    <t>Completed</t>
  </si>
  <si>
    <t>TIER III PLANNING TOOL (2020)</t>
  </si>
  <si>
    <t>ELECTRIC VEHICLE Average (70AEV/ 30PHEV)</t>
  </si>
  <si>
    <t>Average Wx MWh claim for 2018</t>
  </si>
  <si>
    <t>NM 1.0 - pre-2016 install</t>
  </si>
  <si>
    <t>NM 1.0 -2016+ install</t>
  </si>
  <si>
    <t>Existing Standard Offer MW (Tier I)</t>
  </si>
  <si>
    <t>** All three scenarios assume VELCO net metering generation, the "mid" REC price scenario, and 25% peak demand contribution from new loads</t>
  </si>
  <si>
    <t>2018 Gross Receipts</t>
  </si>
  <si>
    <t>NM 2.2- post-2018</t>
  </si>
  <si>
    <t>NM2.0+ post-2016 installed</t>
  </si>
  <si>
    <t>NM 2.0+ - post-2018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</si>
</sst>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 numFmtId="168" formatCode="_(&quot;$&quot;* #,##0.0_);_(&quot;$&quot;* \(#,##0.0\);_(&quot;$&quot;* &quot;-&quot;??_);_(@_)"/>
    <numFmt numFmtId="169" formatCode="0.0"/>
    <numFmt numFmtId="170" formatCode="_(* #,##0.000_);_(* \(#,##0.000\);_(* &quot;-&quot;??_);_(@_)"/>
    <numFmt numFmtId="171" formatCode="&quot;$&quot;#,##0"/>
    <numFmt numFmtId="172" formatCode="0.000"/>
    <numFmt numFmtId="173" formatCode="#,##0.000"/>
    <numFmt numFmtId="174" formatCode="&quot;$&quot;#,##0.000"/>
    <numFmt numFmtId="175" formatCode="#,##0.0000"/>
    <numFmt numFmtId="176" formatCode="#,##0.0"/>
    <numFmt numFmtId="177" formatCode="_(&quot;$&quot;* #,##0.0000_);_(&quot;$&quot;* \(#,##0.0000\);_(&quot;$&quot;* &quot;-&quot;??_);_(@_)"/>
    <numFmt numFmtId="178" formatCode="0.00000000000000000%"/>
  </numFmts>
  <fonts count="49"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theme="0" tint="-0.499984740745262"/>
      <name val="Calibri"/>
      <family val="2"/>
      <scheme val="minor"/>
    </font>
    <font>
      <b/>
      <sz val="9"/>
      <color indexed="81"/>
      <name val="Tahoma"/>
      <family val="2"/>
    </font>
    <font>
      <sz val="11"/>
      <color indexed="81"/>
      <name val="Tahoma"/>
      <family val="2"/>
    </font>
    <font>
      <b/>
      <u/>
      <sz val="11"/>
      <color theme="1"/>
      <name val="Calibri"/>
      <family val="2"/>
      <scheme val="minor"/>
    </font>
    <font>
      <b/>
      <u val="singleAccounting"/>
      <sz val="11"/>
      <color theme="1"/>
      <name val="Calibri"/>
      <family val="2"/>
      <scheme val="minor"/>
    </font>
    <font>
      <sz val="14"/>
      <color theme="1"/>
      <name val="Calibri"/>
      <family val="2"/>
      <scheme val="minor"/>
    </font>
    <font>
      <sz val="10"/>
      <color theme="1"/>
      <name val="Calibri"/>
      <family val="2"/>
      <scheme val="minor"/>
    </font>
    <font>
      <sz val="10"/>
      <color indexed="8"/>
      <name val="Arial"/>
      <family val="2"/>
    </font>
    <font>
      <sz val="9"/>
      <color indexed="81"/>
      <name val="Tahoma"/>
      <family val="2"/>
    </font>
    <font>
      <b/>
      <sz val="14"/>
      <color theme="1"/>
      <name val="Calibri"/>
      <family val="2"/>
      <scheme val="minor"/>
    </font>
    <font>
      <i/>
      <sz val="11"/>
      <color theme="1"/>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12"/>
      <color theme="0"/>
      <name val="Calibri"/>
      <family val="2"/>
      <scheme val="minor"/>
    </font>
    <font>
      <sz val="11"/>
      <name val="Calibri"/>
      <family val="2"/>
      <scheme val="minor"/>
    </font>
    <font>
      <b/>
      <u/>
      <sz val="11"/>
      <color indexed="8"/>
      <name val="Calibri"/>
      <family val="2"/>
      <scheme val="minor"/>
    </font>
    <font>
      <sz val="11"/>
      <color indexed="8"/>
      <name val="Calibri"/>
      <family val="2"/>
      <scheme val="minor"/>
    </font>
    <font>
      <b/>
      <u/>
      <sz val="12"/>
      <color theme="0"/>
      <name val="Calibri"/>
      <family val="2"/>
      <scheme val="minor"/>
    </font>
    <font>
      <sz val="11"/>
      <color theme="0" tint="-0.249977111117893"/>
      <name val="Calibri"/>
      <family val="2"/>
      <scheme val="minor"/>
    </font>
    <font>
      <b/>
      <u/>
      <sz val="12"/>
      <color rgb="FFFF0000"/>
      <name val="Calibri"/>
      <family val="2"/>
      <scheme val="minor"/>
    </font>
    <font>
      <b/>
      <u/>
      <sz val="12"/>
      <color theme="1"/>
      <name val="Calibri"/>
      <family val="2"/>
      <scheme val="minor"/>
    </font>
    <font>
      <b/>
      <sz val="10"/>
      <color theme="1"/>
      <name val="Arial"/>
      <family val="2"/>
    </font>
    <font>
      <i/>
      <sz val="11"/>
      <color rgb="FFFF0000"/>
      <name val="Calibri"/>
      <family val="2"/>
      <scheme val="minor"/>
    </font>
    <font>
      <sz val="11"/>
      <color rgb="FF212121"/>
      <name val="Arial"/>
      <family val="2"/>
    </font>
    <font>
      <b/>
      <u/>
      <sz val="11"/>
      <name val="Calibri"/>
      <family val="2"/>
      <scheme val="minor"/>
    </font>
    <font>
      <b/>
      <sz val="16"/>
      <color theme="1"/>
      <name val="Calibri"/>
      <family val="2"/>
      <scheme val="minor"/>
    </font>
    <font>
      <sz val="11"/>
      <color rgb="FF006100"/>
      <name val="Calibri"/>
      <family val="2"/>
      <scheme val="minor"/>
    </font>
    <font>
      <b/>
      <sz val="11"/>
      <name val="Calibri"/>
      <family val="2"/>
      <scheme val="minor"/>
    </font>
    <font>
      <b/>
      <u/>
      <sz val="10"/>
      <color theme="1"/>
      <name val="Calibri"/>
      <family val="2"/>
      <scheme val="minor"/>
    </font>
    <font>
      <sz val="11"/>
      <color theme="1" tint="0.499984740745262"/>
      <name val="Calibri"/>
      <family val="2"/>
      <scheme val="minor"/>
    </font>
    <font>
      <u/>
      <sz val="11"/>
      <color theme="10"/>
      <name val="Calibri"/>
      <family val="2"/>
      <scheme val="minor"/>
    </font>
    <font>
      <sz val="8"/>
      <name val="Calibri"/>
      <family val="2"/>
      <scheme val="minor"/>
    </font>
    <font>
      <sz val="10"/>
      <color theme="1"/>
      <name val="Arial"/>
      <family val="2"/>
    </font>
    <font>
      <b/>
      <sz val="10"/>
      <color theme="1"/>
      <name val="Symbol"/>
      <family val="1"/>
      <charset val="2"/>
    </font>
    <font>
      <sz val="10"/>
      <color rgb="FFFF0000"/>
      <name val="Arial"/>
      <family val="2"/>
    </font>
    <font>
      <sz val="10"/>
      <name val="Arial"/>
      <family val="2"/>
    </font>
    <font>
      <b/>
      <sz val="10"/>
      <name val="Arial"/>
      <family val="2"/>
    </font>
    <font>
      <i/>
      <sz val="10"/>
      <name val="Arial"/>
      <family val="2"/>
    </font>
    <font>
      <b/>
      <sz val="10"/>
      <color theme="1"/>
      <name val="Times New Roman"/>
      <family val="1"/>
    </font>
    <font>
      <sz val="10"/>
      <color theme="1"/>
      <name val="Times New Roman"/>
      <family val="1"/>
    </font>
    <font>
      <sz val="10"/>
      <color theme="1"/>
      <name val="Symbol"/>
      <family val="1"/>
      <charset val="2"/>
    </font>
    <font>
      <u/>
      <sz val="10"/>
      <color theme="10"/>
      <name val="Arial"/>
      <family val="2"/>
    </font>
    <font>
      <vertAlign val="superscript"/>
      <sz val="9"/>
      <color theme="1"/>
      <name val="Times New Roman"/>
      <family val="1"/>
    </font>
    <font>
      <sz val="11"/>
      <color theme="0" tint="-0.14999847407452621"/>
      <name val="Calibri"/>
      <family val="2"/>
      <scheme val="minor"/>
    </font>
  </fonts>
  <fills count="19">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6EFCE"/>
      </patternFill>
    </fill>
    <fill>
      <patternFill patternType="solid">
        <fgColor theme="5" tint="0.39997558519241921"/>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right style="medium">
        <color indexed="64"/>
      </right>
      <top/>
      <bottom style="medium">
        <color indexed="64"/>
      </bottom>
      <diagonal/>
    </border>
    <border>
      <left style="thin">
        <color rgb="FF7F7F7F"/>
      </left>
      <right style="medium">
        <color indexed="64"/>
      </right>
      <top/>
      <bottom style="thin">
        <color rgb="FF7F7F7F"/>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F7F7F"/>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44" fontId="1" fillId="0" borderId="0" applyFont="0" applyFill="0" applyBorder="0" applyAlignment="0" applyProtection="0"/>
    <xf numFmtId="0" fontId="31" fillId="12" borderId="0" applyNumberFormat="0" applyBorder="0" applyAlignment="0" applyProtection="0"/>
    <xf numFmtId="0" fontId="35" fillId="0" borderId="0" applyNumberForma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46" fillId="0" borderId="0" applyNumberFormat="0" applyFill="0" applyBorder="0" applyAlignment="0" applyProtection="0"/>
  </cellStyleXfs>
  <cellXfs count="610">
    <xf numFmtId="0" fontId="0" fillId="0" borderId="0" xfId="0"/>
    <xf numFmtId="0" fontId="0" fillId="0" borderId="0" xfId="0" applyAlignment="1">
      <alignment horizontal="center"/>
    </xf>
    <xf numFmtId="10" fontId="0" fillId="0" borderId="0" xfId="2" applyNumberFormat="1" applyFont="1"/>
    <xf numFmtId="9" fontId="0" fillId="0" borderId="0" xfId="0" applyNumberFormat="1"/>
    <xf numFmtId="10" fontId="0" fillId="0" borderId="0" xfId="0" applyNumberFormat="1"/>
    <xf numFmtId="3" fontId="4" fillId="0" borderId="0" xfId="0" applyNumberFormat="1" applyFont="1" applyFill="1"/>
    <xf numFmtId="0" fontId="0" fillId="0" borderId="0" xfId="0" applyFont="1" applyFill="1" applyBorder="1"/>
    <xf numFmtId="3" fontId="0" fillId="0" borderId="0" xfId="0" applyNumberFormat="1" applyFont="1" applyFill="1" applyBorder="1" applyAlignment="1">
      <alignment horizontal="right"/>
    </xf>
    <xf numFmtId="0" fontId="0" fillId="0" borderId="0" xfId="0" quotePrefix="1" applyFont="1" applyFill="1" applyBorder="1"/>
    <xf numFmtId="0" fontId="0" fillId="0" borderId="0" xfId="0" applyFont="1" applyBorder="1"/>
    <xf numFmtId="3" fontId="0" fillId="0" borderId="0" xfId="0" applyNumberFormat="1" applyFont="1" applyFill="1" applyBorder="1"/>
    <xf numFmtId="0" fontId="0" fillId="0" borderId="0" xfId="0" applyFont="1"/>
    <xf numFmtId="3" fontId="0" fillId="0" borderId="0" xfId="0" applyNumberFormat="1" applyFont="1" applyFill="1"/>
    <xf numFmtId="0" fontId="0" fillId="0" borderId="0" xfId="0" applyFont="1" applyFill="1"/>
    <xf numFmtId="0" fontId="7" fillId="0" borderId="0" xfId="0" applyFont="1" applyFill="1" applyBorder="1"/>
    <xf numFmtId="0" fontId="7" fillId="0" borderId="0" xfId="0" applyFont="1" applyFill="1" applyBorder="1" applyAlignment="1">
      <alignment horizontal="center"/>
    </xf>
    <xf numFmtId="164" fontId="0" fillId="0" borderId="0" xfId="1" applyNumberFormat="1" applyFont="1"/>
    <xf numFmtId="3" fontId="0" fillId="0" borderId="0" xfId="1" applyNumberFormat="1" applyFont="1"/>
    <xf numFmtId="164" fontId="0" fillId="0" borderId="0" xfId="0" applyNumberFormat="1"/>
    <xf numFmtId="0" fontId="0" fillId="0" borderId="0" xfId="0" applyFill="1"/>
    <xf numFmtId="0" fontId="7" fillId="0" borderId="0" xfId="0" applyFont="1"/>
    <xf numFmtId="0" fontId="0" fillId="0" borderId="5" xfId="0" applyBorder="1"/>
    <xf numFmtId="3" fontId="0" fillId="0" borderId="0" xfId="0" applyNumberFormat="1"/>
    <xf numFmtId="166" fontId="0" fillId="0" borderId="0" xfId="0" applyNumberFormat="1"/>
    <xf numFmtId="9" fontId="0" fillId="0" borderId="0" xfId="2" applyFont="1"/>
    <xf numFmtId="9" fontId="0" fillId="0" borderId="0" xfId="2" applyFont="1" applyFill="1"/>
    <xf numFmtId="164" fontId="0" fillId="0" borderId="0" xfId="0" applyNumberFormat="1" applyFont="1"/>
    <xf numFmtId="0" fontId="0" fillId="0" borderId="8" xfId="0" applyBorder="1"/>
    <xf numFmtId="0" fontId="11" fillId="0" borderId="8" xfId="0" applyFont="1" applyBorder="1"/>
    <xf numFmtId="0" fontId="0" fillId="0" borderId="0" xfId="0" applyAlignment="1">
      <alignment wrapText="1"/>
    </xf>
    <xf numFmtId="164" fontId="0" fillId="0" borderId="0" xfId="1" applyNumberFormat="1" applyFont="1" applyFill="1" applyBorder="1" applyAlignment="1">
      <alignment horizontal="right"/>
    </xf>
    <xf numFmtId="44" fontId="0" fillId="0" borderId="0" xfId="4" applyFont="1"/>
    <xf numFmtId="167" fontId="0" fillId="0" borderId="0" xfId="4" applyNumberFormat="1" applyFont="1"/>
    <xf numFmtId="0" fontId="3" fillId="0" borderId="0" xfId="0" applyFont="1"/>
    <xf numFmtId="9" fontId="2" fillId="2" borderId="1" xfId="3" applyNumberFormat="1"/>
    <xf numFmtId="10" fontId="2" fillId="2" borderId="1" xfId="3" applyNumberFormat="1"/>
    <xf numFmtId="167" fontId="0" fillId="0" borderId="0" xfId="0" applyNumberFormat="1"/>
    <xf numFmtId="0" fontId="14" fillId="0" borderId="0" xfId="0" applyFont="1"/>
    <xf numFmtId="44" fontId="0" fillId="0" borderId="0" xfId="0" applyNumberFormat="1" applyBorder="1"/>
    <xf numFmtId="0" fontId="3" fillId="0" borderId="0" xfId="4" applyNumberFormat="1" applyFont="1"/>
    <xf numFmtId="0" fontId="14" fillId="0" borderId="0" xfId="4" applyNumberFormat="1" applyFont="1"/>
    <xf numFmtId="44" fontId="0" fillId="0" borderId="0" xfId="4" applyFont="1" applyBorder="1"/>
    <xf numFmtId="0" fontId="0" fillId="0" borderId="5" xfId="0" applyFont="1" applyBorder="1"/>
    <xf numFmtId="164" fontId="0" fillId="0" borderId="5" xfId="1" applyNumberFormat="1" applyFont="1" applyBorder="1"/>
    <xf numFmtId="164" fontId="0" fillId="0" borderId="0" xfId="1" applyNumberFormat="1" applyFont="1" applyBorder="1"/>
    <xf numFmtId="43" fontId="0" fillId="0" borderId="0" xfId="1" applyFont="1"/>
    <xf numFmtId="164" fontId="0" fillId="0" borderId="0" xfId="1" applyNumberFormat="1" applyFont="1" applyFill="1" applyBorder="1" applyAlignment="1">
      <alignment horizontal="center"/>
    </xf>
    <xf numFmtId="164" fontId="0" fillId="0" borderId="0" xfId="1" applyNumberFormat="1" applyFont="1" applyFill="1"/>
    <xf numFmtId="164" fontId="0" fillId="0" borderId="0" xfId="1" applyNumberFormat="1" applyFont="1" applyFill="1" applyBorder="1"/>
    <xf numFmtId="164" fontId="0" fillId="0" borderId="0" xfId="0" applyNumberFormat="1" applyFont="1" applyFill="1"/>
    <xf numFmtId="3" fontId="0" fillId="0" borderId="0" xfId="1" applyNumberFormat="1" applyFont="1" applyFill="1" applyBorder="1"/>
    <xf numFmtId="9" fontId="0" fillId="0" borderId="0" xfId="2" applyFont="1" applyFill="1" applyBorder="1"/>
    <xf numFmtId="164" fontId="0" fillId="0" borderId="0" xfId="0" applyNumberFormat="1" applyFont="1" applyFill="1" applyBorder="1"/>
    <xf numFmtId="0" fontId="0" fillId="6" borderId="0" xfId="0" applyFont="1" applyFill="1" applyBorder="1"/>
    <xf numFmtId="3" fontId="0" fillId="6" borderId="0" xfId="0" applyNumberFormat="1" applyFont="1" applyFill="1" applyBorder="1" applyAlignment="1">
      <alignment horizontal="right"/>
    </xf>
    <xf numFmtId="0" fontId="0" fillId="6" borderId="0" xfId="0" quotePrefix="1" applyFont="1" applyFill="1" applyBorder="1"/>
    <xf numFmtId="0" fontId="0" fillId="6" borderId="0" xfId="0" applyFont="1" applyFill="1"/>
    <xf numFmtId="3" fontId="0" fillId="6" borderId="0" xfId="0" applyNumberFormat="1" applyFont="1" applyFill="1"/>
    <xf numFmtId="0" fontId="15" fillId="0" borderId="0" xfId="0" applyFont="1"/>
    <xf numFmtId="0" fontId="17" fillId="3" borderId="0" xfId="0" applyFont="1" applyFill="1"/>
    <xf numFmtId="0" fontId="7" fillId="0" borderId="0" xfId="0" applyFont="1" applyAlignment="1">
      <alignment horizontal="center"/>
    </xf>
    <xf numFmtId="44" fontId="0" fillId="0" borderId="0" xfId="0" applyNumberFormat="1"/>
    <xf numFmtId="166" fontId="0" fillId="0" borderId="0" xfId="2" applyNumberFormat="1" applyFont="1" applyFill="1" applyBorder="1"/>
    <xf numFmtId="0" fontId="18" fillId="5" borderId="0" xfId="0" applyFont="1" applyFill="1"/>
    <xf numFmtId="2" fontId="0" fillId="0" borderId="0" xfId="0" applyNumberFormat="1"/>
    <xf numFmtId="0" fontId="0" fillId="0" borderId="0" xfId="0" applyAlignment="1">
      <alignment horizontal="right"/>
    </xf>
    <xf numFmtId="169" fontId="0" fillId="0" borderId="0" xfId="0" applyNumberFormat="1"/>
    <xf numFmtId="164" fontId="3" fillId="0" borderId="0" xfId="1" applyNumberFormat="1" applyFont="1"/>
    <xf numFmtId="164" fontId="3" fillId="0" borderId="0" xfId="1" applyNumberFormat="1" applyFont="1" applyFill="1" applyBorder="1"/>
    <xf numFmtId="3" fontId="3" fillId="0" borderId="0" xfId="0" applyNumberFormat="1" applyFont="1" applyFill="1" applyBorder="1" applyAlignment="1">
      <alignment horizontal="right"/>
    </xf>
    <xf numFmtId="166" fontId="3" fillId="0" borderId="0" xfId="2" applyNumberFormat="1" applyFont="1" applyFill="1" applyBorder="1"/>
    <xf numFmtId="0" fontId="3" fillId="0" borderId="0" xfId="0" applyFont="1" applyAlignment="1">
      <alignment wrapText="1"/>
    </xf>
    <xf numFmtId="0" fontId="0" fillId="0" borderId="0" xfId="0" applyBorder="1"/>
    <xf numFmtId="2" fontId="2" fillId="2" borderId="0" xfId="3" applyNumberFormat="1" applyBorder="1"/>
    <xf numFmtId="9" fontId="0" fillId="0" borderId="19" xfId="2" applyFont="1" applyBorder="1"/>
    <xf numFmtId="0" fontId="0" fillId="0" borderId="20" xfId="0" applyBorder="1"/>
    <xf numFmtId="0" fontId="3" fillId="3" borderId="9" xfId="0" applyFont="1" applyFill="1" applyBorder="1"/>
    <xf numFmtId="0" fontId="3" fillId="3" borderId="5" xfId="0" applyFont="1" applyFill="1" applyBorder="1"/>
    <xf numFmtId="0" fontId="0" fillId="0" borderId="0" xfId="0" applyAlignment="1">
      <alignment vertical="center" wrapText="1"/>
    </xf>
    <xf numFmtId="0" fontId="3" fillId="0" borderId="6" xfId="0" applyFont="1" applyBorder="1" applyAlignment="1">
      <alignment vertical="center" wrapText="1"/>
    </xf>
    <xf numFmtId="0" fontId="3" fillId="0" borderId="21" xfId="0" applyFont="1" applyBorder="1" applyAlignment="1">
      <alignment vertical="center" wrapText="1"/>
    </xf>
    <xf numFmtId="0" fontId="3" fillId="0" borderId="7" xfId="0" applyFont="1" applyBorder="1" applyAlignment="1">
      <alignment vertical="center" wrapText="1"/>
    </xf>
    <xf numFmtId="0" fontId="3" fillId="0" borderId="0" xfId="0" applyFont="1" applyAlignment="1">
      <alignment vertical="center" wrapText="1"/>
    </xf>
    <xf numFmtId="44" fontId="0" fillId="0" borderId="0" xfId="4" applyNumberFormat="1" applyFont="1"/>
    <xf numFmtId="3" fontId="0" fillId="0" borderId="5" xfId="0" applyNumberFormat="1" applyFont="1" applyFill="1" applyBorder="1"/>
    <xf numFmtId="167" fontId="0" fillId="0" borderId="0" xfId="4" applyNumberFormat="1" applyFont="1" applyBorder="1"/>
    <xf numFmtId="167" fontId="0" fillId="0" borderId="5" xfId="4" applyNumberFormat="1" applyFont="1" applyBorder="1"/>
    <xf numFmtId="0" fontId="3" fillId="0" borderId="0" xfId="0" applyFont="1" applyFill="1" applyBorder="1"/>
    <xf numFmtId="9" fontId="17" fillId="3" borderId="0" xfId="0" applyNumberFormat="1" applyFont="1" applyFill="1" applyBorder="1"/>
    <xf numFmtId="0" fontId="2" fillId="2" borderId="1" xfId="3"/>
    <xf numFmtId="171" fontId="2" fillId="2" borderId="1" xfId="3" applyNumberFormat="1"/>
    <xf numFmtId="172" fontId="0" fillId="0" borderId="0" xfId="0" applyNumberFormat="1"/>
    <xf numFmtId="1" fontId="0" fillId="0" borderId="0" xfId="0" applyNumberFormat="1"/>
    <xf numFmtId="3" fontId="0" fillId="0" borderId="0" xfId="2" applyNumberFormat="1" applyFont="1"/>
    <xf numFmtId="172" fontId="2" fillId="2" borderId="1" xfId="3" applyNumberFormat="1"/>
    <xf numFmtId="173" fontId="2" fillId="2" borderId="1" xfId="3" applyNumberFormat="1"/>
    <xf numFmtId="171" fontId="0" fillId="0" borderId="0" xfId="0" applyNumberFormat="1"/>
    <xf numFmtId="3" fontId="2" fillId="2" borderId="1" xfId="3" applyNumberFormat="1"/>
    <xf numFmtId="8" fontId="0" fillId="0" borderId="0" xfId="0" applyNumberFormat="1"/>
    <xf numFmtId="0" fontId="0" fillId="0" borderId="18" xfId="0" applyBorder="1"/>
    <xf numFmtId="2" fontId="0" fillId="0" borderId="0" xfId="0" applyNumberFormat="1" applyBorder="1"/>
    <xf numFmtId="171" fontId="0" fillId="0" borderId="0" xfId="0" applyNumberFormat="1" applyBorder="1"/>
    <xf numFmtId="8" fontId="0" fillId="0" borderId="0" xfId="0" applyNumberFormat="1" applyBorder="1"/>
    <xf numFmtId="6" fontId="0" fillId="0" borderId="0" xfId="0" applyNumberFormat="1" applyBorder="1"/>
    <xf numFmtId="44" fontId="0" fillId="0" borderId="0" xfId="4" applyFont="1" applyFill="1" applyBorder="1"/>
    <xf numFmtId="1" fontId="7" fillId="0" borderId="0" xfId="0" applyNumberFormat="1" applyFont="1"/>
    <xf numFmtId="0" fontId="7" fillId="0" borderId="0" xfId="0" applyFont="1" applyFill="1"/>
    <xf numFmtId="1" fontId="20" fillId="3" borderId="22" xfId="3" applyNumberFormat="1" applyFont="1" applyFill="1" applyBorder="1"/>
    <xf numFmtId="168" fontId="21" fillId="0" borderId="0" xfId="4" applyNumberFormat="1" applyFont="1" applyFill="1" applyBorder="1"/>
    <xf numFmtId="168" fontId="0" fillId="0" borderId="0" xfId="4" applyNumberFormat="1" applyFont="1" applyFill="1" applyBorder="1"/>
    <xf numFmtId="0" fontId="22" fillId="5" borderId="0" xfId="0" applyFont="1" applyFill="1" applyBorder="1"/>
    <xf numFmtId="0" fontId="0" fillId="0" borderId="0" xfId="4" applyNumberFormat="1" applyFont="1" applyBorder="1" applyAlignment="1">
      <alignment horizontal="left"/>
    </xf>
    <xf numFmtId="165" fontId="0" fillId="0" borderId="0" xfId="0" applyNumberFormat="1" applyBorder="1"/>
    <xf numFmtId="0" fontId="16" fillId="0" borderId="0" xfId="0" applyFont="1" applyBorder="1"/>
    <xf numFmtId="171" fontId="16" fillId="0" borderId="0" xfId="0" applyNumberFormat="1" applyFont="1" applyBorder="1"/>
    <xf numFmtId="8" fontId="16" fillId="0" borderId="0" xfId="0" applyNumberFormat="1" applyFont="1" applyBorder="1"/>
    <xf numFmtId="0" fontId="24" fillId="5" borderId="0" xfId="0" applyFont="1" applyFill="1" applyBorder="1"/>
    <xf numFmtId="0" fontId="15" fillId="0" borderId="0" xfId="0" applyFont="1" applyBorder="1"/>
    <xf numFmtId="171" fontId="15" fillId="0" borderId="0" xfId="0" applyNumberFormat="1" applyFont="1" applyBorder="1"/>
    <xf numFmtId="8" fontId="15" fillId="0" borderId="0" xfId="0" applyNumberFormat="1" applyFont="1" applyBorder="1"/>
    <xf numFmtId="0" fontId="15" fillId="0" borderId="0" xfId="4" applyNumberFormat="1" applyFont="1" applyBorder="1" applyAlignment="1">
      <alignment horizontal="left"/>
    </xf>
    <xf numFmtId="167" fontId="15" fillId="0" borderId="0" xfId="4" applyNumberFormat="1" applyFont="1" applyBorder="1"/>
    <xf numFmtId="165" fontId="15" fillId="0" borderId="0" xfId="0" applyNumberFormat="1" applyFont="1" applyBorder="1"/>
    <xf numFmtId="175" fontId="0" fillId="0" borderId="0" xfId="0" applyNumberFormat="1"/>
    <xf numFmtId="174" fontId="0" fillId="0" borderId="0" xfId="0" applyNumberFormat="1"/>
    <xf numFmtId="176" fontId="0" fillId="0" borderId="0" xfId="0" applyNumberFormat="1"/>
    <xf numFmtId="1" fontId="2" fillId="2" borderId="1" xfId="3" applyNumberFormat="1"/>
    <xf numFmtId="0" fontId="15" fillId="0" borderId="0" xfId="0" applyFont="1" applyFill="1" applyBorder="1"/>
    <xf numFmtId="0" fontId="19" fillId="0" borderId="0" xfId="0" applyFont="1" applyBorder="1"/>
    <xf numFmtId="171" fontId="19" fillId="0" borderId="0" xfId="0" applyNumberFormat="1" applyFont="1" applyBorder="1"/>
    <xf numFmtId="8" fontId="19" fillId="0" borderId="0" xfId="0" applyNumberFormat="1" applyFont="1" applyBorder="1"/>
    <xf numFmtId="0" fontId="19" fillId="0" borderId="0" xfId="0" applyFont="1" applyFill="1" applyBorder="1"/>
    <xf numFmtId="171" fontId="19" fillId="0" borderId="0" xfId="0" applyNumberFormat="1" applyFont="1" applyFill="1" applyBorder="1"/>
    <xf numFmtId="164" fontId="2" fillId="2" borderId="1" xfId="1" applyNumberFormat="1" applyFont="1" applyFill="1" applyBorder="1"/>
    <xf numFmtId="167" fontId="2" fillId="2" borderId="1" xfId="4" applyNumberFormat="1" applyFont="1" applyFill="1" applyBorder="1"/>
    <xf numFmtId="10" fontId="0" fillId="0" borderId="0" xfId="2" applyNumberFormat="1" applyFont="1" applyAlignment="1">
      <alignment horizontal="center"/>
    </xf>
    <xf numFmtId="0" fontId="19" fillId="0" borderId="0" xfId="4" applyNumberFormat="1" applyFont="1" applyBorder="1" applyAlignment="1">
      <alignment horizontal="left"/>
    </xf>
    <xf numFmtId="167" fontId="19" fillId="0" borderId="0" xfId="4" applyNumberFormat="1" applyFont="1" applyBorder="1"/>
    <xf numFmtId="165" fontId="19" fillId="0" borderId="0" xfId="0" applyNumberFormat="1" applyFont="1" applyBorder="1"/>
    <xf numFmtId="167" fontId="0" fillId="0" borderId="18" xfId="4" applyNumberFormat="1" applyFont="1" applyBorder="1"/>
    <xf numFmtId="0" fontId="0" fillId="0" borderId="0" xfId="0" applyNumberFormat="1" applyAlignment="1">
      <alignment horizontal="left"/>
    </xf>
    <xf numFmtId="0" fontId="0" fillId="0" borderId="0" xfId="4" applyNumberFormat="1" applyFont="1" applyAlignment="1">
      <alignment horizontal="left"/>
    </xf>
    <xf numFmtId="0" fontId="23" fillId="0" borderId="0" xfId="0" applyFont="1" applyFill="1"/>
    <xf numFmtId="0" fontId="19" fillId="0" borderId="0" xfId="0" applyFont="1"/>
    <xf numFmtId="165" fontId="15" fillId="0" borderId="0" xfId="0" applyNumberFormat="1" applyFont="1"/>
    <xf numFmtId="3" fontId="0" fillId="0" borderId="0" xfId="0" applyNumberFormat="1" applyFill="1"/>
    <xf numFmtId="44" fontId="0" fillId="0" borderId="0" xfId="4" applyFont="1" applyFill="1"/>
    <xf numFmtId="6" fontId="0" fillId="0" borderId="0" xfId="0" applyNumberFormat="1"/>
    <xf numFmtId="6" fontId="0" fillId="0" borderId="5" xfId="0" applyNumberFormat="1" applyBorder="1"/>
    <xf numFmtId="8" fontId="0" fillId="0" borderId="0" xfId="0" applyNumberFormat="1" applyFill="1"/>
    <xf numFmtId="0" fontId="3" fillId="0" borderId="5" xfId="4" applyNumberFormat="1" applyFont="1" applyBorder="1"/>
    <xf numFmtId="0" fontId="14" fillId="0" borderId="5" xfId="4" applyNumberFormat="1" applyFont="1" applyBorder="1"/>
    <xf numFmtId="44" fontId="0" fillId="0" borderId="5" xfId="4" applyFont="1" applyBorder="1"/>
    <xf numFmtId="0" fontId="0" fillId="4" borderId="11" xfId="0" applyFill="1" applyBorder="1"/>
    <xf numFmtId="0" fontId="0" fillId="4" borderId="13" xfId="0" applyFill="1" applyBorder="1"/>
    <xf numFmtId="0" fontId="0" fillId="4" borderId="0" xfId="0" applyFill="1" applyBorder="1"/>
    <xf numFmtId="0" fontId="0" fillId="4" borderId="14" xfId="0" applyFill="1" applyBorder="1"/>
    <xf numFmtId="0" fontId="14" fillId="4" borderId="0" xfId="0" applyFont="1" applyFill="1" applyBorder="1"/>
    <xf numFmtId="44" fontId="0" fillId="4" borderId="0" xfId="0" applyNumberFormat="1" applyFill="1" applyBorder="1"/>
    <xf numFmtId="44" fontId="0" fillId="4" borderId="14" xfId="0" applyNumberFormat="1" applyFill="1" applyBorder="1"/>
    <xf numFmtId="43" fontId="0" fillId="4" borderId="0" xfId="1" applyFont="1" applyFill="1" applyBorder="1"/>
    <xf numFmtId="43" fontId="0" fillId="4" borderId="14" xfId="1" applyFont="1" applyFill="1" applyBorder="1"/>
    <xf numFmtId="0" fontId="3" fillId="4" borderId="0" xfId="4" applyNumberFormat="1" applyFont="1" applyFill="1" applyBorder="1"/>
    <xf numFmtId="0" fontId="14" fillId="4" borderId="0" xfId="4" applyNumberFormat="1" applyFont="1" applyFill="1" applyBorder="1"/>
    <xf numFmtId="44" fontId="0" fillId="4" borderId="0" xfId="4" applyFont="1" applyFill="1" applyBorder="1"/>
    <xf numFmtId="44" fontId="0" fillId="4" borderId="14" xfId="4" applyFont="1" applyFill="1" applyBorder="1"/>
    <xf numFmtId="0" fontId="3" fillId="4" borderId="0" xfId="0" applyFont="1" applyFill="1" applyBorder="1"/>
    <xf numFmtId="0" fontId="0" fillId="4" borderId="15" xfId="0" applyFill="1" applyBorder="1"/>
    <xf numFmtId="0" fontId="3" fillId="4" borderId="16" xfId="0" applyFont="1" applyFill="1" applyBorder="1"/>
    <xf numFmtId="0" fontId="0" fillId="4" borderId="16" xfId="0" applyFill="1" applyBorder="1"/>
    <xf numFmtId="44" fontId="0" fillId="4" borderId="16" xfId="4" applyFont="1" applyFill="1" applyBorder="1"/>
    <xf numFmtId="44" fontId="0" fillId="4" borderId="23" xfId="4" applyFont="1" applyFill="1" applyBorder="1"/>
    <xf numFmtId="0" fontId="3" fillId="4" borderId="10" xfId="0" applyFont="1" applyFill="1" applyBorder="1"/>
    <xf numFmtId="0" fontId="0" fillId="0" borderId="0" xfId="0" quotePrefix="1" applyFont="1"/>
    <xf numFmtId="43" fontId="0" fillId="4" borderId="0" xfId="1" applyNumberFormat="1" applyFont="1" applyFill="1" applyBorder="1"/>
    <xf numFmtId="0" fontId="0" fillId="0" borderId="13" xfId="0" applyBorder="1" applyAlignment="1">
      <alignment horizontal="right"/>
    </xf>
    <xf numFmtId="0" fontId="0" fillId="0" borderId="15" xfId="0" applyBorder="1" applyAlignment="1">
      <alignment horizontal="right"/>
    </xf>
    <xf numFmtId="9" fontId="2" fillId="2" borderId="24" xfId="3" applyNumberFormat="1" applyBorder="1"/>
    <xf numFmtId="0" fontId="3" fillId="0" borderId="25" xfId="0" applyFont="1" applyBorder="1"/>
    <xf numFmtId="0" fontId="0" fillId="0" borderId="26" xfId="0" applyBorder="1"/>
    <xf numFmtId="0" fontId="0" fillId="0" borderId="0" xfId="0" quotePrefix="1" applyFill="1"/>
    <xf numFmtId="0" fontId="0" fillId="0" borderId="0" xfId="0" quotePrefix="1" applyFill="1" applyBorder="1"/>
    <xf numFmtId="0" fontId="0" fillId="0" borderId="5" xfId="0" quotePrefix="1" applyFill="1" applyBorder="1"/>
    <xf numFmtId="9" fontId="2" fillId="2" borderId="27" xfId="3" applyNumberFormat="1" applyBorder="1"/>
    <xf numFmtId="10" fontId="0" fillId="0" borderId="0" xfId="0" applyNumberFormat="1" applyAlignment="1">
      <alignment horizontal="center"/>
    </xf>
    <xf numFmtId="9" fontId="0" fillId="0" borderId="0" xfId="0" applyNumberFormat="1" applyAlignment="1">
      <alignment horizontal="center"/>
    </xf>
    <xf numFmtId="9" fontId="0" fillId="0" borderId="0" xfId="2" applyFont="1" applyFill="1" applyAlignment="1">
      <alignment horizontal="center"/>
    </xf>
    <xf numFmtId="0" fontId="0" fillId="0" borderId="0" xfId="0" applyFill="1" applyAlignment="1">
      <alignment horizontal="center"/>
    </xf>
    <xf numFmtId="166" fontId="0" fillId="0" borderId="0" xfId="2" applyNumberFormat="1" applyFont="1" applyFill="1" applyAlignment="1">
      <alignment horizontal="center"/>
    </xf>
    <xf numFmtId="9" fontId="0" fillId="0" borderId="0" xfId="2" applyFont="1" applyAlignment="1">
      <alignment horizontal="center"/>
    </xf>
    <xf numFmtId="0" fontId="0" fillId="0" borderId="0" xfId="0" applyBorder="1" applyAlignment="1">
      <alignment horizontal="center"/>
    </xf>
    <xf numFmtId="167" fontId="15" fillId="0" borderId="0" xfId="4" applyNumberFormat="1" applyFont="1" applyAlignment="1">
      <alignment horizontal="center"/>
    </xf>
    <xf numFmtId="0" fontId="25" fillId="0" borderId="0" xfId="0" applyFont="1"/>
    <xf numFmtId="177" fontId="0" fillId="0" borderId="0" xfId="4" applyNumberFormat="1" applyFont="1" applyFill="1"/>
    <xf numFmtId="166" fontId="15" fillId="0" borderId="0" xfId="0" applyNumberFormat="1" applyFont="1" applyAlignment="1">
      <alignment horizontal="center"/>
    </xf>
    <xf numFmtId="0" fontId="0" fillId="3" borderId="10" xfId="0" applyFill="1" applyBorder="1"/>
    <xf numFmtId="0" fontId="0" fillId="3" borderId="12" xfId="0" applyFill="1" applyBorder="1"/>
    <xf numFmtId="0" fontId="0" fillId="3" borderId="13" xfId="0" applyFill="1" applyBorder="1"/>
    <xf numFmtId="0" fontId="0" fillId="3" borderId="14" xfId="0" applyFill="1" applyBorder="1"/>
    <xf numFmtId="0" fontId="0" fillId="3" borderId="15" xfId="0" applyFill="1" applyBorder="1"/>
    <xf numFmtId="0" fontId="0" fillId="3" borderId="23" xfId="0" applyFill="1" applyBorder="1"/>
    <xf numFmtId="9" fontId="0" fillId="3" borderId="0" xfId="2" applyFont="1" applyFill="1" applyBorder="1"/>
    <xf numFmtId="164" fontId="0" fillId="3" borderId="0" xfId="0" applyNumberFormat="1" applyFill="1" applyBorder="1"/>
    <xf numFmtId="9" fontId="0" fillId="0" borderId="0" xfId="0" applyNumberFormat="1" applyBorder="1"/>
    <xf numFmtId="43" fontId="0" fillId="0" borderId="0" xfId="1" applyNumberFormat="1" applyFont="1" applyBorder="1"/>
    <xf numFmtId="0" fontId="0" fillId="0" borderId="13" xfId="0" applyBorder="1"/>
    <xf numFmtId="169" fontId="0" fillId="0" borderId="14" xfId="0" applyNumberFormat="1" applyBorder="1"/>
    <xf numFmtId="0" fontId="0" fillId="0" borderId="15" xfId="0" applyBorder="1"/>
    <xf numFmtId="9" fontId="0" fillId="3" borderId="16" xfId="2" applyFont="1" applyFill="1" applyBorder="1"/>
    <xf numFmtId="164" fontId="0" fillId="3" borderId="16" xfId="0" applyNumberFormat="1" applyFill="1" applyBorder="1"/>
    <xf numFmtId="167" fontId="0" fillId="0" borderId="16" xfId="4" applyNumberFormat="1" applyFont="1" applyBorder="1"/>
    <xf numFmtId="9" fontId="0" fillId="0" borderId="16" xfId="0" applyNumberFormat="1" applyBorder="1"/>
    <xf numFmtId="0" fontId="0" fillId="0" borderId="16" xfId="0" applyBorder="1"/>
    <xf numFmtId="164" fontId="0" fillId="0" borderId="16" xfId="1" applyNumberFormat="1" applyFont="1" applyBorder="1"/>
    <xf numFmtId="169" fontId="0" fillId="0" borderId="23" xfId="0" applyNumberFormat="1" applyBorder="1"/>
    <xf numFmtId="2" fontId="0" fillId="0" borderId="0" xfId="0" applyNumberFormat="1" applyFill="1"/>
    <xf numFmtId="2" fontId="3" fillId="0" borderId="0" xfId="0" applyNumberFormat="1" applyFont="1"/>
    <xf numFmtId="44" fontId="3" fillId="0" borderId="0" xfId="4" applyFont="1"/>
    <xf numFmtId="0" fontId="26" fillId="7" borderId="17" xfId="0" applyFont="1" applyFill="1" applyBorder="1" applyAlignment="1">
      <alignment horizontal="center" vertical="center" wrapText="1"/>
    </xf>
    <xf numFmtId="0" fontId="26" fillId="8" borderId="17" xfId="0" applyFont="1" applyFill="1" applyBorder="1" applyAlignment="1">
      <alignment horizontal="center" vertical="center" wrapText="1"/>
    </xf>
    <xf numFmtId="164" fontId="26" fillId="9" borderId="17" xfId="1" applyNumberFormat="1" applyFont="1" applyFill="1" applyBorder="1" applyAlignment="1">
      <alignment horizontal="center" vertical="center" wrapText="1"/>
    </xf>
    <xf numFmtId="0" fontId="13" fillId="0" borderId="0" xfId="0" applyFont="1" applyAlignment="1">
      <alignment horizontal="center" vertical="center" wrapText="1"/>
    </xf>
    <xf numFmtId="0" fontId="3" fillId="0" borderId="10" xfId="0" applyFont="1" applyBorder="1" applyAlignment="1">
      <alignment horizontal="center" wrapText="1"/>
    </xf>
    <xf numFmtId="0" fontId="3" fillId="0" borderId="11" xfId="0" applyFont="1" applyBorder="1" applyAlignment="1">
      <alignment horizontal="center" wrapText="1"/>
    </xf>
    <xf numFmtId="0" fontId="3" fillId="0" borderId="12" xfId="0" applyFont="1" applyBorder="1" applyAlignment="1">
      <alignment horizontal="center" wrapText="1"/>
    </xf>
    <xf numFmtId="0" fontId="3" fillId="0" borderId="0" xfId="0" applyFont="1" applyAlignment="1">
      <alignment horizontal="center" wrapText="1"/>
    </xf>
    <xf numFmtId="0" fontId="19" fillId="0" borderId="5" xfId="0" applyFont="1" applyBorder="1"/>
    <xf numFmtId="167" fontId="19" fillId="0" borderId="5" xfId="4" applyNumberFormat="1" applyFont="1" applyBorder="1"/>
    <xf numFmtId="164" fontId="19" fillId="0" borderId="0" xfId="1" applyNumberFormat="1" applyFont="1" applyBorder="1"/>
    <xf numFmtId="164" fontId="19" fillId="0" borderId="18" xfId="1" applyNumberFormat="1" applyFont="1" applyBorder="1"/>
    <xf numFmtId="164" fontId="19" fillId="0" borderId="0" xfId="1" applyNumberFormat="1" applyFont="1"/>
    <xf numFmtId="43" fontId="0" fillId="0" borderId="0" xfId="0" applyNumberFormat="1" applyFill="1" applyBorder="1"/>
    <xf numFmtId="0" fontId="0" fillId="0" borderId="0" xfId="0" applyFill="1" applyBorder="1"/>
    <xf numFmtId="0" fontId="0" fillId="0" borderId="16" xfId="0" applyFill="1" applyBorder="1"/>
    <xf numFmtId="164" fontId="0" fillId="0" borderId="16" xfId="1" applyNumberFormat="1" applyFont="1" applyFill="1" applyBorder="1"/>
    <xf numFmtId="0" fontId="17" fillId="0" borderId="0" xfId="0" applyFont="1"/>
    <xf numFmtId="0" fontId="17" fillId="0" borderId="0" xfId="4" applyNumberFormat="1" applyFont="1"/>
    <xf numFmtId="0" fontId="27" fillId="0" borderId="0" xfId="4" applyNumberFormat="1" applyFont="1"/>
    <xf numFmtId="44" fontId="15" fillId="0" borderId="0" xfId="4" applyFont="1" applyFill="1" applyBorder="1"/>
    <xf numFmtId="44" fontId="15" fillId="0" borderId="0" xfId="0" applyNumberFormat="1" applyFont="1"/>
    <xf numFmtId="10" fontId="15" fillId="0" borderId="0" xfId="2" applyNumberFormat="1" applyFont="1"/>
    <xf numFmtId="0" fontId="0" fillId="10" borderId="0" xfId="0" applyFill="1"/>
    <xf numFmtId="0" fontId="0" fillId="10" borderId="3" xfId="0" applyFill="1" applyBorder="1"/>
    <xf numFmtId="0" fontId="0" fillId="10" borderId="4" xfId="0" applyFill="1" applyBorder="1"/>
    <xf numFmtId="10" fontId="0" fillId="10" borderId="4" xfId="0" applyNumberFormat="1" applyFill="1" applyBorder="1"/>
    <xf numFmtId="44" fontId="15" fillId="0" borderId="0" xfId="4" applyNumberFormat="1" applyFont="1" applyFill="1" applyBorder="1"/>
    <xf numFmtId="44" fontId="15" fillId="0" borderId="0" xfId="4" applyNumberFormat="1" applyFont="1"/>
    <xf numFmtId="2" fontId="15" fillId="0" borderId="0" xfId="0" applyNumberFormat="1" applyFont="1"/>
    <xf numFmtId="164" fontId="19" fillId="0" borderId="5" xfId="1" applyNumberFormat="1" applyFont="1" applyBorder="1"/>
    <xf numFmtId="0" fontId="28" fillId="0" borderId="0" xfId="0" applyFont="1" applyAlignment="1">
      <alignment vertical="center"/>
    </xf>
    <xf numFmtId="1" fontId="0" fillId="4" borderId="0" xfId="0" applyNumberFormat="1" applyFill="1" applyBorder="1"/>
    <xf numFmtId="164" fontId="0" fillId="4" borderId="14" xfId="1" applyNumberFormat="1" applyFont="1" applyFill="1" applyBorder="1"/>
    <xf numFmtId="1" fontId="0" fillId="4" borderId="0" xfId="1" applyNumberFormat="1" applyFont="1" applyFill="1" applyBorder="1"/>
    <xf numFmtId="164" fontId="0" fillId="4" borderId="16" xfId="1" applyNumberFormat="1" applyFont="1" applyFill="1" applyBorder="1"/>
    <xf numFmtId="0" fontId="3" fillId="4" borderId="11" xfId="0" applyFont="1" applyFill="1" applyBorder="1"/>
    <xf numFmtId="0" fontId="3" fillId="4" borderId="12" xfId="0" applyFont="1" applyFill="1" applyBorder="1"/>
    <xf numFmtId="2" fontId="3" fillId="4" borderId="13" xfId="0" applyNumberFormat="1" applyFont="1" applyFill="1" applyBorder="1"/>
    <xf numFmtId="0" fontId="3" fillId="4" borderId="13" xfId="0" applyFont="1" applyFill="1" applyBorder="1"/>
    <xf numFmtId="0" fontId="29" fillId="0" borderId="0" xfId="0" applyFont="1"/>
    <xf numFmtId="0" fontId="19" fillId="0" borderId="18" xfId="0" applyFont="1" applyBorder="1"/>
    <xf numFmtId="167" fontId="19" fillId="0" borderId="18" xfId="4" applyNumberFormat="1" applyFont="1" applyBorder="1"/>
    <xf numFmtId="3" fontId="0" fillId="0" borderId="0" xfId="0" applyNumberFormat="1" applyFont="1" applyAlignment="1">
      <alignment horizontal="center"/>
    </xf>
    <xf numFmtId="164" fontId="29" fillId="0" borderId="0" xfId="1" applyNumberFormat="1" applyFont="1"/>
    <xf numFmtId="164" fontId="8" fillId="0" borderId="0" xfId="1" applyNumberFormat="1" applyFont="1" applyFill="1" applyBorder="1"/>
    <xf numFmtId="164" fontId="0" fillId="0" borderId="0" xfId="0" applyNumberFormat="1" applyFill="1" applyBorder="1"/>
    <xf numFmtId="164" fontId="0" fillId="11" borderId="12" xfId="1" applyNumberFormat="1" applyFont="1" applyFill="1" applyBorder="1"/>
    <xf numFmtId="0" fontId="0" fillId="11" borderId="13" xfId="0" applyFill="1" applyBorder="1"/>
    <xf numFmtId="164" fontId="8" fillId="11" borderId="14" xfId="1" applyNumberFormat="1" applyFont="1" applyFill="1" applyBorder="1"/>
    <xf numFmtId="164" fontId="0" fillId="11" borderId="14" xfId="1" applyNumberFormat="1" applyFont="1" applyFill="1" applyBorder="1"/>
    <xf numFmtId="0" fontId="13" fillId="11" borderId="15" xfId="0" applyFont="1" applyFill="1" applyBorder="1" applyAlignment="1">
      <alignment horizontal="right"/>
    </xf>
    <xf numFmtId="164" fontId="13" fillId="11" borderId="23" xfId="0" applyNumberFormat="1" applyFont="1" applyFill="1" applyBorder="1"/>
    <xf numFmtId="0" fontId="3" fillId="11" borderId="10" xfId="0" applyFont="1" applyFill="1" applyBorder="1"/>
    <xf numFmtId="0" fontId="0" fillId="11" borderId="28" xfId="0" applyFill="1" applyBorder="1"/>
    <xf numFmtId="164" fontId="0" fillId="11" borderId="29" xfId="1" applyNumberFormat="1" applyFont="1" applyFill="1" applyBorder="1"/>
    <xf numFmtId="164" fontId="0" fillId="4" borderId="0" xfId="1" applyNumberFormat="1" applyFont="1" applyFill="1" applyBorder="1"/>
    <xf numFmtId="10" fontId="0" fillId="4" borderId="0" xfId="2" applyNumberFormat="1" applyFont="1" applyFill="1" applyBorder="1"/>
    <xf numFmtId="164" fontId="0" fillId="4" borderId="16" xfId="0" applyNumberFormat="1" applyFill="1" applyBorder="1"/>
    <xf numFmtId="9" fontId="0" fillId="0" borderId="5" xfId="2" applyFont="1" applyBorder="1" applyAlignment="1">
      <alignment horizontal="center"/>
    </xf>
    <xf numFmtId="0" fontId="0" fillId="0" borderId="13" xfId="0" quotePrefix="1" applyBorder="1" applyAlignment="1">
      <alignment horizontal="right"/>
    </xf>
    <xf numFmtId="0" fontId="0" fillId="0" borderId="14" xfId="0" applyBorder="1"/>
    <xf numFmtId="14" fontId="0" fillId="0" borderId="13" xfId="0" applyNumberFormat="1" applyBorder="1"/>
    <xf numFmtId="14" fontId="0" fillId="0" borderId="15" xfId="0" applyNumberFormat="1" applyBorder="1"/>
    <xf numFmtId="0" fontId="0" fillId="0" borderId="23" xfId="0" applyBorder="1"/>
    <xf numFmtId="0" fontId="0" fillId="0" borderId="4" xfId="0" applyBorder="1" applyAlignment="1">
      <alignment vertical="center" wrapText="1"/>
    </xf>
    <xf numFmtId="0" fontId="0" fillId="0" borderId="19" xfId="0" quotePrefix="1" applyBorder="1" applyAlignment="1">
      <alignment horizontal="right"/>
    </xf>
    <xf numFmtId="14" fontId="0" fillId="0" borderId="19" xfId="0" applyNumberFormat="1" applyBorder="1"/>
    <xf numFmtId="14" fontId="0" fillId="0" borderId="19" xfId="0" quotePrefix="1" applyNumberFormat="1" applyBorder="1" applyAlignment="1">
      <alignment horizontal="right"/>
    </xf>
    <xf numFmtId="0" fontId="0" fillId="0" borderId="31" xfId="0" quotePrefix="1" applyBorder="1" applyAlignment="1">
      <alignment horizontal="right"/>
    </xf>
    <xf numFmtId="0" fontId="0" fillId="0" borderId="14" xfId="0" applyBorder="1" applyAlignment="1">
      <alignment horizontal="center"/>
    </xf>
    <xf numFmtId="0" fontId="19" fillId="0" borderId="0" xfId="0" applyFont="1" applyFill="1"/>
    <xf numFmtId="3" fontId="19" fillId="0" borderId="0" xfId="0" applyNumberFormat="1" applyFont="1" applyFill="1" applyBorder="1" applyAlignment="1">
      <alignment horizontal="right"/>
    </xf>
    <xf numFmtId="0" fontId="19" fillId="0" borderId="0" xfId="0" quotePrefix="1" applyFont="1" applyFill="1" applyBorder="1"/>
    <xf numFmtId="164" fontId="19" fillId="0" borderId="0" xfId="1" applyNumberFormat="1" applyFont="1" applyFill="1" applyBorder="1" applyAlignment="1">
      <alignment horizontal="right"/>
    </xf>
    <xf numFmtId="164" fontId="19" fillId="0" borderId="0" xfId="0" applyNumberFormat="1" applyFont="1"/>
    <xf numFmtId="44" fontId="19" fillId="0" borderId="0" xfId="4" applyFont="1"/>
    <xf numFmtId="44" fontId="19" fillId="0" borderId="0" xfId="4" applyNumberFormat="1" applyFont="1"/>
    <xf numFmtId="167" fontId="19" fillId="0" borderId="0" xfId="4" applyNumberFormat="1" applyFont="1"/>
    <xf numFmtId="0" fontId="19" fillId="0" borderId="5" xfId="0" quotePrefix="1" applyFont="1" applyFill="1" applyBorder="1"/>
    <xf numFmtId="0" fontId="32" fillId="0" borderId="0" xfId="0" applyFont="1" applyFill="1" applyBorder="1"/>
    <xf numFmtId="0" fontId="32" fillId="0" borderId="0" xfId="0" applyFont="1"/>
    <xf numFmtId="167" fontId="32" fillId="0" borderId="0" xfId="0" applyNumberFormat="1" applyFont="1"/>
    <xf numFmtId="0" fontId="0" fillId="4" borderId="10" xfId="0" quotePrefix="1" applyFont="1" applyFill="1" applyBorder="1"/>
    <xf numFmtId="0" fontId="0" fillId="4" borderId="11" xfId="0" applyFont="1" applyFill="1" applyBorder="1" applyAlignment="1">
      <alignment horizontal="center"/>
    </xf>
    <xf numFmtId="6" fontId="0" fillId="4" borderId="32" xfId="0" applyNumberFormat="1" applyFont="1" applyFill="1" applyBorder="1"/>
    <xf numFmtId="10" fontId="0" fillId="4" borderId="19" xfId="2" applyNumberFormat="1" applyFont="1" applyFill="1" applyBorder="1"/>
    <xf numFmtId="164" fontId="0" fillId="4" borderId="19" xfId="0" applyNumberFormat="1" applyFill="1" applyBorder="1"/>
    <xf numFmtId="166" fontId="0" fillId="4" borderId="19" xfId="2" applyNumberFormat="1" applyFont="1" applyFill="1" applyBorder="1"/>
    <xf numFmtId="164" fontId="0" fillId="4" borderId="31" xfId="0" applyNumberFormat="1" applyFill="1" applyBorder="1"/>
    <xf numFmtId="0" fontId="33" fillId="0" borderId="0" xfId="0" applyFont="1" applyFill="1" applyBorder="1" applyAlignment="1">
      <alignment horizontal="center"/>
    </xf>
    <xf numFmtId="167" fontId="10" fillId="4" borderId="11" xfId="0" applyNumberFormat="1" applyFont="1" applyFill="1" applyBorder="1" applyAlignment="1">
      <alignment horizontal="center"/>
    </xf>
    <xf numFmtId="167" fontId="10" fillId="4" borderId="12" xfId="0" applyNumberFormat="1" applyFont="1" applyFill="1" applyBorder="1" applyAlignment="1">
      <alignment horizontal="center"/>
    </xf>
    <xf numFmtId="10" fontId="10" fillId="4" borderId="0" xfId="2" applyNumberFormat="1" applyFont="1" applyFill="1" applyBorder="1"/>
    <xf numFmtId="10" fontId="10" fillId="4" borderId="14" xfId="2" applyNumberFormat="1" applyFont="1" applyFill="1" applyBorder="1"/>
    <xf numFmtId="164" fontId="10" fillId="4" borderId="0" xfId="1" applyNumberFormat="1" applyFont="1" applyFill="1" applyBorder="1"/>
    <xf numFmtId="164" fontId="10" fillId="4" borderId="14" xfId="1" applyNumberFormat="1" applyFont="1" applyFill="1" applyBorder="1"/>
    <xf numFmtId="164" fontId="10" fillId="4" borderId="16" xfId="0" applyNumberFormat="1" applyFont="1" applyFill="1" applyBorder="1"/>
    <xf numFmtId="164" fontId="10" fillId="4" borderId="23" xfId="0" applyNumberFormat="1" applyFont="1" applyFill="1" applyBorder="1"/>
    <xf numFmtId="0" fontId="34" fillId="0" borderId="0" xfId="0" applyFont="1" applyAlignment="1">
      <alignment horizontal="center" wrapText="1"/>
    </xf>
    <xf numFmtId="0" fontId="34" fillId="0" borderId="0" xfId="0" applyFont="1" applyAlignment="1">
      <alignment horizontal="center"/>
    </xf>
    <xf numFmtId="0" fontId="34" fillId="0" borderId="0" xfId="0" applyFont="1" applyFill="1" applyAlignment="1">
      <alignment horizontal="center"/>
    </xf>
    <xf numFmtId="0" fontId="34" fillId="0" borderId="0" xfId="0" applyFont="1" applyBorder="1" applyAlignment="1">
      <alignment horizontal="center"/>
    </xf>
    <xf numFmtId="166" fontId="0" fillId="0" borderId="0" xfId="2" applyNumberFormat="1" applyFont="1"/>
    <xf numFmtId="43" fontId="0" fillId="0" borderId="0" xfId="1" applyNumberFormat="1" applyFont="1"/>
    <xf numFmtId="43" fontId="0" fillId="0" borderId="0" xfId="0" applyNumberFormat="1"/>
    <xf numFmtId="2" fontId="0" fillId="4" borderId="0" xfId="0" applyNumberFormat="1" applyFill="1" applyBorder="1"/>
    <xf numFmtId="164" fontId="0" fillId="4" borderId="23" xfId="1" applyNumberFormat="1" applyFont="1" applyFill="1" applyBorder="1"/>
    <xf numFmtId="0" fontId="0" fillId="13" borderId="0" xfId="0" applyFill="1" applyBorder="1"/>
    <xf numFmtId="164" fontId="0" fillId="13" borderId="0" xfId="1" applyNumberFormat="1" applyFont="1" applyFill="1" applyBorder="1"/>
    <xf numFmtId="164" fontId="0" fillId="13" borderId="14" xfId="1" applyNumberFormat="1" applyFont="1" applyFill="1" applyBorder="1"/>
    <xf numFmtId="0" fontId="0" fillId="13" borderId="13" xfId="0" applyFill="1" applyBorder="1"/>
    <xf numFmtId="0" fontId="3" fillId="0" borderId="0" xfId="0" applyFont="1" applyFill="1"/>
    <xf numFmtId="164" fontId="0" fillId="0" borderId="0" xfId="0" applyNumberFormat="1" applyFont="1" applyBorder="1"/>
    <xf numFmtId="164" fontId="15" fillId="0" borderId="5" xfId="0" applyNumberFormat="1" applyFont="1" applyBorder="1"/>
    <xf numFmtId="0" fontId="3" fillId="0" borderId="33" xfId="0" applyFont="1" applyBorder="1" applyAlignment="1"/>
    <xf numFmtId="0" fontId="0" fillId="0" borderId="18" xfId="0" applyFont="1" applyBorder="1" applyAlignment="1">
      <alignment wrapText="1"/>
    </xf>
    <xf numFmtId="0" fontId="0" fillId="0" borderId="8" xfId="0" applyFont="1" applyBorder="1"/>
    <xf numFmtId="0" fontId="0" fillId="0" borderId="0" xfId="0" applyFont="1" applyBorder="1" applyAlignment="1">
      <alignment wrapText="1"/>
    </xf>
    <xf numFmtId="164" fontId="0" fillId="0" borderId="19" xfId="0" applyNumberFormat="1" applyFont="1" applyBorder="1"/>
    <xf numFmtId="0" fontId="0" fillId="6" borderId="8" xfId="0" applyFont="1" applyFill="1" applyBorder="1"/>
    <xf numFmtId="0" fontId="0" fillId="0" borderId="9" xfId="0" applyFont="1" applyBorder="1"/>
    <xf numFmtId="0" fontId="3" fillId="0" borderId="9" xfId="0" applyFont="1" applyBorder="1"/>
    <xf numFmtId="0" fontId="3" fillId="0" borderId="5" xfId="0" applyFont="1" applyBorder="1"/>
    <xf numFmtId="43" fontId="3" fillId="0" borderId="5" xfId="0" applyNumberFormat="1" applyFont="1" applyBorder="1"/>
    <xf numFmtId="0" fontId="7" fillId="0" borderId="18" xfId="0" applyFont="1" applyFill="1" applyBorder="1" applyAlignment="1">
      <alignment horizontal="center"/>
    </xf>
    <xf numFmtId="0" fontId="7" fillId="0" borderId="34" xfId="0" applyFont="1" applyFill="1" applyBorder="1" applyAlignment="1">
      <alignment horizontal="center"/>
    </xf>
    <xf numFmtId="173" fontId="0" fillId="0" borderId="0" xfId="0" applyNumberFormat="1"/>
    <xf numFmtId="168" fontId="0" fillId="0" borderId="0" xfId="4" applyNumberFormat="1" applyFont="1" applyAlignment="1">
      <alignment horizontal="center"/>
    </xf>
    <xf numFmtId="167" fontId="0" fillId="0" borderId="0" xfId="4" applyNumberFormat="1" applyFont="1" applyAlignment="1">
      <alignment horizontal="center"/>
    </xf>
    <xf numFmtId="0" fontId="3" fillId="0" borderId="11" xfId="0" applyFont="1" applyFill="1" applyBorder="1" applyAlignment="1">
      <alignment horizontal="center" wrapText="1"/>
    </xf>
    <xf numFmtId="167" fontId="0" fillId="0" borderId="0" xfId="4" applyNumberFormat="1" applyFont="1" applyFill="1" applyBorder="1"/>
    <xf numFmtId="167" fontId="0" fillId="0" borderId="16" xfId="4" applyNumberFormat="1" applyFont="1" applyFill="1" applyBorder="1"/>
    <xf numFmtId="170" fontId="0" fillId="0" borderId="0" xfId="1" applyNumberFormat="1" applyFont="1" applyFill="1" applyBorder="1"/>
    <xf numFmtId="0" fontId="0" fillId="11" borderId="12" xfId="0" applyFill="1" applyBorder="1"/>
    <xf numFmtId="0" fontId="0" fillId="11" borderId="13" xfId="0" applyFill="1" applyBorder="1" applyAlignment="1">
      <alignment horizontal="right" wrapText="1"/>
    </xf>
    <xf numFmtId="0" fontId="0" fillId="11" borderId="14" xfId="0" applyFill="1" applyBorder="1"/>
    <xf numFmtId="0" fontId="0" fillId="11" borderId="13" xfId="0" applyFill="1" applyBorder="1" applyAlignment="1">
      <alignment wrapText="1"/>
    </xf>
    <xf numFmtId="0" fontId="0" fillId="11" borderId="15" xfId="0" applyFill="1" applyBorder="1" applyAlignment="1">
      <alignment horizontal="right" wrapText="1"/>
    </xf>
    <xf numFmtId="0" fontId="0" fillId="11" borderId="23" xfId="0" applyFill="1" applyBorder="1"/>
    <xf numFmtId="0" fontId="7" fillId="11" borderId="10" xfId="0" applyFont="1" applyFill="1" applyBorder="1" applyAlignment="1">
      <alignment horizontal="right" wrapText="1"/>
    </xf>
    <xf numFmtId="2" fontId="0" fillId="13" borderId="0" xfId="0" applyNumberFormat="1" applyFill="1" applyBorder="1"/>
    <xf numFmtId="164" fontId="1" fillId="0" borderId="0" xfId="1" applyNumberFormat="1" applyFont="1" applyFill="1" applyBorder="1"/>
    <xf numFmtId="0" fontId="0" fillId="14" borderId="25" xfId="0" applyFill="1" applyBorder="1" applyAlignment="1">
      <alignment wrapText="1"/>
    </xf>
    <xf numFmtId="0" fontId="3" fillId="14" borderId="26" xfId="0" applyNumberFormat="1" applyFont="1" applyFill="1" applyBorder="1" applyAlignment="1">
      <alignment horizontal="center" wrapText="1"/>
    </xf>
    <xf numFmtId="0" fontId="0" fillId="14" borderId="13" xfId="0" applyFill="1" applyBorder="1"/>
    <xf numFmtId="0" fontId="0" fillId="14" borderId="14" xfId="0" applyFill="1" applyBorder="1" applyAlignment="1">
      <alignment horizontal="center"/>
    </xf>
    <xf numFmtId="0" fontId="0" fillId="14" borderId="13" xfId="0" applyFill="1" applyBorder="1" applyAlignment="1">
      <alignment horizontal="left" indent="2"/>
    </xf>
    <xf numFmtId="171" fontId="0" fillId="14" borderId="14" xfId="4" applyNumberFormat="1" applyFont="1" applyFill="1" applyBorder="1" applyAlignment="1">
      <alignment horizontal="center"/>
    </xf>
    <xf numFmtId="0" fontId="0" fillId="14" borderId="28" xfId="0" applyFill="1" applyBorder="1" applyAlignment="1">
      <alignment horizontal="left" indent="2"/>
    </xf>
    <xf numFmtId="171" fontId="0" fillId="14" borderId="29" xfId="4" applyNumberFormat="1" applyFont="1" applyFill="1" applyBorder="1" applyAlignment="1">
      <alignment horizontal="center"/>
    </xf>
    <xf numFmtId="0" fontId="3" fillId="14" borderId="13" xfId="0" quotePrefix="1" applyFont="1" applyFill="1" applyBorder="1"/>
    <xf numFmtId="171" fontId="3" fillId="14" borderId="14" xfId="0" applyNumberFormat="1" applyFont="1" applyFill="1" applyBorder="1" applyAlignment="1">
      <alignment horizontal="center"/>
    </xf>
    <xf numFmtId="0" fontId="0" fillId="14" borderId="15" xfId="0" applyFill="1" applyBorder="1"/>
    <xf numFmtId="10" fontId="0" fillId="14" borderId="23" xfId="2" applyNumberFormat="1" applyFont="1" applyFill="1" applyBorder="1" applyAlignment="1">
      <alignment horizontal="center"/>
    </xf>
    <xf numFmtId="0" fontId="3" fillId="14" borderId="35" xfId="0" applyNumberFormat="1" applyFont="1" applyFill="1" applyBorder="1" applyAlignment="1">
      <alignment horizontal="center" wrapText="1"/>
    </xf>
    <xf numFmtId="6" fontId="0" fillId="14" borderId="36" xfId="0" applyNumberFormat="1" applyFill="1" applyBorder="1" applyAlignment="1">
      <alignment horizontal="center"/>
    </xf>
    <xf numFmtId="10" fontId="0" fillId="14" borderId="36" xfId="0" applyNumberFormat="1" applyFill="1" applyBorder="1" applyAlignment="1">
      <alignment horizontal="center"/>
    </xf>
    <xf numFmtId="9" fontId="0" fillId="14" borderId="36" xfId="2" applyFont="1" applyFill="1" applyBorder="1" applyAlignment="1">
      <alignment horizontal="center"/>
    </xf>
    <xf numFmtId="0" fontId="0" fillId="14" borderId="36" xfId="0" applyFill="1" applyBorder="1" applyAlignment="1">
      <alignment horizontal="center"/>
    </xf>
    <xf numFmtId="171" fontId="0" fillId="14" borderId="36" xfId="4" applyNumberFormat="1" applyFont="1" applyFill="1" applyBorder="1" applyAlignment="1">
      <alignment horizontal="center"/>
    </xf>
    <xf numFmtId="171" fontId="0" fillId="14" borderId="37" xfId="4" applyNumberFormat="1" applyFont="1" applyFill="1" applyBorder="1" applyAlignment="1">
      <alignment horizontal="center"/>
    </xf>
    <xf numFmtId="171" fontId="3" fillId="14" borderId="36" xfId="0" applyNumberFormat="1" applyFont="1" applyFill="1" applyBorder="1" applyAlignment="1">
      <alignment horizontal="center"/>
    </xf>
    <xf numFmtId="10" fontId="0" fillId="14" borderId="38" xfId="2" applyNumberFormat="1" applyFont="1" applyFill="1" applyBorder="1" applyAlignment="1">
      <alignment horizontal="center"/>
    </xf>
    <xf numFmtId="171" fontId="0" fillId="14" borderId="40" xfId="4" applyNumberFormat="1" applyFont="1" applyFill="1" applyBorder="1" applyAlignment="1">
      <alignment horizontal="center"/>
    </xf>
    <xf numFmtId="178" fontId="0" fillId="0" borderId="0" xfId="0" applyNumberFormat="1"/>
    <xf numFmtId="9" fontId="0" fillId="3" borderId="0" xfId="2" applyFont="1" applyFill="1" applyAlignment="1">
      <alignment horizontal="center"/>
    </xf>
    <xf numFmtId="0" fontId="0" fillId="3" borderId="0" xfId="0" applyFill="1" applyAlignment="1">
      <alignment horizontal="center"/>
    </xf>
    <xf numFmtId="166" fontId="19" fillId="0" borderId="0" xfId="2" applyNumberFormat="1" applyFont="1"/>
    <xf numFmtId="0" fontId="0" fillId="4" borderId="0" xfId="0" applyFill="1"/>
    <xf numFmtId="164" fontId="19" fillId="0" borderId="16" xfId="1" applyNumberFormat="1" applyFont="1" applyBorder="1"/>
    <xf numFmtId="171" fontId="0" fillId="0" borderId="13" xfId="4" applyNumberFormat="1" applyFont="1" applyFill="1" applyBorder="1" applyAlignment="1">
      <alignment horizontal="center"/>
    </xf>
    <xf numFmtId="0" fontId="0" fillId="0" borderId="10" xfId="0" applyBorder="1" applyAlignment="1">
      <alignment horizontal="center"/>
    </xf>
    <xf numFmtId="6" fontId="0" fillId="4" borderId="12" xfId="0" applyNumberFormat="1" applyFont="1" applyFill="1" applyBorder="1"/>
    <xf numFmtId="10" fontId="0" fillId="4" borderId="14" xfId="2" applyNumberFormat="1" applyFont="1" applyFill="1" applyBorder="1"/>
    <xf numFmtId="164" fontId="0" fillId="4" borderId="14" xfId="0" applyNumberFormat="1" applyFill="1" applyBorder="1"/>
    <xf numFmtId="166" fontId="0" fillId="4" borderId="14" xfId="2" applyNumberFormat="1" applyFont="1" applyFill="1" applyBorder="1"/>
    <xf numFmtId="164" fontId="0" fillId="4" borderId="23" xfId="0" applyNumberFormat="1" applyFill="1" applyBorder="1"/>
    <xf numFmtId="0" fontId="23" fillId="0" borderId="0" xfId="0" applyFont="1" applyBorder="1"/>
    <xf numFmtId="167" fontId="23" fillId="0" borderId="0" xfId="0" applyNumberFormat="1" applyFont="1" applyBorder="1"/>
    <xf numFmtId="44" fontId="23" fillId="0" borderId="0" xfId="4" applyNumberFormat="1" applyFont="1" applyBorder="1" applyAlignment="1"/>
    <xf numFmtId="0" fontId="3" fillId="0" borderId="0" xfId="0" applyFont="1" applyAlignment="1">
      <alignment horizontal="left" wrapText="1"/>
    </xf>
    <xf numFmtId="0" fontId="0" fillId="0" borderId="0" xfId="0" applyAlignment="1">
      <alignment horizontal="left"/>
    </xf>
    <xf numFmtId="10" fontId="0" fillId="0" borderId="0" xfId="0" applyNumberFormat="1" applyAlignment="1">
      <alignment horizontal="left"/>
    </xf>
    <xf numFmtId="9" fontId="0" fillId="0" borderId="0" xfId="0" applyNumberFormat="1" applyAlignment="1">
      <alignment horizontal="left"/>
    </xf>
    <xf numFmtId="9" fontId="0" fillId="0" borderId="0" xfId="2" applyFont="1" applyFill="1" applyAlignment="1">
      <alignment horizontal="left"/>
    </xf>
    <xf numFmtId="0" fontId="0" fillId="0" borderId="0" xfId="0" applyFill="1" applyAlignment="1">
      <alignment horizontal="left"/>
    </xf>
    <xf numFmtId="166" fontId="0" fillId="0" borderId="0" xfId="2" applyNumberFormat="1" applyFont="1" applyFill="1" applyAlignment="1">
      <alignment horizontal="left"/>
    </xf>
    <xf numFmtId="9" fontId="0" fillId="0" borderId="0" xfId="2" applyFont="1" applyAlignment="1">
      <alignment horizontal="left"/>
    </xf>
    <xf numFmtId="9" fontId="0" fillId="0" borderId="5" xfId="2" applyFont="1" applyBorder="1" applyAlignment="1">
      <alignment horizontal="left"/>
    </xf>
    <xf numFmtId="0" fontId="0" fillId="0" borderId="0" xfId="0" applyBorder="1" applyAlignment="1">
      <alignment horizontal="left"/>
    </xf>
    <xf numFmtId="168" fontId="0" fillId="0" borderId="0" xfId="4" applyNumberFormat="1" applyFont="1" applyAlignment="1">
      <alignment horizontal="left"/>
    </xf>
    <xf numFmtId="167" fontId="0" fillId="0" borderId="0" xfId="4" applyNumberFormat="1" applyFont="1" applyAlignment="1">
      <alignment horizontal="left"/>
    </xf>
    <xf numFmtId="167" fontId="19" fillId="0" borderId="0" xfId="4" applyNumberFormat="1" applyFont="1" applyAlignment="1">
      <alignment horizontal="center"/>
    </xf>
    <xf numFmtId="167" fontId="19" fillId="0" borderId="0" xfId="4" applyNumberFormat="1" applyFont="1" applyAlignment="1">
      <alignment horizontal="left"/>
    </xf>
    <xf numFmtId="166" fontId="19" fillId="0" borderId="0" xfId="0" applyNumberFormat="1" applyFont="1" applyAlignment="1">
      <alignment horizontal="center"/>
    </xf>
    <xf numFmtId="166" fontId="19" fillId="0" borderId="0" xfId="0" applyNumberFormat="1" applyFont="1" applyAlignment="1">
      <alignment horizontal="left"/>
    </xf>
    <xf numFmtId="164" fontId="15" fillId="0" borderId="0" xfId="0" applyNumberFormat="1" applyFont="1" applyBorder="1"/>
    <xf numFmtId="43" fontId="3" fillId="0" borderId="0" xfId="0" applyNumberFormat="1" applyFont="1" applyBorder="1"/>
    <xf numFmtId="0" fontId="7" fillId="0" borderId="0" xfId="0" applyFont="1" applyAlignment="1">
      <alignment wrapText="1"/>
    </xf>
    <xf numFmtId="166" fontId="0" fillId="0" borderId="0" xfId="2" applyNumberFormat="1" applyFont="1" applyBorder="1"/>
    <xf numFmtId="166" fontId="0" fillId="0" borderId="0" xfId="0" applyNumberFormat="1" applyBorder="1"/>
    <xf numFmtId="3" fontId="15" fillId="0" borderId="0" xfId="0" applyNumberFormat="1" applyFont="1"/>
    <xf numFmtId="0" fontId="0" fillId="3" borderId="0" xfId="0" applyFont="1" applyFill="1"/>
    <xf numFmtId="0" fontId="0" fillId="3" borderId="0" xfId="0" applyFont="1" applyFill="1" applyAlignment="1">
      <alignment horizontal="right"/>
    </xf>
    <xf numFmtId="9" fontId="32" fillId="3" borderId="2" xfId="0" applyNumberFormat="1" applyFont="1" applyFill="1" applyBorder="1" applyAlignment="1">
      <alignment horizontal="right"/>
    </xf>
    <xf numFmtId="167" fontId="32" fillId="3" borderId="4" xfId="4" applyNumberFormat="1" applyFont="1" applyFill="1" applyBorder="1"/>
    <xf numFmtId="0" fontId="0" fillId="3" borderId="0" xfId="0" applyFont="1" applyFill="1" applyBorder="1"/>
    <xf numFmtId="0" fontId="7" fillId="0" borderId="8" xfId="0" applyFont="1" applyBorder="1" applyAlignment="1">
      <alignment horizontal="center"/>
    </xf>
    <xf numFmtId="167" fontId="0" fillId="0" borderId="8" xfId="4" applyNumberFormat="1" applyFont="1" applyBorder="1"/>
    <xf numFmtId="167" fontId="0" fillId="0" borderId="9" xfId="4" applyNumberFormat="1" applyFont="1" applyBorder="1"/>
    <xf numFmtId="167" fontId="0" fillId="0" borderId="8" xfId="0" applyNumberFormat="1" applyBorder="1"/>
    <xf numFmtId="3" fontId="0" fillId="0" borderId="8" xfId="0" applyNumberFormat="1" applyBorder="1"/>
    <xf numFmtId="44" fontId="0" fillId="0" borderId="8" xfId="4" applyFont="1" applyFill="1" applyBorder="1"/>
    <xf numFmtId="44" fontId="0" fillId="0" borderId="8" xfId="0" applyNumberFormat="1" applyBorder="1"/>
    <xf numFmtId="0" fontId="33" fillId="0" borderId="8" xfId="0" applyFont="1" applyFill="1" applyBorder="1" applyAlignment="1">
      <alignment horizontal="center"/>
    </xf>
    <xf numFmtId="167" fontId="10" fillId="4" borderId="43" xfId="0" applyNumberFormat="1" applyFont="1" applyFill="1" applyBorder="1" applyAlignment="1">
      <alignment horizontal="center"/>
    </xf>
    <xf numFmtId="10" fontId="10" fillId="4" borderId="8" xfId="2" applyNumberFormat="1" applyFont="1" applyFill="1" applyBorder="1"/>
    <xf numFmtId="164" fontId="10" fillId="4" borderId="8" xfId="1" applyNumberFormat="1" applyFont="1" applyFill="1" applyBorder="1"/>
    <xf numFmtId="164" fontId="10" fillId="4" borderId="42" xfId="0" applyNumberFormat="1" applyFont="1" applyFill="1" applyBorder="1"/>
    <xf numFmtId="0" fontId="35" fillId="0" borderId="0" xfId="6"/>
    <xf numFmtId="168" fontId="0" fillId="0" borderId="0" xfId="4" applyNumberFormat="1" applyFont="1"/>
    <xf numFmtId="168" fontId="3" fillId="10" borderId="0" xfId="4" applyNumberFormat="1" applyFont="1" applyFill="1"/>
    <xf numFmtId="168" fontId="0" fillId="10" borderId="2" xfId="4" applyNumberFormat="1" applyFont="1" applyFill="1" applyBorder="1"/>
    <xf numFmtId="168" fontId="0" fillId="10" borderId="3" xfId="4" applyNumberFormat="1" applyFont="1" applyFill="1" applyBorder="1"/>
    <xf numFmtId="168" fontId="0" fillId="10" borderId="0" xfId="4" applyNumberFormat="1" applyFont="1" applyFill="1"/>
    <xf numFmtId="0" fontId="13" fillId="0" borderId="0" xfId="0" applyFont="1"/>
    <xf numFmtId="168" fontId="3" fillId="0" borderId="0" xfId="4" applyNumberFormat="1" applyFont="1" applyFill="1"/>
    <xf numFmtId="9" fontId="0" fillId="10" borderId="0" xfId="2" applyFont="1" applyFill="1"/>
    <xf numFmtId="0" fontId="3" fillId="0" borderId="25" xfId="0" applyFont="1" applyBorder="1" applyAlignment="1"/>
    <xf numFmtId="0" fontId="0" fillId="0" borderId="0" xfId="0" applyAlignment="1"/>
    <xf numFmtId="0" fontId="0" fillId="0" borderId="13" xfId="0" applyBorder="1" applyAlignment="1"/>
    <xf numFmtId="0" fontId="30" fillId="0" borderId="0" xfId="0" quotePrefix="1" applyFont="1" applyAlignment="1"/>
    <xf numFmtId="0" fontId="0" fillId="0" borderId="28" xfId="0" applyBorder="1" applyAlignment="1"/>
    <xf numFmtId="0" fontId="0" fillId="0" borderId="15" xfId="0" applyBorder="1" applyAlignment="1"/>
    <xf numFmtId="166" fontId="3" fillId="0" borderId="44" xfId="2" applyNumberFormat="1" applyFont="1" applyBorder="1" applyAlignment="1"/>
    <xf numFmtId="166" fontId="0" fillId="0" borderId="0" xfId="2" applyNumberFormat="1" applyFont="1" applyBorder="1" applyAlignment="1"/>
    <xf numFmtId="166" fontId="0" fillId="0" borderId="5" xfId="2" applyNumberFormat="1" applyFont="1" applyBorder="1" applyAlignment="1"/>
    <xf numFmtId="166" fontId="0" fillId="0" borderId="16" xfId="2" applyNumberFormat="1" applyFont="1" applyBorder="1" applyAlignment="1"/>
    <xf numFmtId="10" fontId="0" fillId="0" borderId="39" xfId="2" applyNumberFormat="1" applyFont="1" applyBorder="1" applyAlignment="1"/>
    <xf numFmtId="9" fontId="0" fillId="0" borderId="39" xfId="2" applyFont="1" applyBorder="1" applyAlignment="1"/>
    <xf numFmtId="166" fontId="0" fillId="0" borderId="40" xfId="2" applyNumberFormat="1" applyFont="1" applyBorder="1" applyAlignment="1"/>
    <xf numFmtId="0" fontId="3" fillId="0" borderId="45" xfId="0" applyFont="1" applyBorder="1" applyAlignment="1"/>
    <xf numFmtId="9" fontId="0" fillId="0" borderId="0" xfId="2" applyNumberFormat="1" applyFont="1"/>
    <xf numFmtId="164" fontId="0" fillId="3" borderId="0" xfId="0" applyNumberFormat="1" applyFill="1"/>
    <xf numFmtId="3" fontId="0" fillId="3" borderId="0" xfId="0" applyNumberFormat="1" applyFont="1" applyFill="1" applyBorder="1" applyAlignment="1">
      <alignment horizontal="right"/>
    </xf>
    <xf numFmtId="0" fontId="0" fillId="0" borderId="0" xfId="0" applyBorder="1" applyAlignment="1"/>
    <xf numFmtId="9" fontId="0" fillId="0" borderId="0" xfId="2" applyFont="1" applyBorder="1" applyAlignment="1"/>
    <xf numFmtId="0" fontId="0" fillId="0" borderId="33" xfId="0" applyBorder="1"/>
    <xf numFmtId="166" fontId="0" fillId="0" borderId="34" xfId="2" applyNumberFormat="1" applyFont="1" applyBorder="1" applyAlignment="1"/>
    <xf numFmtId="166" fontId="0" fillId="0" borderId="19" xfId="0" applyNumberFormat="1" applyBorder="1"/>
    <xf numFmtId="0" fontId="0" fillId="0" borderId="9" xfId="0" applyBorder="1"/>
    <xf numFmtId="166" fontId="0" fillId="0" borderId="20" xfId="0" applyNumberFormat="1" applyBorder="1"/>
    <xf numFmtId="164" fontId="0" fillId="0" borderId="34" xfId="1" applyNumberFormat="1" applyFont="1" applyBorder="1"/>
    <xf numFmtId="164" fontId="0" fillId="0" borderId="19" xfId="1" applyNumberFormat="1" applyFont="1" applyBorder="1"/>
    <xf numFmtId="164" fontId="0" fillId="0" borderId="20" xfId="1" applyNumberFormat="1" applyFont="1" applyBorder="1"/>
    <xf numFmtId="166" fontId="0" fillId="0" borderId="39" xfId="2" applyNumberFormat="1" applyFont="1" applyBorder="1" applyAlignment="1"/>
    <xf numFmtId="10" fontId="0" fillId="0" borderId="41" xfId="2" applyNumberFormat="1" applyFont="1" applyBorder="1" applyAlignment="1"/>
    <xf numFmtId="164" fontId="3" fillId="0" borderId="0" xfId="0" applyNumberFormat="1" applyFont="1"/>
    <xf numFmtId="0" fontId="0" fillId="0" borderId="0" xfId="0" applyFill="1" applyAlignment="1">
      <alignment horizontal="left" indent="2"/>
    </xf>
    <xf numFmtId="0" fontId="3" fillId="0" borderId="0" xfId="0" applyFont="1" applyFill="1" applyAlignment="1">
      <alignment horizontal="left"/>
    </xf>
    <xf numFmtId="9" fontId="0" fillId="3" borderId="0" xfId="2" applyFont="1" applyFill="1"/>
    <xf numFmtId="0" fontId="37" fillId="0" borderId="0" xfId="7"/>
    <xf numFmtId="0" fontId="26" fillId="7" borderId="17" xfId="7" applyFont="1" applyFill="1" applyBorder="1" applyAlignment="1">
      <alignment horizontal="center" vertical="center" wrapText="1"/>
    </xf>
    <xf numFmtId="0" fontId="26" fillId="0" borderId="0" xfId="7" applyFont="1" applyAlignment="1">
      <alignment horizontal="center"/>
    </xf>
    <xf numFmtId="0" fontId="26" fillId="0" borderId="17" xfId="7" applyFont="1" applyBorder="1"/>
    <xf numFmtId="0" fontId="26" fillId="8" borderId="17" xfId="7" applyFont="1" applyFill="1" applyBorder="1" applyAlignment="1">
      <alignment horizontal="center" vertical="center" wrapText="1"/>
    </xf>
    <xf numFmtId="0" fontId="26" fillId="9" borderId="17" xfId="7" applyFont="1" applyFill="1" applyBorder="1" applyAlignment="1">
      <alignment horizontal="center" vertical="center" wrapText="1"/>
    </xf>
    <xf numFmtId="0" fontId="26" fillId="17" borderId="46" xfId="7" applyFont="1" applyFill="1" applyBorder="1" applyAlignment="1">
      <alignment horizontal="center" vertical="center" wrapText="1"/>
    </xf>
    <xf numFmtId="0" fontId="26" fillId="17" borderId="19" xfId="7" applyFont="1" applyFill="1" applyBorder="1" applyAlignment="1">
      <alignment horizontal="center" vertical="center" wrapText="1"/>
    </xf>
    <xf numFmtId="0" fontId="26" fillId="17" borderId="47" xfId="7" applyFont="1" applyFill="1" applyBorder="1" applyAlignment="1">
      <alignment horizontal="center" vertical="center" wrapText="1"/>
    </xf>
    <xf numFmtId="0" fontId="26" fillId="17" borderId="0" xfId="7" applyFont="1" applyFill="1" applyAlignment="1">
      <alignment horizontal="center" vertical="center" wrapText="1"/>
    </xf>
    <xf numFmtId="0" fontId="26" fillId="17" borderId="14" xfId="7" applyFont="1" applyFill="1" applyBorder="1" applyAlignment="1">
      <alignment horizontal="center" vertical="center" wrapText="1"/>
    </xf>
    <xf numFmtId="0" fontId="26" fillId="0" borderId="0" xfId="7" applyFont="1" applyAlignment="1">
      <alignment horizontal="center" vertical="center" wrapText="1"/>
    </xf>
    <xf numFmtId="0" fontId="37" fillId="0" borderId="17" xfId="7" applyBorder="1"/>
    <xf numFmtId="0" fontId="37" fillId="18" borderId="17" xfId="7" applyFill="1" applyBorder="1"/>
    <xf numFmtId="169" fontId="37" fillId="18" borderId="17" xfId="7" applyNumberFormat="1" applyFill="1" applyBorder="1"/>
    <xf numFmtId="44" fontId="0" fillId="18" borderId="17" xfId="8" applyFont="1" applyFill="1" applyBorder="1"/>
    <xf numFmtId="169" fontId="37" fillId="0" borderId="17" xfId="7" applyNumberFormat="1" applyBorder="1"/>
    <xf numFmtId="9" fontId="0" fillId="0" borderId="17" xfId="9" applyFont="1" applyBorder="1"/>
    <xf numFmtId="43" fontId="0" fillId="18" borderId="17" xfId="10" applyFont="1" applyFill="1" applyBorder="1"/>
    <xf numFmtId="2" fontId="37" fillId="0" borderId="17" xfId="7" applyNumberFormat="1" applyBorder="1"/>
    <xf numFmtId="44" fontId="0" fillId="0" borderId="17" xfId="8" applyFont="1" applyBorder="1"/>
    <xf numFmtId="43" fontId="0" fillId="0" borderId="17" xfId="10" applyFont="1" applyFill="1" applyBorder="1"/>
    <xf numFmtId="0" fontId="39" fillId="0" borderId="0" xfId="7" applyFont="1"/>
    <xf numFmtId="2" fontId="37" fillId="0" borderId="0" xfId="7" applyNumberFormat="1"/>
    <xf numFmtId="43" fontId="0" fillId="0" borderId="0" xfId="10" applyFont="1" applyFill="1" applyBorder="1"/>
    <xf numFmtId="44" fontId="0" fillId="0" borderId="0" xfId="8" applyFont="1" applyFill="1" applyBorder="1"/>
    <xf numFmtId="43" fontId="0" fillId="0" borderId="17" xfId="10" quotePrefix="1" applyFont="1" applyFill="1" applyBorder="1"/>
    <xf numFmtId="1" fontId="37" fillId="0" borderId="0" xfId="7" applyNumberFormat="1"/>
    <xf numFmtId="44" fontId="0" fillId="0" borderId="0" xfId="8" applyFont="1" applyFill="1"/>
    <xf numFmtId="44" fontId="37" fillId="0" borderId="0" xfId="7" applyNumberFormat="1"/>
    <xf numFmtId="2" fontId="40" fillId="18" borderId="17" xfId="7" applyNumberFormat="1" applyFont="1" applyFill="1" applyBorder="1"/>
    <xf numFmtId="44" fontId="40" fillId="18" borderId="17" xfId="8" applyFont="1" applyFill="1" applyBorder="1"/>
    <xf numFmtId="43" fontId="40" fillId="18" borderId="17" xfId="10" applyFont="1" applyFill="1" applyBorder="1"/>
    <xf numFmtId="0" fontId="40" fillId="0" borderId="48" xfId="7" applyFont="1" applyBorder="1"/>
    <xf numFmtId="169" fontId="40" fillId="18" borderId="48" xfId="7" applyNumberFormat="1" applyFont="1" applyFill="1" applyBorder="1"/>
    <xf numFmtId="2" fontId="40" fillId="18" borderId="48" xfId="7" applyNumberFormat="1" applyFont="1" applyFill="1" applyBorder="1"/>
    <xf numFmtId="44" fontId="40" fillId="18" borderId="48" xfId="8" applyFont="1" applyFill="1" applyBorder="1"/>
    <xf numFmtId="169" fontId="40" fillId="0" borderId="17" xfId="7" applyNumberFormat="1" applyFont="1" applyBorder="1"/>
    <xf numFmtId="2" fontId="40" fillId="0" borderId="17" xfId="7" applyNumberFormat="1" applyFont="1" applyBorder="1"/>
    <xf numFmtId="0" fontId="26" fillId="15" borderId="48" xfId="7" applyFont="1" applyFill="1" applyBorder="1" applyAlignment="1">
      <alignment horizontal="center" vertical="center"/>
    </xf>
    <xf numFmtId="0" fontId="37" fillId="0" borderId="17" xfId="7" applyBorder="1" applyAlignment="1">
      <alignment horizontal="center" vertical="center"/>
    </xf>
    <xf numFmtId="0" fontId="37" fillId="0" borderId="48" xfId="7" applyBorder="1"/>
    <xf numFmtId="169" fontId="37" fillId="18" borderId="48" xfId="7" applyNumberFormat="1" applyFill="1" applyBorder="1"/>
    <xf numFmtId="0" fontId="37" fillId="18" borderId="48" xfId="7" applyFill="1" applyBorder="1"/>
    <xf numFmtId="44" fontId="0" fillId="18" borderId="48" xfId="8" applyFont="1" applyFill="1" applyBorder="1"/>
    <xf numFmtId="0" fontId="26" fillId="15" borderId="17" xfId="7" applyFont="1" applyFill="1" applyBorder="1" applyAlignment="1">
      <alignment horizontal="center" vertical="center"/>
    </xf>
    <xf numFmtId="0" fontId="40" fillId="0" borderId="17" xfId="7" applyFont="1" applyBorder="1"/>
    <xf numFmtId="169" fontId="40" fillId="18" borderId="17" xfId="7" applyNumberFormat="1" applyFont="1" applyFill="1" applyBorder="1"/>
    <xf numFmtId="0" fontId="40" fillId="18" borderId="17" xfId="7" applyFont="1" applyFill="1" applyBorder="1"/>
    <xf numFmtId="9" fontId="40" fillId="0" borderId="17" xfId="9" applyFont="1" applyBorder="1"/>
    <xf numFmtId="0" fontId="41" fillId="15" borderId="17" xfId="7" applyFont="1" applyFill="1" applyBorder="1" applyAlignment="1">
      <alignment horizontal="center" vertical="center"/>
    </xf>
    <xf numFmtId="0" fontId="40" fillId="0" borderId="17" xfId="7" applyFont="1" applyBorder="1" applyAlignment="1">
      <alignment horizontal="center" vertical="center"/>
    </xf>
    <xf numFmtId="44" fontId="39" fillId="0" borderId="0" xfId="8" applyFont="1" applyFill="1" applyBorder="1"/>
    <xf numFmtId="0" fontId="41" fillId="15" borderId="17" xfId="7" applyFont="1" applyFill="1" applyBorder="1" applyAlignment="1">
      <alignment horizontal="center" vertical="center" wrapText="1"/>
    </xf>
    <xf numFmtId="169" fontId="42" fillId="0" borderId="17" xfId="7" applyNumberFormat="1" applyFont="1" applyBorder="1"/>
    <xf numFmtId="43" fontId="40" fillId="5" borderId="17" xfId="10" applyFont="1" applyFill="1" applyBorder="1"/>
    <xf numFmtId="2" fontId="37" fillId="5" borderId="17" xfId="7" applyNumberFormat="1" applyFill="1" applyBorder="1"/>
    <xf numFmtId="2" fontId="42" fillId="0" borderId="17" xfId="7" applyNumberFormat="1" applyFont="1" applyBorder="1"/>
    <xf numFmtId="0" fontId="37" fillId="0" borderId="0" xfId="7" applyAlignment="1">
      <alignment horizontal="center" vertical="center"/>
    </xf>
    <xf numFmtId="169" fontId="40" fillId="0" borderId="0" xfId="7" applyNumberFormat="1" applyFont="1"/>
    <xf numFmtId="9" fontId="0" fillId="0" borderId="0" xfId="9" applyFont="1" applyFill="1" applyBorder="1"/>
    <xf numFmtId="164" fontId="0" fillId="0" borderId="0" xfId="10" applyNumberFormat="1" applyFont="1" applyFill="1" applyBorder="1"/>
    <xf numFmtId="44" fontId="0" fillId="0" borderId="0" xfId="8" applyFont="1" applyBorder="1"/>
    <xf numFmtId="0" fontId="43" fillId="0" borderId="0" xfId="7" applyFont="1" applyAlignment="1">
      <alignment horizontal="justify" vertical="center" wrapText="1"/>
    </xf>
    <xf numFmtId="0" fontId="44" fillId="0" borderId="0" xfId="7" applyFont="1" applyAlignment="1">
      <alignment horizontal="justify" vertical="center" wrapText="1"/>
    </xf>
    <xf numFmtId="0" fontId="44" fillId="0" borderId="0" xfId="7" applyFont="1" applyAlignment="1">
      <alignment horizontal="right" vertical="center" wrapText="1"/>
    </xf>
    <xf numFmtId="3" fontId="44" fillId="0" borderId="0" xfId="7" applyNumberFormat="1" applyFont="1" applyAlignment="1">
      <alignment horizontal="right" vertical="center" wrapText="1"/>
    </xf>
    <xf numFmtId="0" fontId="37" fillId="16" borderId="17" xfId="7" applyFill="1" applyBorder="1"/>
    <xf numFmtId="170" fontId="0" fillId="0" borderId="17" xfId="10" applyNumberFormat="1" applyFont="1" applyBorder="1"/>
    <xf numFmtId="0" fontId="37" fillId="15" borderId="17" xfId="7" applyFill="1" applyBorder="1"/>
    <xf numFmtId="0" fontId="45" fillId="0" borderId="0" xfId="7" applyFont="1" applyAlignment="1">
      <alignment horizontal="justify" vertical="center"/>
    </xf>
    <xf numFmtId="0" fontId="44" fillId="0" borderId="0" xfId="7" applyFont="1" applyAlignment="1">
      <alignment horizontal="justify" vertical="center"/>
    </xf>
    <xf numFmtId="0" fontId="46" fillId="0" borderId="0" xfId="11" applyBorder="1" applyAlignment="1">
      <alignment horizontal="justify" vertical="center"/>
    </xf>
    <xf numFmtId="0" fontId="46" fillId="0" borderId="0" xfId="11" applyAlignment="1">
      <alignment horizontal="justify" vertical="center"/>
    </xf>
    <xf numFmtId="0" fontId="44" fillId="0" borderId="0" xfId="7" applyFont="1" applyAlignment="1">
      <alignment horizontal="left" vertical="center" indent="4"/>
    </xf>
    <xf numFmtId="0" fontId="45" fillId="0" borderId="0" xfId="7" applyFont="1" applyAlignment="1">
      <alignment horizontal="left" vertical="center" indent="4"/>
    </xf>
    <xf numFmtId="0" fontId="44" fillId="0" borderId="0" xfId="7" applyFont="1"/>
    <xf numFmtId="0" fontId="46" fillId="0" borderId="0" xfId="11"/>
    <xf numFmtId="0" fontId="46" fillId="0" borderId="0" xfId="11" applyAlignment="1">
      <alignment vertical="center"/>
    </xf>
    <xf numFmtId="0" fontId="47" fillId="0" borderId="0" xfId="7" applyFont="1" applyAlignment="1">
      <alignment vertical="center"/>
    </xf>
    <xf numFmtId="1" fontId="48" fillId="0" borderId="0" xfId="0" applyNumberFormat="1" applyFont="1"/>
    <xf numFmtId="43" fontId="0" fillId="11" borderId="14" xfId="0" applyNumberFormat="1" applyFill="1" applyBorder="1"/>
    <xf numFmtId="3" fontId="0" fillId="0" borderId="0" xfId="0" applyNumberFormat="1" applyFont="1"/>
    <xf numFmtId="0" fontId="0" fillId="0" borderId="12" xfId="0" applyBorder="1"/>
    <xf numFmtId="43" fontId="10" fillId="4" borderId="42" xfId="0" applyNumberFormat="1" applyFont="1" applyFill="1" applyBorder="1"/>
    <xf numFmtId="0" fontId="3" fillId="0" borderId="4" xfId="0" applyFont="1" applyBorder="1" applyAlignment="1">
      <alignment horizontal="center" wrapText="1"/>
    </xf>
    <xf numFmtId="6" fontId="0" fillId="14" borderId="14" xfId="0" applyNumberFormat="1" applyFill="1" applyBorder="1" applyAlignment="1">
      <alignment horizontal="center"/>
    </xf>
    <xf numFmtId="10" fontId="0" fillId="14" borderId="14" xfId="0" applyNumberFormat="1" applyFill="1" applyBorder="1" applyAlignment="1">
      <alignment horizontal="center"/>
    </xf>
    <xf numFmtId="9" fontId="0" fillId="14" borderId="14" xfId="2" applyFont="1" applyFill="1" applyBorder="1" applyAlignment="1">
      <alignment horizontal="center"/>
    </xf>
    <xf numFmtId="0" fontId="0" fillId="0" borderId="11" xfId="0" applyBorder="1" applyAlignment="1">
      <alignment horizontal="center"/>
    </xf>
    <xf numFmtId="171" fontId="0" fillId="0" borderId="0" xfId="4" applyNumberFormat="1" applyFont="1" applyFill="1" applyBorder="1" applyAlignment="1">
      <alignment horizontal="center"/>
    </xf>
    <xf numFmtId="0" fontId="0" fillId="0" borderId="0" xfId="0" applyBorder="1" applyAlignment="1">
      <alignment wrapText="1"/>
    </xf>
    <xf numFmtId="167" fontId="0" fillId="0" borderId="14" xfId="4" applyNumberFormat="1" applyFont="1" applyBorder="1"/>
    <xf numFmtId="167" fontId="0" fillId="0" borderId="13" xfId="4" applyNumberFormat="1" applyFont="1" applyBorder="1"/>
    <xf numFmtId="171" fontId="3" fillId="0" borderId="15" xfId="0" applyNumberFormat="1" applyFont="1" applyFill="1" applyBorder="1" applyAlignment="1">
      <alignment horizontal="center"/>
    </xf>
    <xf numFmtId="171" fontId="3" fillId="0" borderId="16" xfId="0" applyNumberFormat="1" applyFont="1" applyFill="1" applyBorder="1" applyAlignment="1">
      <alignment horizontal="center"/>
    </xf>
    <xf numFmtId="167" fontId="3" fillId="0" borderId="23" xfId="4" applyNumberFormat="1" applyFont="1" applyFill="1" applyBorder="1" applyAlignment="1">
      <alignment horizontal="center"/>
    </xf>
    <xf numFmtId="0" fontId="9" fillId="6" borderId="0" xfId="0" applyFont="1" applyFill="1" applyBorder="1" applyAlignment="1">
      <alignment horizontal="center" vertical="center" textRotation="90" wrapText="1"/>
    </xf>
    <xf numFmtId="0" fontId="0" fillId="0" borderId="2" xfId="0" applyBorder="1" applyAlignment="1">
      <alignment horizontal="center" vertical="center" wrapText="1"/>
    </xf>
    <xf numFmtId="0" fontId="0" fillId="0" borderId="30" xfId="0" applyBorder="1" applyAlignment="1">
      <alignment horizontal="center" vertical="center" wrapText="1"/>
    </xf>
    <xf numFmtId="0" fontId="0" fillId="0" borderId="0" xfId="0" applyAlignment="1">
      <alignment horizontal="center"/>
    </xf>
    <xf numFmtId="0" fontId="26" fillId="15" borderId="48" xfId="7" applyFont="1" applyFill="1" applyBorder="1" applyAlignment="1">
      <alignment horizontal="center" vertical="center" wrapText="1"/>
    </xf>
    <xf numFmtId="0" fontId="26" fillId="15" borderId="47" xfId="7" applyFont="1" applyFill="1" applyBorder="1" applyAlignment="1">
      <alignment horizontal="center" vertical="center" wrapText="1"/>
    </xf>
    <xf numFmtId="0" fontId="26" fillId="15" borderId="49" xfId="7" applyFont="1" applyFill="1" applyBorder="1" applyAlignment="1">
      <alignment horizontal="center" vertical="center" wrapText="1"/>
    </xf>
    <xf numFmtId="0" fontId="37" fillId="0" borderId="48" xfId="7" applyBorder="1" applyAlignment="1">
      <alignment horizontal="center" vertical="center" wrapText="1"/>
    </xf>
    <xf numFmtId="0" fontId="37" fillId="0" borderId="47" xfId="7" applyBorder="1" applyAlignment="1">
      <alignment horizontal="center" vertical="center" wrapText="1"/>
    </xf>
    <xf numFmtId="0" fontId="37" fillId="0" borderId="49" xfId="7" applyBorder="1" applyAlignment="1">
      <alignment horizontal="center" vertical="center" wrapText="1"/>
    </xf>
    <xf numFmtId="0" fontId="26" fillId="8" borderId="17" xfId="7" applyFont="1" applyFill="1" applyBorder="1" applyAlignment="1">
      <alignment horizontal="center"/>
    </xf>
    <xf numFmtId="0" fontId="26" fillId="9" borderId="6" xfId="7" applyFont="1" applyFill="1" applyBorder="1" applyAlignment="1">
      <alignment horizontal="center" wrapText="1"/>
    </xf>
    <xf numFmtId="0" fontId="26" fillId="9" borderId="21" xfId="7" applyFont="1" applyFill="1" applyBorder="1" applyAlignment="1">
      <alignment horizontal="center" wrapText="1"/>
    </xf>
    <xf numFmtId="0" fontId="26" fillId="17" borderId="9" xfId="7" applyFont="1" applyFill="1" applyBorder="1" applyAlignment="1">
      <alignment horizontal="center"/>
    </xf>
    <xf numFmtId="0" fontId="26" fillId="17" borderId="5" xfId="7" applyFont="1" applyFill="1" applyBorder="1" applyAlignment="1">
      <alignment horizontal="center"/>
    </xf>
    <xf numFmtId="0" fontId="26" fillId="17" borderId="29" xfId="7" applyFont="1" applyFill="1" applyBorder="1" applyAlignment="1">
      <alignment horizontal="center"/>
    </xf>
    <xf numFmtId="0" fontId="26" fillId="15" borderId="17" xfId="7" applyFont="1" applyFill="1" applyBorder="1" applyAlignment="1">
      <alignment horizontal="center" vertical="center"/>
    </xf>
    <xf numFmtId="0" fontId="37" fillId="0" borderId="48" xfId="7" applyBorder="1" applyAlignment="1">
      <alignment horizontal="center" vertical="center"/>
    </xf>
    <xf numFmtId="0" fontId="37" fillId="0" borderId="47" xfId="7" applyBorder="1" applyAlignment="1">
      <alignment horizontal="center" vertical="center"/>
    </xf>
    <xf numFmtId="0" fontId="37" fillId="0" borderId="49" xfId="7" applyBorder="1" applyAlignment="1">
      <alignment horizontal="center" vertical="center"/>
    </xf>
    <xf numFmtId="0" fontId="26" fillId="15" borderId="34" xfId="7" applyFont="1" applyFill="1" applyBorder="1" applyAlignment="1">
      <alignment horizontal="center" vertical="center"/>
    </xf>
    <xf numFmtId="0" fontId="26" fillId="15" borderId="19" xfId="7" applyFont="1" applyFill="1" applyBorder="1" applyAlignment="1">
      <alignment horizontal="center" vertical="center"/>
    </xf>
    <xf numFmtId="0" fontId="26" fillId="15" borderId="20" xfId="7" applyFont="1" applyFill="1" applyBorder="1" applyAlignment="1">
      <alignment horizontal="center" vertical="center"/>
    </xf>
    <xf numFmtId="0" fontId="26" fillId="15" borderId="48" xfId="7" applyFont="1" applyFill="1" applyBorder="1" applyAlignment="1">
      <alignment horizontal="center" vertical="center"/>
    </xf>
    <xf numFmtId="0" fontId="26" fillId="15" borderId="47" xfId="7" applyFont="1" applyFill="1" applyBorder="1" applyAlignment="1">
      <alignment horizontal="center" vertical="center"/>
    </xf>
    <xf numFmtId="0" fontId="26" fillId="15" borderId="49" xfId="7" applyFont="1" applyFill="1" applyBorder="1" applyAlignment="1">
      <alignment horizontal="center" vertical="center"/>
    </xf>
    <xf numFmtId="0" fontId="41" fillId="15" borderId="17" xfId="7" applyFont="1" applyFill="1" applyBorder="1" applyAlignment="1">
      <alignment horizontal="center" vertical="center" wrapText="1"/>
    </xf>
    <xf numFmtId="0" fontId="40" fillId="0" borderId="48" xfId="7" applyFont="1" applyBorder="1" applyAlignment="1">
      <alignment horizontal="center" vertical="center"/>
    </xf>
    <xf numFmtId="0" fontId="40" fillId="0" borderId="47" xfId="7" applyFont="1" applyBorder="1" applyAlignment="1">
      <alignment horizontal="center" vertical="center"/>
    </xf>
    <xf numFmtId="0" fontId="40" fillId="0" borderId="49" xfId="7" applyFont="1" applyBorder="1" applyAlignment="1">
      <alignment horizontal="center" vertical="center"/>
    </xf>
    <xf numFmtId="0" fontId="37" fillId="0" borderId="17" xfId="7" applyBorder="1" applyAlignment="1">
      <alignment horizontal="center"/>
    </xf>
    <xf numFmtId="0" fontId="41" fillId="15" borderId="17" xfId="7" applyFont="1" applyFill="1" applyBorder="1" applyAlignment="1">
      <alignment horizontal="center" vertical="center"/>
    </xf>
    <xf numFmtId="0" fontId="40" fillId="0" borderId="17" xfId="7" applyFont="1" applyBorder="1" applyAlignment="1">
      <alignment horizontal="center" vertical="center"/>
    </xf>
  </cellXfs>
  <cellStyles count="12">
    <cellStyle name="Comma" xfId="1" builtinId="3"/>
    <cellStyle name="Comma 2" xfId="10" xr:uid="{145E1B1B-456C-4274-8DD0-540B92EEBD59}"/>
    <cellStyle name="Currency" xfId="4" builtinId="4"/>
    <cellStyle name="Currency 2" xfId="8" xr:uid="{98BEA90F-3BEE-4D6C-8B02-BF97A3EB9B1A}"/>
    <cellStyle name="Good" xfId="5" builtinId="26" customBuiltin="1"/>
    <cellStyle name="Hyperlink" xfId="6" builtinId="8"/>
    <cellStyle name="Hyperlink 2" xfId="11" xr:uid="{2C5CBA4C-7AB0-4DEB-AFE9-1DD1D5FE3BE4}"/>
    <cellStyle name="Input" xfId="3" builtinId="20"/>
    <cellStyle name="Normal" xfId="0" builtinId="0"/>
    <cellStyle name="Normal 2" xfId="7" xr:uid="{43992D82-9723-403D-8A7E-B1F7967936A0}"/>
    <cellStyle name="Percent" xfId="2" builtinId="5"/>
    <cellStyle name="Percent 2" xfId="9" xr:uid="{40BCF1A8-4DCF-4F91-9A64-8737221EA31C}"/>
  </cellStyles>
  <dxfs count="8">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
      <fill>
        <patternFill>
          <bgColor rgb="FF92D05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NM</a:t>
            </a:r>
            <a:r>
              <a:rPr lang="en-US" baseline="0"/>
              <a:t> Growth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'Tier II'!$A$29:$B$29</c:f>
              <c:strCache>
                <c:ptCount val="2"/>
                <c:pt idx="0">
                  <c:v>VELCO</c:v>
                </c:pt>
                <c:pt idx="1">
                  <c:v>New NM- post-2016</c:v>
                </c:pt>
              </c:strCache>
            </c:strRef>
          </c:tx>
          <c:spPr>
            <a:ln w="28575" cap="rnd">
              <a:solidFill>
                <a:schemeClr val="accent1"/>
              </a:solidFill>
              <a:round/>
            </a:ln>
            <a:effectLst/>
          </c:spPr>
          <c:marker>
            <c:symbol val="none"/>
          </c:marker>
          <c:cat>
            <c:numRef>
              <c:f>'Tier II'!$E$2:$N$2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'Tier II'!$E$29:$N$29</c:f>
              <c:numCache>
                <c:formatCode>_(* #,##0_);_(* \(#,##0\);_(* "-"??_);_(@_)</c:formatCode>
                <c:ptCount val="10"/>
                <c:pt idx="0">
                  <c:v>58852.769524591407</c:v>
                </c:pt>
                <c:pt idx="1">
                  <c:v>94079.03126973976</c:v>
                </c:pt>
                <c:pt idx="2">
                  <c:v>123085.19050313662</c:v>
                </c:pt>
                <c:pt idx="3">
                  <c:v>141702.20106965155</c:v>
                </c:pt>
                <c:pt idx="4">
                  <c:v>154759.13624894095</c:v>
                </c:pt>
                <c:pt idx="5">
                  <c:v>159295.21283157391</c:v>
                </c:pt>
                <c:pt idx="6">
                  <c:v>162660.95544209925</c:v>
                </c:pt>
                <c:pt idx="7">
                  <c:v>164568.2254753703</c:v>
                </c:pt>
                <c:pt idx="8">
                  <c:v>167852.92648208735</c:v>
                </c:pt>
                <c:pt idx="9">
                  <c:v>172758.52648208739</c:v>
                </c:pt>
              </c:numCache>
            </c:numRef>
          </c:val>
          <c:smooth val="0"/>
          <c:extLst>
            <c:ext xmlns:c16="http://schemas.microsoft.com/office/drawing/2014/chart" uri="{C3380CC4-5D6E-409C-BE32-E72D297353CC}">
              <c16:uniqueId val="{00000000-C391-4726-85DB-D3A3B60A0652}"/>
            </c:ext>
          </c:extLst>
        </c:ser>
        <c:ser>
          <c:idx val="1"/>
          <c:order val="1"/>
          <c:tx>
            <c:strRef>
              <c:f>'Tier II'!$A$30:$B$30</c:f>
              <c:strCache>
                <c:ptCount val="2"/>
                <c:pt idx="0">
                  <c:v>low</c:v>
                </c:pt>
                <c:pt idx="1">
                  <c:v>New NM- post-2016</c:v>
                </c:pt>
              </c:strCache>
            </c:strRef>
          </c:tx>
          <c:spPr>
            <a:ln w="28575" cap="rnd">
              <a:solidFill>
                <a:schemeClr val="accent2"/>
              </a:solidFill>
              <a:round/>
            </a:ln>
            <a:effectLst/>
          </c:spPr>
          <c:marker>
            <c:symbol val="none"/>
          </c:marker>
          <c:cat>
            <c:numRef>
              <c:f>'Tier II'!$E$2:$N$2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'Tier II'!$E$30:$N$30</c:f>
              <c:numCache>
                <c:formatCode>_(* #,##0_);_(* \(#,##0\);_(* "-"??_);_(@_)</c:formatCode>
                <c:ptCount val="10"/>
                <c:pt idx="0">
                  <c:v>41697.600000000006</c:v>
                </c:pt>
                <c:pt idx="1">
                  <c:v>63772.80000000001</c:v>
                </c:pt>
                <c:pt idx="2">
                  <c:v>73584</c:v>
                </c:pt>
                <c:pt idx="3">
                  <c:v>82168.800000000003</c:v>
                </c:pt>
                <c:pt idx="4">
                  <c:v>89527.200000000012</c:v>
                </c:pt>
                <c:pt idx="5">
                  <c:v>95659.200000000012</c:v>
                </c:pt>
                <c:pt idx="6">
                  <c:v>101791.20000000001</c:v>
                </c:pt>
                <c:pt idx="7">
                  <c:v>107923.2</c:v>
                </c:pt>
                <c:pt idx="8">
                  <c:v>114055.20000000001</c:v>
                </c:pt>
                <c:pt idx="9">
                  <c:v>120187.20000000001</c:v>
                </c:pt>
              </c:numCache>
            </c:numRef>
          </c:val>
          <c:smooth val="0"/>
          <c:extLst>
            <c:ext xmlns:c16="http://schemas.microsoft.com/office/drawing/2014/chart" uri="{C3380CC4-5D6E-409C-BE32-E72D297353CC}">
              <c16:uniqueId val="{00000001-C391-4726-85DB-D3A3B60A0652}"/>
            </c:ext>
          </c:extLst>
        </c:ser>
        <c:ser>
          <c:idx val="2"/>
          <c:order val="2"/>
          <c:tx>
            <c:strRef>
              <c:f>'Tier II'!$A$31:$B$31</c:f>
              <c:strCache>
                <c:ptCount val="2"/>
                <c:pt idx="0">
                  <c:v>mid</c:v>
                </c:pt>
                <c:pt idx="1">
                  <c:v>New NM- post-2016</c:v>
                </c:pt>
              </c:strCache>
            </c:strRef>
          </c:tx>
          <c:spPr>
            <a:ln w="28575" cap="rnd">
              <a:solidFill>
                <a:schemeClr val="accent3"/>
              </a:solidFill>
              <a:round/>
            </a:ln>
            <a:effectLst/>
          </c:spPr>
          <c:marker>
            <c:symbol val="none"/>
          </c:marker>
          <c:cat>
            <c:numRef>
              <c:f>'Tier II'!$E$2:$N$2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'Tier II'!$E$31:$N$31</c:f>
              <c:numCache>
                <c:formatCode>_(* #,##0_);_(* \(#,##0\);_(* "-"??_);_(@_)</c:formatCode>
                <c:ptCount val="10"/>
                <c:pt idx="0">
                  <c:v>41697.600000000006</c:v>
                </c:pt>
                <c:pt idx="1">
                  <c:v>72357.60000000002</c:v>
                </c:pt>
                <c:pt idx="2">
                  <c:v>90447.000000000015</c:v>
                </c:pt>
                <c:pt idx="3">
                  <c:v>108536.40000000001</c:v>
                </c:pt>
                <c:pt idx="4">
                  <c:v>119390.04000000002</c:v>
                </c:pt>
                <c:pt idx="5">
                  <c:v>128344.29300000002</c:v>
                </c:pt>
                <c:pt idx="6">
                  <c:v>134761.50765000001</c:v>
                </c:pt>
                <c:pt idx="7">
                  <c:v>138804.35287950002</c:v>
                </c:pt>
                <c:pt idx="8">
                  <c:v>140192.39640829503</c:v>
                </c:pt>
                <c:pt idx="9">
                  <c:v>141594.32037237799</c:v>
                </c:pt>
              </c:numCache>
            </c:numRef>
          </c:val>
          <c:smooth val="0"/>
          <c:extLst>
            <c:ext xmlns:c16="http://schemas.microsoft.com/office/drawing/2014/chart" uri="{C3380CC4-5D6E-409C-BE32-E72D297353CC}">
              <c16:uniqueId val="{00000002-C391-4726-85DB-D3A3B60A0652}"/>
            </c:ext>
          </c:extLst>
        </c:ser>
        <c:ser>
          <c:idx val="3"/>
          <c:order val="3"/>
          <c:tx>
            <c:strRef>
              <c:f>'Tier II'!$A$32:$B$32</c:f>
              <c:strCache>
                <c:ptCount val="2"/>
                <c:pt idx="0">
                  <c:v>high</c:v>
                </c:pt>
                <c:pt idx="1">
                  <c:v>New NM- post-2016</c:v>
                </c:pt>
              </c:strCache>
            </c:strRef>
          </c:tx>
          <c:spPr>
            <a:ln w="28575" cap="rnd">
              <a:solidFill>
                <a:schemeClr val="accent4"/>
              </a:solidFill>
              <a:round/>
            </a:ln>
            <a:effectLst/>
          </c:spPr>
          <c:marker>
            <c:symbol val="none"/>
          </c:marker>
          <c:cat>
            <c:numRef>
              <c:f>'Tier II'!$E$2:$N$2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'Tier II'!$E$32:$N$32</c:f>
              <c:numCache>
                <c:formatCode>_(* #,##0_);_(* \(#,##0\);_(* "-"??_);_(@_)</c:formatCode>
                <c:ptCount val="10"/>
                <c:pt idx="0">
                  <c:v>42924</c:v>
                </c:pt>
                <c:pt idx="1">
                  <c:v>79716.000000000015</c:v>
                </c:pt>
                <c:pt idx="2">
                  <c:v>110376.00000000001</c:v>
                </c:pt>
                <c:pt idx="3">
                  <c:v>138583.20000000001</c:v>
                </c:pt>
                <c:pt idx="4">
                  <c:v>163111.20000000001</c:v>
                </c:pt>
                <c:pt idx="5">
                  <c:v>181507.20000000001</c:v>
                </c:pt>
                <c:pt idx="6">
                  <c:v>196224.00000000003</c:v>
                </c:pt>
                <c:pt idx="7">
                  <c:v>208488</c:v>
                </c:pt>
                <c:pt idx="8">
                  <c:v>217072.80000000002</c:v>
                </c:pt>
                <c:pt idx="9">
                  <c:v>223204.80000000005</c:v>
                </c:pt>
              </c:numCache>
            </c:numRef>
          </c:val>
          <c:smooth val="0"/>
          <c:extLst>
            <c:ext xmlns:c16="http://schemas.microsoft.com/office/drawing/2014/chart" uri="{C3380CC4-5D6E-409C-BE32-E72D297353CC}">
              <c16:uniqueId val="{00000003-C391-4726-85DB-D3A3B60A0652}"/>
            </c:ext>
          </c:extLst>
        </c:ser>
        <c:dLbls>
          <c:showLegendKey val="0"/>
          <c:showVal val="0"/>
          <c:showCatName val="0"/>
          <c:showSerName val="0"/>
          <c:showPercent val="0"/>
          <c:showBubbleSize val="0"/>
        </c:dLbls>
        <c:smooth val="0"/>
        <c:axId val="217623240"/>
        <c:axId val="377203856"/>
      </c:lineChart>
      <c:catAx>
        <c:axId val="21762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3856"/>
        <c:crosses val="autoZero"/>
        <c:auto val="1"/>
        <c:lblAlgn val="ctr"/>
        <c:lblOffset val="100"/>
        <c:noMultiLvlLbl val="0"/>
      </c:catAx>
      <c:valAx>
        <c:axId val="37720385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623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'price forecasts'!$E$12:$O$12</c:f>
              <c:numCache>
                <c:formatCode>_("$"* #,##0.00_);_("$"* \(#,##0.00\);_("$"* "-"??_);_(@_)</c:formatCode>
                <c:ptCount val="11"/>
                <c:pt idx="0">
                  <c:v>20</c:v>
                </c:pt>
                <c:pt idx="1">
                  <c:v>19.8</c:v>
                </c:pt>
                <c:pt idx="2">
                  <c:v>19.602</c:v>
                </c:pt>
                <c:pt idx="3">
                  <c:v>19.40598</c:v>
                </c:pt>
                <c:pt idx="4">
                  <c:v>19.211920199999998</c:v>
                </c:pt>
                <c:pt idx="5">
                  <c:v>19.019800997999997</c:v>
                </c:pt>
                <c:pt idx="6">
                  <c:v>18.829602988019996</c:v>
                </c:pt>
                <c:pt idx="7">
                  <c:v>18.641306958139797</c:v>
                </c:pt>
                <c:pt idx="8">
                  <c:v>18.454893888558399</c:v>
                </c:pt>
                <c:pt idx="9">
                  <c:v>18.270344949672815</c:v>
                </c:pt>
                <c:pt idx="10">
                  <c:v>18.087641500176087</c:v>
                </c:pt>
              </c:numCache>
            </c:numRef>
          </c:val>
          <c:smooth val="0"/>
          <c:extLst>
            <c:ext xmlns:c16="http://schemas.microsoft.com/office/drawing/2014/chart" uri="{C3380CC4-5D6E-409C-BE32-E72D297353CC}">
              <c16:uniqueId val="{00000000-D7D9-418F-8035-58AB7D459D95}"/>
            </c:ext>
          </c:extLst>
        </c:ser>
        <c:ser>
          <c:idx val="1"/>
          <c:order val="1"/>
          <c:spPr>
            <a:ln w="28575" cap="rnd">
              <a:solidFill>
                <a:schemeClr val="accent2"/>
              </a:solidFill>
              <a:round/>
            </a:ln>
            <a:effectLst/>
          </c:spPr>
          <c:marker>
            <c:symbol val="none"/>
          </c:marker>
          <c:val>
            <c:numRef>
              <c:f>'price forecasts'!$E$13:$O$13</c:f>
              <c:numCache>
                <c:formatCode>_("$"* #,##0.00_);_("$"* \(#,##0.00\);_("$"* "-"??_);_(@_)</c:formatCode>
                <c:ptCount val="11"/>
                <c:pt idx="0">
                  <c:v>21</c:v>
                </c:pt>
                <c:pt idx="1">
                  <c:v>21.335999999999999</c:v>
                </c:pt>
                <c:pt idx="2">
                  <c:v>21.677375999999999</c:v>
                </c:pt>
                <c:pt idx="3">
                  <c:v>22.024214015999998</c:v>
                </c:pt>
                <c:pt idx="4">
                  <c:v>22.376601440256</c:v>
                </c:pt>
                <c:pt idx="5">
                  <c:v>22.734627063300096</c:v>
                </c:pt>
                <c:pt idx="6">
                  <c:v>23.098381096312899</c:v>
                </c:pt>
                <c:pt idx="7">
                  <c:v>23.467955193853907</c:v>
                </c:pt>
                <c:pt idx="8">
                  <c:v>23.84344247695557</c:v>
                </c:pt>
                <c:pt idx="9">
                  <c:v>24.224937556586859</c:v>
                </c:pt>
                <c:pt idx="10">
                  <c:v>24.612536557492248</c:v>
                </c:pt>
              </c:numCache>
            </c:numRef>
          </c:val>
          <c:smooth val="0"/>
          <c:extLst>
            <c:ext xmlns:c16="http://schemas.microsoft.com/office/drawing/2014/chart" uri="{C3380CC4-5D6E-409C-BE32-E72D297353CC}">
              <c16:uniqueId val="{00000001-D7D9-418F-8035-58AB7D459D95}"/>
            </c:ext>
          </c:extLst>
        </c:ser>
        <c:ser>
          <c:idx val="2"/>
          <c:order val="2"/>
          <c:spPr>
            <a:ln w="28575" cap="rnd">
              <a:solidFill>
                <a:schemeClr val="accent3"/>
              </a:solidFill>
              <a:round/>
            </a:ln>
            <a:effectLst/>
          </c:spPr>
          <c:marker>
            <c:symbol val="none"/>
          </c:marker>
          <c:val>
            <c:numRef>
              <c:f>'price forecasts'!$E$14:$O$14</c:f>
              <c:numCache>
                <c:formatCode>_("$"* #,##0.00_);_("$"* \(#,##0.00\);_("$"* "-"??_);_(@_)</c:formatCode>
                <c:ptCount val="11"/>
                <c:pt idx="0">
                  <c:v>22</c:v>
                </c:pt>
                <c:pt idx="1">
                  <c:v>23.1</c:v>
                </c:pt>
                <c:pt idx="2">
                  <c:v>24.255000000000003</c:v>
                </c:pt>
                <c:pt idx="3">
                  <c:v>25.467750000000002</c:v>
                </c:pt>
                <c:pt idx="4">
                  <c:v>26.741137500000004</c:v>
                </c:pt>
                <c:pt idx="5">
                  <c:v>28.078194375000006</c:v>
                </c:pt>
                <c:pt idx="6">
                  <c:v>29.482104093750007</c:v>
                </c:pt>
                <c:pt idx="7">
                  <c:v>30.956209298437507</c:v>
                </c:pt>
                <c:pt idx="8">
                  <c:v>32.504019763359381</c:v>
                </c:pt>
                <c:pt idx="9">
                  <c:v>34.129220751527349</c:v>
                </c:pt>
                <c:pt idx="10">
                  <c:v>35.835681789103717</c:v>
                </c:pt>
              </c:numCache>
            </c:numRef>
          </c:val>
          <c:smooth val="0"/>
          <c:extLst>
            <c:ext xmlns:c16="http://schemas.microsoft.com/office/drawing/2014/chart" uri="{C3380CC4-5D6E-409C-BE32-E72D297353CC}">
              <c16:uniqueId val="{00000002-D7D9-418F-8035-58AB7D459D95}"/>
            </c:ext>
          </c:extLst>
        </c:ser>
        <c:dLbls>
          <c:showLegendKey val="0"/>
          <c:showVal val="0"/>
          <c:showCatName val="0"/>
          <c:showSerName val="0"/>
          <c:showPercent val="0"/>
          <c:showBubbleSize val="0"/>
        </c:dLbls>
        <c:smooth val="0"/>
        <c:axId val="377204640"/>
        <c:axId val="377205032"/>
      </c:lineChart>
      <c:catAx>
        <c:axId val="3772046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5032"/>
        <c:crosses val="autoZero"/>
        <c:auto val="1"/>
        <c:lblAlgn val="ctr"/>
        <c:lblOffset val="100"/>
        <c:noMultiLvlLbl val="0"/>
      </c:catAx>
      <c:valAx>
        <c:axId val="3772050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PSD Base Case Price Assumptions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E,C,RNS</c:v>
          </c:tx>
          <c:spPr>
            <a:ln w="28575" cap="rnd">
              <a:solidFill>
                <a:schemeClr val="accent1"/>
              </a:solidFill>
              <a:round/>
            </a:ln>
            <a:effectLst/>
          </c:spPr>
          <c:marker>
            <c:symbol val="none"/>
          </c:marker>
          <c:cat>
            <c:numRef>
              <c:f>'price forecasts'!$E$5:$O$5</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'price forecasts'!$E$9:$O$9</c:f>
              <c:numCache>
                <c:formatCode>_("$"* #,##0.00_);_("$"* \(#,##0.00\);_("$"* "-"??_);_(@_)</c:formatCode>
                <c:ptCount val="11"/>
                <c:pt idx="0">
                  <c:v>66.816958904109583</c:v>
                </c:pt>
                <c:pt idx="1">
                  <c:v>60.577320776255711</c:v>
                </c:pt>
                <c:pt idx="2">
                  <c:v>60.357277397260276</c:v>
                </c:pt>
                <c:pt idx="3">
                  <c:v>60.350377853881284</c:v>
                </c:pt>
                <c:pt idx="4">
                  <c:v>61.423096392392715</c:v>
                </c:pt>
                <c:pt idx="5">
                  <c:v>62.002720866423374</c:v>
                </c:pt>
                <c:pt idx="6">
                  <c:v>63.868135869059536</c:v>
                </c:pt>
                <c:pt idx="7">
                  <c:v>65.838959395057117</c:v>
                </c:pt>
                <c:pt idx="8">
                  <c:v>68.602854964768099</c:v>
                </c:pt>
                <c:pt idx="9">
                  <c:v>71.135760626932097</c:v>
                </c:pt>
                <c:pt idx="10">
                  <c:v>73.768947970853077</c:v>
                </c:pt>
              </c:numCache>
            </c:numRef>
          </c:val>
          <c:smooth val="0"/>
          <c:extLst>
            <c:ext xmlns:c16="http://schemas.microsoft.com/office/drawing/2014/chart" uri="{C3380CC4-5D6E-409C-BE32-E72D297353CC}">
              <c16:uniqueId val="{00000000-5F0A-4BDA-AF60-A5EA6E6F1B51}"/>
            </c:ext>
          </c:extLst>
        </c:ser>
        <c:ser>
          <c:idx val="4"/>
          <c:order val="4"/>
          <c:tx>
            <c:strRef>
              <c:f>'price forecasts'!$B$33</c:f>
              <c:strCache>
                <c:ptCount val="1"/>
                <c:pt idx="0">
                  <c:v>Wholesale Cost of CCHP</c:v>
                </c:pt>
              </c:strCache>
            </c:strRef>
          </c:tx>
          <c:spPr>
            <a:ln w="28575" cap="rnd">
              <a:solidFill>
                <a:schemeClr val="accent5"/>
              </a:solidFill>
              <a:round/>
            </a:ln>
            <a:effectLst/>
          </c:spPr>
          <c:marker>
            <c:symbol val="none"/>
          </c:marker>
          <c:cat>
            <c:numRef>
              <c:f>'price forecasts'!$E$5:$O$5</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'price forecasts'!$E$33:$O$33</c:f>
              <c:numCache>
                <c:formatCode>_("$"* #,##0.00_);_("$"* \(#,##0.00\);_("$"* "-"??_);_(@_)</c:formatCode>
                <c:ptCount val="11"/>
                <c:pt idx="0">
                  <c:v>52.229039726027409</c:v>
                </c:pt>
                <c:pt idx="1">
                  <c:v>48.431591687328776</c:v>
                </c:pt>
                <c:pt idx="2">
                  <c:v>50.030427298236305</c:v>
                </c:pt>
                <c:pt idx="3">
                  <c:v>52.022293286575618</c:v>
                </c:pt>
                <c:pt idx="4">
                  <c:v>54.392295713301955</c:v>
                </c:pt>
                <c:pt idx="5">
                  <c:v>56.378866528346215</c:v>
                </c:pt>
                <c:pt idx="6">
                  <c:v>59.895168878839478</c:v>
                </c:pt>
                <c:pt idx="7">
                  <c:v>63.600466374419824</c:v>
                </c:pt>
                <c:pt idx="8">
                  <c:v>68.535667073645371</c:v>
                </c:pt>
                <c:pt idx="9">
                  <c:v>73.386067252346237</c:v>
                </c:pt>
                <c:pt idx="10">
                  <c:v>78.608513519217837</c:v>
                </c:pt>
              </c:numCache>
            </c:numRef>
          </c:val>
          <c:smooth val="0"/>
          <c:extLst>
            <c:ext xmlns:c16="http://schemas.microsoft.com/office/drawing/2014/chart" uri="{C3380CC4-5D6E-409C-BE32-E72D297353CC}">
              <c16:uniqueId val="{00000001-5F0A-4BDA-AF60-A5EA6E6F1B51}"/>
            </c:ext>
          </c:extLst>
        </c:ser>
        <c:dLbls>
          <c:showLegendKey val="0"/>
          <c:showVal val="0"/>
          <c:showCatName val="0"/>
          <c:showSerName val="0"/>
          <c:showPercent val="0"/>
          <c:showBubbleSize val="0"/>
        </c:dLbls>
        <c:marker val="1"/>
        <c:smooth val="0"/>
        <c:axId val="377205816"/>
        <c:axId val="377206208"/>
      </c:lineChart>
      <c:lineChart>
        <c:grouping val="standard"/>
        <c:varyColors val="0"/>
        <c:ser>
          <c:idx val="1"/>
          <c:order val="1"/>
          <c:tx>
            <c:strRef>
              <c:f>'price forecasts'!$B$12</c:f>
              <c:strCache>
                <c:ptCount val="1"/>
                <c:pt idx="0">
                  <c:v>Fossil Fuel- heating</c:v>
                </c:pt>
              </c:strCache>
            </c:strRef>
          </c:tx>
          <c:spPr>
            <a:ln w="28575" cap="rnd">
              <a:solidFill>
                <a:schemeClr val="accent2"/>
              </a:solidFill>
              <a:round/>
            </a:ln>
            <a:effectLst/>
          </c:spPr>
          <c:marker>
            <c:symbol val="none"/>
          </c:marker>
          <c:cat>
            <c:numRef>
              <c:f>'price forecasts'!$E$5:$O$5</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'price forecasts'!$E$12:$O$12</c:f>
              <c:numCache>
                <c:formatCode>_("$"* #,##0.00_);_("$"* \(#,##0.00\);_("$"* "-"??_);_(@_)</c:formatCode>
                <c:ptCount val="11"/>
                <c:pt idx="0">
                  <c:v>20</c:v>
                </c:pt>
                <c:pt idx="1">
                  <c:v>19.8</c:v>
                </c:pt>
                <c:pt idx="2">
                  <c:v>19.602</c:v>
                </c:pt>
                <c:pt idx="3">
                  <c:v>19.40598</c:v>
                </c:pt>
                <c:pt idx="4">
                  <c:v>19.211920199999998</c:v>
                </c:pt>
                <c:pt idx="5">
                  <c:v>19.019800997999997</c:v>
                </c:pt>
                <c:pt idx="6">
                  <c:v>18.829602988019996</c:v>
                </c:pt>
                <c:pt idx="7">
                  <c:v>18.641306958139797</c:v>
                </c:pt>
                <c:pt idx="8">
                  <c:v>18.454893888558399</c:v>
                </c:pt>
                <c:pt idx="9">
                  <c:v>18.270344949672815</c:v>
                </c:pt>
                <c:pt idx="10">
                  <c:v>18.087641500176087</c:v>
                </c:pt>
              </c:numCache>
            </c:numRef>
          </c:val>
          <c:smooth val="0"/>
          <c:extLst>
            <c:ext xmlns:c16="http://schemas.microsoft.com/office/drawing/2014/chart" uri="{C3380CC4-5D6E-409C-BE32-E72D297353CC}">
              <c16:uniqueId val="{00000002-5F0A-4BDA-AF60-A5EA6E6F1B51}"/>
            </c:ext>
          </c:extLst>
        </c:ser>
        <c:ser>
          <c:idx val="2"/>
          <c:order val="2"/>
          <c:tx>
            <c:strRef>
              <c:f>'price forecasts'!$B$13</c:f>
              <c:strCache>
                <c:ptCount val="1"/>
                <c:pt idx="0">
                  <c:v>Fossil Fuel- heating</c:v>
                </c:pt>
              </c:strCache>
            </c:strRef>
          </c:tx>
          <c:spPr>
            <a:ln w="28575" cap="rnd">
              <a:solidFill>
                <a:schemeClr val="accent3"/>
              </a:solidFill>
              <a:round/>
            </a:ln>
            <a:effectLst/>
          </c:spPr>
          <c:marker>
            <c:symbol val="none"/>
          </c:marker>
          <c:cat>
            <c:numRef>
              <c:f>'price forecasts'!$E$5:$O$5</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'price forecasts'!$E$13:$O$13</c:f>
              <c:numCache>
                <c:formatCode>_("$"* #,##0.00_);_("$"* \(#,##0.00\);_("$"* "-"??_);_(@_)</c:formatCode>
                <c:ptCount val="11"/>
                <c:pt idx="0">
                  <c:v>21</c:v>
                </c:pt>
                <c:pt idx="1">
                  <c:v>21.335999999999999</c:v>
                </c:pt>
                <c:pt idx="2">
                  <c:v>21.677375999999999</c:v>
                </c:pt>
                <c:pt idx="3">
                  <c:v>22.024214015999998</c:v>
                </c:pt>
                <c:pt idx="4">
                  <c:v>22.376601440256</c:v>
                </c:pt>
                <c:pt idx="5">
                  <c:v>22.734627063300096</c:v>
                </c:pt>
                <c:pt idx="6">
                  <c:v>23.098381096312899</c:v>
                </c:pt>
                <c:pt idx="7">
                  <c:v>23.467955193853907</c:v>
                </c:pt>
                <c:pt idx="8">
                  <c:v>23.84344247695557</c:v>
                </c:pt>
                <c:pt idx="9">
                  <c:v>24.224937556586859</c:v>
                </c:pt>
                <c:pt idx="10">
                  <c:v>24.612536557492248</c:v>
                </c:pt>
              </c:numCache>
            </c:numRef>
          </c:val>
          <c:smooth val="0"/>
          <c:extLst>
            <c:ext xmlns:c16="http://schemas.microsoft.com/office/drawing/2014/chart" uri="{C3380CC4-5D6E-409C-BE32-E72D297353CC}">
              <c16:uniqueId val="{00000003-5F0A-4BDA-AF60-A5EA6E6F1B51}"/>
            </c:ext>
          </c:extLst>
        </c:ser>
        <c:ser>
          <c:idx val="3"/>
          <c:order val="3"/>
          <c:tx>
            <c:strRef>
              <c:f>'price forecasts'!$B$14</c:f>
              <c:strCache>
                <c:ptCount val="1"/>
                <c:pt idx="0">
                  <c:v>Fossil Fuel- heating</c:v>
                </c:pt>
              </c:strCache>
            </c:strRef>
          </c:tx>
          <c:spPr>
            <a:ln w="28575" cap="rnd">
              <a:solidFill>
                <a:schemeClr val="accent4"/>
              </a:solidFill>
              <a:round/>
            </a:ln>
            <a:effectLst/>
          </c:spPr>
          <c:marker>
            <c:symbol val="none"/>
          </c:marker>
          <c:cat>
            <c:numRef>
              <c:f>'price forecasts'!$E$5:$O$5</c:f>
              <c:numCache>
                <c:formatCode>General</c:formatCode>
                <c:ptCount val="11"/>
                <c:pt idx="0">
                  <c:v>2019</c:v>
                </c:pt>
                <c:pt idx="1">
                  <c:v>2020</c:v>
                </c:pt>
                <c:pt idx="2">
                  <c:v>2021</c:v>
                </c:pt>
                <c:pt idx="3">
                  <c:v>2022</c:v>
                </c:pt>
                <c:pt idx="4">
                  <c:v>2023</c:v>
                </c:pt>
                <c:pt idx="5">
                  <c:v>2024</c:v>
                </c:pt>
                <c:pt idx="6">
                  <c:v>2025</c:v>
                </c:pt>
                <c:pt idx="7">
                  <c:v>2026</c:v>
                </c:pt>
                <c:pt idx="8">
                  <c:v>2027</c:v>
                </c:pt>
                <c:pt idx="9">
                  <c:v>2028</c:v>
                </c:pt>
                <c:pt idx="10">
                  <c:v>2029</c:v>
                </c:pt>
              </c:numCache>
            </c:numRef>
          </c:cat>
          <c:val>
            <c:numRef>
              <c:f>'price forecasts'!$E$14:$O$14</c:f>
              <c:numCache>
                <c:formatCode>_("$"* #,##0.00_);_("$"* \(#,##0.00\);_("$"* "-"??_);_(@_)</c:formatCode>
                <c:ptCount val="11"/>
                <c:pt idx="0">
                  <c:v>22</c:v>
                </c:pt>
                <c:pt idx="1">
                  <c:v>23.1</c:v>
                </c:pt>
                <c:pt idx="2">
                  <c:v>24.255000000000003</c:v>
                </c:pt>
                <c:pt idx="3">
                  <c:v>25.467750000000002</c:v>
                </c:pt>
                <c:pt idx="4">
                  <c:v>26.741137500000004</c:v>
                </c:pt>
                <c:pt idx="5">
                  <c:v>28.078194375000006</c:v>
                </c:pt>
                <c:pt idx="6">
                  <c:v>29.482104093750007</c:v>
                </c:pt>
                <c:pt idx="7">
                  <c:v>30.956209298437507</c:v>
                </c:pt>
                <c:pt idx="8">
                  <c:v>32.504019763359381</c:v>
                </c:pt>
                <c:pt idx="9">
                  <c:v>34.129220751527349</c:v>
                </c:pt>
                <c:pt idx="10">
                  <c:v>35.835681789103717</c:v>
                </c:pt>
              </c:numCache>
            </c:numRef>
          </c:val>
          <c:smooth val="0"/>
          <c:extLst>
            <c:ext xmlns:c16="http://schemas.microsoft.com/office/drawing/2014/chart" uri="{C3380CC4-5D6E-409C-BE32-E72D297353CC}">
              <c16:uniqueId val="{00000004-5F0A-4BDA-AF60-A5EA6E6F1B51}"/>
            </c:ext>
          </c:extLst>
        </c:ser>
        <c:dLbls>
          <c:showLegendKey val="0"/>
          <c:showVal val="0"/>
          <c:showCatName val="0"/>
          <c:showSerName val="0"/>
          <c:showPercent val="0"/>
          <c:showBubbleSize val="0"/>
        </c:dLbls>
        <c:marker val="1"/>
        <c:smooth val="0"/>
        <c:axId val="377206992"/>
        <c:axId val="377206600"/>
      </c:lineChart>
      <c:catAx>
        <c:axId val="377205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6208"/>
        <c:crosses val="autoZero"/>
        <c:auto val="1"/>
        <c:lblAlgn val="ctr"/>
        <c:lblOffset val="100"/>
        <c:noMultiLvlLbl val="0"/>
      </c:catAx>
      <c:valAx>
        <c:axId val="377206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5816"/>
        <c:crosses val="autoZero"/>
        <c:crossBetween val="between"/>
      </c:valAx>
      <c:valAx>
        <c:axId val="3772066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7206992"/>
        <c:crosses val="max"/>
        <c:crossBetween val="between"/>
      </c:valAx>
      <c:catAx>
        <c:axId val="377206992"/>
        <c:scaling>
          <c:orientation val="minMax"/>
        </c:scaling>
        <c:delete val="1"/>
        <c:axPos val="b"/>
        <c:numFmt formatCode="General" sourceLinked="1"/>
        <c:majorTickMark val="out"/>
        <c:minorTickMark val="none"/>
        <c:tickLblPos val="nextTo"/>
        <c:crossAx val="3772066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 Price Assumptions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117247688525469E-2"/>
          <c:y val="9.3705961223994494E-2"/>
          <c:w val="0.93509212670379016"/>
          <c:h val="0.72925726403571256"/>
        </c:manualLayout>
      </c:layout>
      <c:lineChart>
        <c:grouping val="standard"/>
        <c:varyColors val="0"/>
        <c:ser>
          <c:idx val="0"/>
          <c:order val="0"/>
          <c:tx>
            <c:v>Tier I Low</c:v>
          </c:tx>
          <c:spPr>
            <a:ln w="28575" cap="rnd">
              <a:solidFill>
                <a:srgbClr val="FF0000"/>
              </a:solidFill>
              <a:prstDash val="sysDot"/>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forecasts'!$E$21:$N$21</c:f>
              <c:numCache>
                <c:formatCode>_("$"* #,##0.00_);_("$"* \(#,##0.00\);_("$"* "-"??_);_(@_)</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2651-428C-9DEF-797B74FB89FC}"/>
            </c:ext>
          </c:extLst>
        </c:ser>
        <c:ser>
          <c:idx val="1"/>
          <c:order val="1"/>
          <c:tx>
            <c:v>Tier I Base</c:v>
          </c:tx>
          <c:spPr>
            <a:ln w="28575" cap="rnd">
              <a:solidFill>
                <a:srgbClr val="FF0000"/>
              </a:solidFill>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forecasts'!$E$22:$N$22</c:f>
              <c:numCache>
                <c:formatCode>_("$"* #,##0.00_);_("$"* \(#,##0.00\);_("$"* "-"??_);_(@_)</c:formatCode>
                <c:ptCount val="10"/>
                <c:pt idx="0">
                  <c:v>1</c:v>
                </c:pt>
                <c:pt idx="1">
                  <c:v>1.2</c:v>
                </c:pt>
                <c:pt idx="2">
                  <c:v>1.44</c:v>
                </c:pt>
                <c:pt idx="3">
                  <c:v>1.728</c:v>
                </c:pt>
                <c:pt idx="4">
                  <c:v>2.0735999999999999</c:v>
                </c:pt>
                <c:pt idx="5">
                  <c:v>2.4883199999999999</c:v>
                </c:pt>
                <c:pt idx="6">
                  <c:v>2.9859839999999997</c:v>
                </c:pt>
                <c:pt idx="7">
                  <c:v>3.5831807999999996</c:v>
                </c:pt>
                <c:pt idx="8">
                  <c:v>4.2998169599999994</c:v>
                </c:pt>
                <c:pt idx="9">
                  <c:v>5.1597803519999994</c:v>
                </c:pt>
              </c:numCache>
            </c:numRef>
          </c:val>
          <c:smooth val="0"/>
          <c:extLst>
            <c:ext xmlns:c16="http://schemas.microsoft.com/office/drawing/2014/chart" uri="{C3380CC4-5D6E-409C-BE32-E72D297353CC}">
              <c16:uniqueId val="{00000001-2651-428C-9DEF-797B74FB89FC}"/>
            </c:ext>
          </c:extLst>
        </c:ser>
        <c:ser>
          <c:idx val="2"/>
          <c:order val="2"/>
          <c:tx>
            <c:v>Tier I High</c:v>
          </c:tx>
          <c:spPr>
            <a:ln w="28575" cap="rnd">
              <a:solidFill>
                <a:srgbClr val="FF0000"/>
              </a:solidFill>
              <a:prstDash val="lgDashDot"/>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forecasts'!$E$23:$N$23</c:f>
              <c:numCache>
                <c:formatCode>_("$"* #,##0.00_);_("$"* \(#,##0.00\);_("$"* "-"??_);_(@_)</c:formatCode>
                <c:ptCount val="10"/>
                <c:pt idx="0">
                  <c:v>3</c:v>
                </c:pt>
                <c:pt idx="1">
                  <c:v>4</c:v>
                </c:pt>
                <c:pt idx="2">
                  <c:v>5</c:v>
                </c:pt>
                <c:pt idx="3">
                  <c:v>6</c:v>
                </c:pt>
                <c:pt idx="4">
                  <c:v>7</c:v>
                </c:pt>
                <c:pt idx="5">
                  <c:v>8</c:v>
                </c:pt>
                <c:pt idx="6">
                  <c:v>9</c:v>
                </c:pt>
                <c:pt idx="7">
                  <c:v>10</c:v>
                </c:pt>
                <c:pt idx="8">
                  <c:v>10</c:v>
                </c:pt>
                <c:pt idx="9">
                  <c:v>10</c:v>
                </c:pt>
              </c:numCache>
            </c:numRef>
          </c:val>
          <c:smooth val="0"/>
          <c:extLst>
            <c:ext xmlns:c16="http://schemas.microsoft.com/office/drawing/2014/chart" uri="{C3380CC4-5D6E-409C-BE32-E72D297353CC}">
              <c16:uniqueId val="{00000002-2651-428C-9DEF-797B74FB89FC}"/>
            </c:ext>
          </c:extLst>
        </c:ser>
        <c:ser>
          <c:idx val="4"/>
          <c:order val="3"/>
          <c:tx>
            <c:v>Tier 2 Low</c:v>
          </c:tx>
          <c:spPr>
            <a:ln w="28575" cap="rnd">
              <a:solidFill>
                <a:schemeClr val="accent6"/>
              </a:solidFill>
              <a:prstDash val="sysDot"/>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forecasts'!$E$25:$N$25</c:f>
              <c:numCache>
                <c:formatCode>_("$"* #,##0.00_);_("$"* \(#,##0.00\);_("$"* "-"??_);_(@_)</c:formatCode>
                <c:ptCount val="10"/>
                <c:pt idx="0">
                  <c:v>15</c:v>
                </c:pt>
                <c:pt idx="1">
                  <c:v>8</c:v>
                </c:pt>
                <c:pt idx="2">
                  <c:v>10</c:v>
                </c:pt>
                <c:pt idx="3">
                  <c:v>12</c:v>
                </c:pt>
                <c:pt idx="4">
                  <c:v>15</c:v>
                </c:pt>
                <c:pt idx="5">
                  <c:v>15</c:v>
                </c:pt>
                <c:pt idx="6">
                  <c:v>15</c:v>
                </c:pt>
                <c:pt idx="7">
                  <c:v>15</c:v>
                </c:pt>
                <c:pt idx="8">
                  <c:v>15</c:v>
                </c:pt>
                <c:pt idx="9">
                  <c:v>15</c:v>
                </c:pt>
              </c:numCache>
            </c:numRef>
          </c:val>
          <c:smooth val="0"/>
          <c:extLst>
            <c:ext xmlns:c16="http://schemas.microsoft.com/office/drawing/2014/chart" uri="{C3380CC4-5D6E-409C-BE32-E72D297353CC}">
              <c16:uniqueId val="{00000004-2651-428C-9DEF-797B74FB89FC}"/>
            </c:ext>
          </c:extLst>
        </c:ser>
        <c:ser>
          <c:idx val="5"/>
          <c:order val="4"/>
          <c:tx>
            <c:v>Tier 2 Base</c:v>
          </c:tx>
          <c:spPr>
            <a:ln w="28575" cap="rnd">
              <a:solidFill>
                <a:schemeClr val="accent6"/>
              </a:solidFill>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forecasts'!$E$26:$N$26</c:f>
              <c:numCache>
                <c:formatCode>_("$"* #,##0.00_);_("$"* \(#,##0.00\);_("$"* "-"??_);_(@_)</c:formatCode>
                <c:ptCount val="10"/>
                <c:pt idx="0">
                  <c:v>25</c:v>
                </c:pt>
                <c:pt idx="1">
                  <c:v>25</c:v>
                </c:pt>
                <c:pt idx="2">
                  <c:v>25</c:v>
                </c:pt>
                <c:pt idx="3">
                  <c:v>25</c:v>
                </c:pt>
                <c:pt idx="4">
                  <c:v>25</c:v>
                </c:pt>
                <c:pt idx="5">
                  <c:v>25</c:v>
                </c:pt>
                <c:pt idx="6">
                  <c:v>25</c:v>
                </c:pt>
                <c:pt idx="7">
                  <c:v>25</c:v>
                </c:pt>
                <c:pt idx="8">
                  <c:v>25</c:v>
                </c:pt>
                <c:pt idx="9">
                  <c:v>25</c:v>
                </c:pt>
              </c:numCache>
            </c:numRef>
          </c:val>
          <c:smooth val="0"/>
          <c:extLst>
            <c:ext xmlns:c16="http://schemas.microsoft.com/office/drawing/2014/chart" uri="{C3380CC4-5D6E-409C-BE32-E72D297353CC}">
              <c16:uniqueId val="{00000005-2651-428C-9DEF-797B74FB89FC}"/>
            </c:ext>
          </c:extLst>
        </c:ser>
        <c:ser>
          <c:idx val="6"/>
          <c:order val="5"/>
          <c:tx>
            <c:v>Tier 2 High</c:v>
          </c:tx>
          <c:spPr>
            <a:ln w="28575" cap="rnd">
              <a:solidFill>
                <a:schemeClr val="accent6"/>
              </a:solidFill>
              <a:prstDash val="lgDashDot"/>
              <a:round/>
            </a:ln>
            <a:effectLst/>
          </c:spPr>
          <c:marker>
            <c:symbol val="none"/>
          </c:marker>
          <c:cat>
            <c:numRef>
              <c:f>'price forecasts'!$E$5:$N$5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'price forecasts'!$E$27:$N$27</c:f>
              <c:numCache>
                <c:formatCode>_("$"* #,##0.00_);_("$"* \(#,##0.00\);_("$"* "-"??_);_(@_)</c:formatCode>
                <c:ptCount val="10"/>
                <c:pt idx="0">
                  <c:v>30</c:v>
                </c:pt>
                <c:pt idx="1">
                  <c:v>31</c:v>
                </c:pt>
                <c:pt idx="2">
                  <c:v>32</c:v>
                </c:pt>
                <c:pt idx="3">
                  <c:v>35</c:v>
                </c:pt>
                <c:pt idx="4">
                  <c:v>37</c:v>
                </c:pt>
                <c:pt idx="5">
                  <c:v>40</c:v>
                </c:pt>
                <c:pt idx="6">
                  <c:v>40</c:v>
                </c:pt>
                <c:pt idx="7">
                  <c:v>40</c:v>
                </c:pt>
                <c:pt idx="8">
                  <c:v>40</c:v>
                </c:pt>
                <c:pt idx="9">
                  <c:v>40</c:v>
                </c:pt>
              </c:numCache>
            </c:numRef>
          </c:val>
          <c:smooth val="0"/>
          <c:extLst>
            <c:ext xmlns:c16="http://schemas.microsoft.com/office/drawing/2014/chart" uri="{C3380CC4-5D6E-409C-BE32-E72D297353CC}">
              <c16:uniqueId val="{00000006-2651-428C-9DEF-797B74FB89FC}"/>
            </c:ext>
          </c:extLst>
        </c:ser>
        <c:dLbls>
          <c:showLegendKey val="0"/>
          <c:showVal val="0"/>
          <c:showCatName val="0"/>
          <c:showSerName val="0"/>
          <c:showPercent val="0"/>
          <c:showBubbleSize val="0"/>
        </c:dLbls>
        <c:smooth val="0"/>
        <c:axId val="427588096"/>
        <c:axId val="427591048"/>
      </c:lineChart>
      <c:catAx>
        <c:axId val="42758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591048"/>
        <c:crosses val="autoZero"/>
        <c:auto val="1"/>
        <c:lblAlgn val="ctr"/>
        <c:lblOffset val="100"/>
        <c:noMultiLvlLbl val="0"/>
      </c:catAx>
      <c:valAx>
        <c:axId val="4275910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588096"/>
        <c:crosses val="autoZero"/>
        <c:crossBetween val="between"/>
      </c:valAx>
      <c:spPr>
        <a:noFill/>
        <a:ln>
          <a:noFill/>
        </a:ln>
        <a:effectLst/>
      </c:spPr>
    </c:plotArea>
    <c:legend>
      <c:legendPos val="b"/>
      <c:layout>
        <c:manualLayout>
          <c:xMode val="edge"/>
          <c:yMode val="edge"/>
          <c:x val="0.17556056205503098"/>
          <c:y val="0.89612529076519643"/>
          <c:w val="0.52667687506672844"/>
          <c:h val="9.58586788572044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horizontalDpi="1200"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215660</xdr:colOff>
      <xdr:row>1</xdr:row>
      <xdr:rowOff>0</xdr:rowOff>
    </xdr:from>
    <xdr:to>
      <xdr:col>16</xdr:col>
      <xdr:colOff>43132</xdr:colOff>
      <xdr:row>33</xdr:row>
      <xdr:rowOff>103517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15660" y="181155"/>
          <a:ext cx="9765102" cy="5900468"/>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none"/>
            <a:t>This</a:t>
          </a:r>
          <a:r>
            <a:rPr lang="en-US" sz="1100" b="0" u="none" baseline="0"/>
            <a:t> model is intended to address the projection requirements of the annual RES report.  For background and context, the requirements of the report are included.  The Department is open to feedback on all aspects of the model and assumptions, but would like to highlight the topics below as areas that we are most interested in getting feedback on.  </a:t>
          </a:r>
          <a:endParaRPr lang="en-US" sz="1100" b="0" u="none"/>
        </a:p>
        <a:p>
          <a:endParaRPr lang="en-US" sz="1100" b="1" u="sng"/>
        </a:p>
        <a:p>
          <a:r>
            <a:rPr lang="en-US" sz="1100" b="1" u="sng"/>
            <a:t>30 V.S.A S8005b Renewable</a:t>
          </a:r>
          <a:r>
            <a:rPr lang="en-US" sz="1100" b="1" u="sng" baseline="0"/>
            <a:t> energy programs; reports</a:t>
          </a:r>
        </a:p>
        <a:p>
          <a:r>
            <a:rPr lang="en-US" sz="1100" b="1" u="sng"/>
            <a:t>(b)</a:t>
          </a:r>
          <a:r>
            <a:rPr lang="en-US" sz="1100" b="1" u="sng" baseline="0"/>
            <a:t> Annual RES Report</a:t>
          </a:r>
        </a:p>
        <a:p>
          <a:r>
            <a:rPr lang="en-US" sz="1100" b="0" u="none" baseline="0"/>
            <a:t>(2) Projections, looking at least 10 years ahead, of the impacts of the RES.</a:t>
          </a:r>
        </a:p>
        <a:p>
          <a:r>
            <a:rPr lang="en-US" sz="1100" b="0" u="none" baseline="0"/>
            <a:t>	(A) The Department shall employ an economic model to make these projections, to be known as the Consolidated RES Model, and shall consider at least 	three scenarios based on high, mid-range, and low energy price forecasts.</a:t>
          </a:r>
        </a:p>
        <a:p>
          <a:r>
            <a:rPr lang="en-US" sz="1100" b="0" u="none" baseline="0"/>
            <a:t>	(B) The Department shall make the model and associated documents available on the Department's websit</a:t>
          </a:r>
        </a:p>
        <a:p>
          <a:r>
            <a:rPr lang="en-US" sz="1100" b="0" u="none" baseline="0"/>
            <a:t>	(C) In preparing these projections, the Department shall:</a:t>
          </a:r>
        </a:p>
        <a:p>
          <a:pPr lvl="1"/>
          <a:r>
            <a:rPr lang="en-US" sz="1100" b="0" u="none" baseline="0"/>
            <a:t>		(i) characterize each of the model's assumptions according to level of certainty, with the levels being high, medium and low; </a:t>
          </a:r>
        </a:p>
        <a:p>
          <a:r>
            <a:rPr lang="en-US" sz="1100" b="0" u="none" baseline="0"/>
            <a:t>		(ii) provide an opportunity for public comment.</a:t>
          </a:r>
        </a:p>
        <a:p>
          <a:r>
            <a:rPr lang="en-US" sz="1100" b="0" u="none" baseline="0"/>
            <a:t>	(D) The Department shall project, for the State, the impact of the RES in each of the following areas: electric utility rates; total energy consumption; 	electric energy consumption; fossil fuel consumption; and greenhouse gas emissions.  The report shall compare the amount or level in each of these 	areas with and without the program</a:t>
          </a:r>
          <a:endParaRPr lang="en-US" sz="1100" b="0" u="none"/>
        </a:p>
        <a:p>
          <a:endParaRPr lang="en-US" sz="1100" b="1" u="sng"/>
        </a:p>
        <a:p>
          <a:r>
            <a:rPr lang="en-US" sz="1100" b="1" u="sng"/>
            <a:t>Stakeholder Feedback--</a:t>
          </a:r>
          <a:r>
            <a:rPr lang="en-US" sz="1100" b="1" u="sng" baseline="0"/>
            <a:t> Areas of focus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*Tier III costs- Tier III incentive rates could be developed assuming that consumers make economic decisions based on the life of a measure. However,</a:t>
          </a:r>
          <a:r>
            <a:rPr lang="en-US" sz="1100" baseline="0">
              <a:solidFill>
                <a:schemeClr val="dk1"/>
              </a:solidFill>
              <a:effectLst/>
              <a:latin typeface="+mn-lt"/>
              <a:ea typeface="+mn-ea"/>
              <a:cs typeface="+mn-cs"/>
            </a:rPr>
            <a:t> i</a:t>
          </a:r>
          <a:r>
            <a:rPr lang="en-US" sz="1100">
              <a:solidFill>
                <a:schemeClr val="dk1"/>
              </a:solidFill>
              <a:effectLst/>
              <a:latin typeface="+mn-lt"/>
              <a:ea typeface="+mn-ea"/>
              <a:cs typeface="+mn-cs"/>
            </a:rPr>
            <a:t>n reality, consumers are more shortsighted and need to realize a shorter payback than the life of a project.  Therefore, Tier III incentives are not based on economic payback</a:t>
          </a:r>
          <a:r>
            <a:rPr lang="en-US" sz="1100" baseline="0">
              <a:solidFill>
                <a:schemeClr val="dk1"/>
              </a:solidFill>
              <a:effectLst/>
              <a:latin typeface="+mn-lt"/>
              <a:ea typeface="+mn-ea"/>
              <a:cs typeface="+mn-cs"/>
            </a:rPr>
            <a:t> analysis</a:t>
          </a:r>
          <a:r>
            <a:rPr lang="en-US" sz="1100">
              <a:solidFill>
                <a:schemeClr val="dk1"/>
              </a:solidFill>
              <a:effectLst/>
              <a:latin typeface="+mn-lt"/>
              <a:ea typeface="+mn-ea"/>
              <a:cs typeface="+mn-cs"/>
            </a:rPr>
            <a:t>, but instead are set at a level of that will stimulate deployment of each measure.  Also included in Tier III costs is</a:t>
          </a:r>
          <a:r>
            <a:rPr lang="en-US" sz="1100" baseline="0">
              <a:solidFill>
                <a:schemeClr val="dk1"/>
              </a:solidFill>
              <a:effectLst/>
              <a:latin typeface="+mn-lt"/>
              <a:ea typeface="+mn-ea"/>
              <a:cs typeface="+mn-cs"/>
            </a:rPr>
            <a:t> overhead and adminstrative costs.  </a:t>
          </a:r>
          <a:r>
            <a:rPr lang="en-US" sz="1100">
              <a:solidFill>
                <a:schemeClr val="dk1"/>
              </a:solidFill>
              <a:effectLst/>
              <a:latin typeface="+mn-lt"/>
              <a:ea typeface="+mn-ea"/>
              <a:cs typeface="+mn-cs"/>
            </a:rPr>
            <a:t>Feedback</a:t>
          </a:r>
          <a:r>
            <a:rPr lang="en-US" sz="1100" baseline="0">
              <a:solidFill>
                <a:schemeClr val="dk1"/>
              </a:solidFill>
              <a:effectLst/>
              <a:latin typeface="+mn-lt"/>
              <a:ea typeface="+mn-ea"/>
              <a:cs typeface="+mn-cs"/>
            </a:rPr>
            <a:t> on the appropriate total cost (incentive plus fees) by measure would be useful. </a:t>
          </a:r>
          <a:r>
            <a:rPr lang="en-US" sz="1100">
              <a:solidFill>
                <a:schemeClr val="dk1"/>
              </a:solidFill>
              <a:effectLst/>
              <a:latin typeface="+mn-lt"/>
              <a:ea typeface="+mn-ea"/>
              <a:cs typeface="+mn-cs"/>
            </a:rPr>
            <a:t>  </a:t>
          </a:r>
          <a:endParaRPr lang="en-US">
            <a:effectLst/>
          </a:endParaRPr>
        </a:p>
        <a:p>
          <a:endParaRPr lang="en-US" sz="1100"/>
        </a:p>
        <a:p>
          <a:r>
            <a:rPr lang="en-US" sz="1100"/>
            <a:t>*Emissions- What is the appropriate emissions rate to use in calculating emissions reductions resulting from RES and what</a:t>
          </a:r>
          <a:r>
            <a:rPr lang="en-US" sz="1100" baseline="0"/>
            <a:t> level of emissions is appropriate for "business as usual"</a:t>
          </a:r>
          <a:r>
            <a:rPr lang="en-US" sz="1100"/>
            <a:t>?  The</a:t>
          </a:r>
          <a:r>
            <a:rPr lang="en-US" sz="1100" baseline="0"/>
            <a:t> most recent ISO-NE system emissions results</a:t>
          </a:r>
          <a:r>
            <a:rPr lang="en-US" sz="1100"/>
            <a:t> presented</a:t>
          </a:r>
          <a:r>
            <a:rPr lang="en-US" sz="1100" baseline="0"/>
            <a:t> the 2016 system wide average emission rate (710 lbs/MWh), marginal emissions rate for emitting marginal units (1,007 lbs/MWh) and a marginal emissions rate for all marginal units (842 lbs/MWh).  Additionally, in 2016 the NEPOOL GIS residual mix had an emissions rate of 2,905 lbs/ MWh. Before the implementation of RES, in 2016 Vermont's resource mix was 48% non-fossil fuel-- should it be assumed that only 52% of Vermont's mix would be emitting without RES, or should all load be assigned an emissions rate?     </a:t>
          </a:r>
          <a:endParaRPr lang="en-US" sz="1100"/>
        </a:p>
        <a:p>
          <a:endParaRPr lang="en-US" sz="1100"/>
        </a:p>
        <a:p>
          <a:r>
            <a:rPr lang="en-US" sz="1100"/>
            <a:t>*Net</a:t>
          </a:r>
          <a:r>
            <a:rPr lang="en-US" sz="1100" baseline="0"/>
            <a:t> Metering Installations</a:t>
          </a:r>
          <a:r>
            <a:rPr lang="en-US" sz="1100"/>
            <a:t>- PSD developed 3 forecasts for installed NM, and included the most recent VELCO LRTP forecast for context.  We recognize that NM has</a:t>
          </a:r>
          <a:r>
            <a:rPr lang="en-US" sz="1100" baseline="0"/>
            <a:t> significant impacts on RES costs and requirements, and are interested in stakeholder input on the </a:t>
          </a:r>
          <a:r>
            <a:rPr lang="en-US" sz="1100"/>
            <a:t>appropriate NM path to assume.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75481</xdr:colOff>
      <xdr:row>24</xdr:row>
      <xdr:rowOff>46367</xdr:rowOff>
    </xdr:from>
    <xdr:to>
      <xdr:col>27</xdr:col>
      <xdr:colOff>47624</xdr:colOff>
      <xdr:row>47</xdr:row>
      <xdr:rowOff>130968</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657764</xdr:colOff>
      <xdr:row>61</xdr:row>
      <xdr:rowOff>86263</xdr:rowOff>
    </xdr:from>
    <xdr:to>
      <xdr:col>7</xdr:col>
      <xdr:colOff>962120</xdr:colOff>
      <xdr:row>92</xdr:row>
      <xdr:rowOff>161743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l="12089" t="15724" r="26524" b="8479"/>
        <a:stretch/>
      </xdr:blipFill>
      <xdr:spPr>
        <a:xfrm>
          <a:off x="657764" y="10168386"/>
          <a:ext cx="8290754" cy="57581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32</xdr:col>
      <xdr:colOff>199485</xdr:colOff>
      <xdr:row>5</xdr:row>
      <xdr:rowOff>86128</xdr:rowOff>
    </xdr:from>
    <xdr:to>
      <xdr:col>44</xdr:col>
      <xdr:colOff>11906</xdr:colOff>
      <xdr:row>41</xdr:row>
      <xdr:rowOff>79658</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970244</xdr:colOff>
      <xdr:row>51</xdr:row>
      <xdr:rowOff>32887</xdr:rowOff>
    </xdr:from>
    <xdr:to>
      <xdr:col>14</xdr:col>
      <xdr:colOff>488156</xdr:colOff>
      <xdr:row>75</xdr:row>
      <xdr:rowOff>166687</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1017983</xdr:colOff>
      <xdr:row>79</xdr:row>
      <xdr:rowOff>92867</xdr:rowOff>
    </xdr:from>
    <xdr:to>
      <xdr:col>14</xdr:col>
      <xdr:colOff>511969</xdr:colOff>
      <xdr:row>105</xdr:row>
      <xdr:rowOff>166687</xdr:rowOff>
    </xdr:to>
    <xdr:graphicFrame macro="">
      <xdr:nvGraphicFramePr>
        <xdr:cNvPr id="4" name="Chart 3">
          <a:extLst>
            <a:ext uri="{FF2B5EF4-FFF2-40B4-BE49-F238E27FC236}">
              <a16:creationId xmlns:a16="http://schemas.microsoft.com/office/drawing/2014/main" id="{EB2EBA6F-A46B-4369-A64D-16B85CC5BA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27406</xdr:colOff>
      <xdr:row>11</xdr:row>
      <xdr:rowOff>117941</xdr:rowOff>
    </xdr:from>
    <xdr:to>
      <xdr:col>5</xdr:col>
      <xdr:colOff>578238</xdr:colOff>
      <xdr:row>13</xdr:row>
      <xdr:rowOff>161072</xdr:rowOff>
    </xdr:to>
    <xdr:sp macro="" textlink="">
      <xdr:nvSpPr>
        <xdr:cNvPr id="2" name="Right Arrow 1">
          <a:extLst>
            <a:ext uri="{FF2B5EF4-FFF2-40B4-BE49-F238E27FC236}">
              <a16:creationId xmlns:a16="http://schemas.microsoft.com/office/drawing/2014/main" id="{00000000-0008-0000-0800-000002000000}"/>
            </a:ext>
          </a:extLst>
        </xdr:cNvPr>
        <xdr:cNvSpPr/>
      </xdr:nvSpPr>
      <xdr:spPr>
        <a:xfrm>
          <a:off x="5766219" y="2201535"/>
          <a:ext cx="1646207" cy="42413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629459</xdr:colOff>
      <xdr:row>11</xdr:row>
      <xdr:rowOff>128723</xdr:rowOff>
    </xdr:from>
    <xdr:to>
      <xdr:col>8</xdr:col>
      <xdr:colOff>948907</xdr:colOff>
      <xdr:row>19</xdr:row>
      <xdr:rowOff>170731</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7713678" y="2236129"/>
          <a:ext cx="3391260" cy="11850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2016, the final year before RES compliance began, Vermont's energy was sourced from 48% non-fossil fuels and 52% ISO-NE system mix.  </a:t>
          </a:r>
        </a:p>
      </xdr:txBody>
    </xdr:sp>
    <xdr:clientData/>
  </xdr:twoCellAnchor>
  <xdr:twoCellAnchor editAs="oneCell">
    <xdr:from>
      <xdr:col>8</xdr:col>
      <xdr:colOff>340179</xdr:colOff>
      <xdr:row>1</xdr:row>
      <xdr:rowOff>13606</xdr:rowOff>
    </xdr:from>
    <xdr:to>
      <xdr:col>14</xdr:col>
      <xdr:colOff>571500</xdr:colOff>
      <xdr:row>11</xdr:row>
      <xdr:rowOff>57830</xdr:rowOff>
    </xdr:to>
    <xdr:pic>
      <xdr:nvPicPr>
        <xdr:cNvPr id="4" name="Picture 3">
          <a:extLst>
            <a:ext uri="{FF2B5EF4-FFF2-40B4-BE49-F238E27FC236}">
              <a16:creationId xmlns:a16="http://schemas.microsoft.com/office/drawing/2014/main" id="{8B187DC8-2088-4BC6-9961-38B31E53BFC9}"/>
            </a:ext>
          </a:extLst>
        </xdr:cNvPr>
        <xdr:cNvPicPr>
          <a:picLocks noChangeAspect="1"/>
        </xdr:cNvPicPr>
      </xdr:nvPicPr>
      <xdr:blipFill rotWithShape="1">
        <a:blip xmlns:r="http://schemas.openxmlformats.org/officeDocument/2006/relationships" r:embed="rId1"/>
        <a:srcRect l="66966" t="47883" r="15541" b="33532"/>
        <a:stretch/>
      </xdr:blipFill>
      <xdr:spPr>
        <a:xfrm>
          <a:off x="10273393" y="204106"/>
          <a:ext cx="6381750" cy="1959429"/>
        </a:xfrm>
        <a:prstGeom prst="rect">
          <a:avLst/>
        </a:prstGeom>
      </xdr:spPr>
    </xdr:pic>
    <xdr:clientData/>
  </xdr:twoCellAnchor>
  <xdr:twoCellAnchor editAs="oneCell">
    <xdr:from>
      <xdr:col>15</xdr:col>
      <xdr:colOff>166688</xdr:colOff>
      <xdr:row>0</xdr:row>
      <xdr:rowOff>35720</xdr:rowOff>
    </xdr:from>
    <xdr:to>
      <xdr:col>23</xdr:col>
      <xdr:colOff>464344</xdr:colOff>
      <xdr:row>38</xdr:row>
      <xdr:rowOff>59532</xdr:rowOff>
    </xdr:to>
    <xdr:pic>
      <xdr:nvPicPr>
        <xdr:cNvPr id="5" name="Picture 4">
          <a:extLst>
            <a:ext uri="{FF2B5EF4-FFF2-40B4-BE49-F238E27FC236}">
              <a16:creationId xmlns:a16="http://schemas.microsoft.com/office/drawing/2014/main" id="{C39B9688-B117-4E43-AAF3-0543C31680CA}"/>
            </a:ext>
          </a:extLst>
        </xdr:cNvPr>
        <xdr:cNvPicPr>
          <a:picLocks noChangeAspect="1"/>
        </xdr:cNvPicPr>
      </xdr:nvPicPr>
      <xdr:blipFill rotWithShape="1">
        <a:blip xmlns:r="http://schemas.openxmlformats.org/officeDocument/2006/relationships" r:embed="rId2"/>
        <a:srcRect l="67756" t="16488" r="17995" b="14510"/>
        <a:stretch/>
      </xdr:blipFill>
      <xdr:spPr>
        <a:xfrm>
          <a:off x="16775907" y="35720"/>
          <a:ext cx="5155406" cy="72747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366622</xdr:colOff>
      <xdr:row>8</xdr:row>
      <xdr:rowOff>312708</xdr:rowOff>
    </xdr:from>
    <xdr:to>
      <xdr:col>21</xdr:col>
      <xdr:colOff>312706</xdr:colOff>
      <xdr:row>53</xdr:row>
      <xdr:rowOff>188254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22407" t="10273" r="39321" b="8584"/>
        <a:stretch/>
      </xdr:blipFill>
      <xdr:spPr>
        <a:xfrm>
          <a:off x="14007141" y="3763274"/>
          <a:ext cx="6998179" cy="83460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SD/PSD%20-%20UserSwap/JWoodward/Analysis/RE%20Policy/Rates%20&amp;%20Bills/btm_gen_av_cost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SD/PSD%20-%20UserSwap/MFischer/Legislative%20Reports/Section%208005b(b)%20Annual%20Report/2018_jwoodward/Consolidated%20RES%20Model%20201801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SD/PSD%20-%20UserSwap/JWoodward/Legislative%20Reports/Section%208005b(b)%20Annual%20Report/2018/tier3possibilit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ser_inputs"/>
      <sheetName val="outputs"/>
      <sheetName val="avd_costs"/>
      <sheetName val="baseline"/>
      <sheetName val="op&amp;prog_cap"/>
      <sheetName val=" avd_lmp&amp;rec"/>
      <sheetName val="avd_cap"/>
      <sheetName val="lmp_hist"/>
      <sheetName val="gen_profile"/>
      <sheetName val="rns"/>
    </sheetNames>
    <sheetDataSet>
      <sheetData sheetId="0"/>
      <sheetData sheetId="1">
        <row r="2">
          <cell r="A2">
            <v>0.14000000000000001</v>
          </cell>
        </row>
        <row r="50">
          <cell r="A50">
            <v>0.09</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ergy$"/>
      <sheetName val="rates"/>
      <sheetName val="CCHP"/>
      <sheetName val="EV"/>
      <sheetName val="ELC WS"/>
      <sheetName val="T1&amp;2"/>
      <sheetName val="RE gen"/>
      <sheetName val="COS"/>
      <sheetName val="load"/>
      <sheetName val="LRTP"/>
      <sheetName val="SO"/>
      <sheetName val="NM"/>
      <sheetName val="obl"/>
      <sheetName val="ACP"/>
      <sheetName val="AEO"/>
      <sheetName val="report1"/>
      <sheetName val="report2"/>
      <sheetName val="report3"/>
      <sheetName val="report4"/>
      <sheetName val="report5"/>
      <sheetName val="report6"/>
    </sheetNames>
    <sheetDataSet>
      <sheetData sheetId="0"/>
      <sheetData sheetId="1">
        <row r="1">
          <cell r="A1">
            <v>1.9E-2</v>
          </cell>
        </row>
        <row r="2">
          <cell r="A2">
            <v>0.06</v>
          </cell>
        </row>
        <row r="3">
          <cell r="A3">
            <v>180</v>
          </cell>
        </row>
        <row r="4">
          <cell r="A4">
            <v>0.02</v>
          </cell>
        </row>
        <row r="5">
          <cell r="A5">
            <v>18</v>
          </cell>
        </row>
        <row r="6">
          <cell r="A6">
            <v>20</v>
          </cell>
        </row>
        <row r="7">
          <cell r="A7">
            <v>5.0000000000000001E-3</v>
          </cell>
        </row>
        <row r="8">
          <cell r="A8">
            <v>5.0000000000000001E-3</v>
          </cell>
        </row>
        <row r="10">
          <cell r="A10">
            <v>-0.2</v>
          </cell>
        </row>
        <row r="11">
          <cell r="A11">
            <v>0.2</v>
          </cell>
        </row>
        <row r="13">
          <cell r="A13" t="str">
            <v>high</v>
          </cell>
          <cell r="C13">
            <v>21.707999999999995</v>
          </cell>
        </row>
        <row r="14">
          <cell r="C14">
            <v>24.119999999999997</v>
          </cell>
        </row>
      </sheetData>
      <sheetData sheetId="2"/>
      <sheetData sheetId="3">
        <row r="13">
          <cell r="C13">
            <v>2</v>
          </cell>
        </row>
        <row r="15">
          <cell r="C15">
            <v>0.2</v>
          </cell>
        </row>
        <row r="17">
          <cell r="C17">
            <v>24.429104785921233</v>
          </cell>
        </row>
        <row r="20">
          <cell r="C20">
            <v>1.1000000000000001</v>
          </cell>
        </row>
        <row r="21">
          <cell r="C21">
            <v>1.05</v>
          </cell>
        </row>
        <row r="22">
          <cell r="C22">
            <v>3</v>
          </cell>
        </row>
        <row r="23">
          <cell r="C23">
            <v>3</v>
          </cell>
        </row>
      </sheetData>
      <sheetData sheetId="4">
        <row r="3">
          <cell r="B3">
            <v>25000</v>
          </cell>
          <cell r="C3">
            <v>35000</v>
          </cell>
        </row>
        <row r="4">
          <cell r="B4">
            <v>0</v>
          </cell>
          <cell r="C4">
            <v>-0.03</v>
          </cell>
        </row>
        <row r="6">
          <cell r="B6">
            <v>47.889328063241109</v>
          </cell>
        </row>
        <row r="8">
          <cell r="B8">
            <v>173.73333333333335</v>
          </cell>
          <cell r="C8">
            <v>35.266666666666666</v>
          </cell>
        </row>
        <row r="9">
          <cell r="C9">
            <v>3.3333333333333335</v>
          </cell>
        </row>
        <row r="10">
          <cell r="C10">
            <v>36.921693553194785</v>
          </cell>
        </row>
        <row r="12">
          <cell r="C12">
            <v>1.1000000000000001</v>
          </cell>
        </row>
        <row r="13">
          <cell r="C13">
            <v>3</v>
          </cell>
        </row>
        <row r="14">
          <cell r="C14">
            <v>3</v>
          </cell>
        </row>
      </sheetData>
      <sheetData sheetId="5">
        <row r="1">
          <cell r="A1">
            <v>5.0000000000000001E-3</v>
          </cell>
          <cell r="K1">
            <v>0.09</v>
          </cell>
        </row>
        <row r="2">
          <cell r="A2">
            <v>1.9E-2</v>
          </cell>
        </row>
        <row r="3">
          <cell r="A3">
            <v>1.3</v>
          </cell>
        </row>
        <row r="4">
          <cell r="A4">
            <v>0</v>
          </cell>
        </row>
        <row r="20">
          <cell r="H20">
            <v>-1.2076999606314143E-4</v>
          </cell>
        </row>
      </sheetData>
      <sheetData sheetId="6">
        <row r="1">
          <cell r="M1" t="str">
            <v>low</v>
          </cell>
        </row>
      </sheetData>
      <sheetData sheetId="7">
        <row r="1">
          <cell r="B1">
            <v>1</v>
          </cell>
          <cell r="I1">
            <v>0.02</v>
          </cell>
        </row>
        <row r="2">
          <cell r="I2">
            <v>0.02</v>
          </cell>
        </row>
        <row r="3">
          <cell r="B3">
            <v>111.5</v>
          </cell>
        </row>
        <row r="6">
          <cell r="J6">
            <v>1</v>
          </cell>
          <cell r="K6">
            <v>111.5</v>
          </cell>
        </row>
        <row r="7">
          <cell r="J7">
            <v>1.02</v>
          </cell>
          <cell r="K7">
            <v>113.73</v>
          </cell>
        </row>
        <row r="8">
          <cell r="J8">
            <v>1.0404</v>
          </cell>
          <cell r="K8">
            <v>116.00460000000001</v>
          </cell>
        </row>
        <row r="9">
          <cell r="J9">
            <v>1.0612079999999999</v>
          </cell>
          <cell r="K9">
            <v>118.32469200000001</v>
          </cell>
        </row>
        <row r="10">
          <cell r="J10">
            <v>1.08243216</v>
          </cell>
          <cell r="K10">
            <v>120.69118584000002</v>
          </cell>
        </row>
        <row r="11">
          <cell r="J11">
            <v>1.1040808032</v>
          </cell>
          <cell r="K11">
            <v>123.10500955680001</v>
          </cell>
        </row>
        <row r="12">
          <cell r="J12">
            <v>1.1261624192640001</v>
          </cell>
          <cell r="K12">
            <v>125.56710974793602</v>
          </cell>
        </row>
        <row r="13">
          <cell r="J13">
            <v>1.14868566764928</v>
          </cell>
          <cell r="K13">
            <v>128.07845194289473</v>
          </cell>
        </row>
        <row r="14">
          <cell r="J14">
            <v>1.1716593810022657</v>
          </cell>
          <cell r="K14">
            <v>130.64002098175263</v>
          </cell>
        </row>
        <row r="15">
          <cell r="J15">
            <v>1.1950925686223111</v>
          </cell>
          <cell r="K15">
            <v>133.25282140138768</v>
          </cell>
        </row>
      </sheetData>
      <sheetData sheetId="8">
        <row r="3">
          <cell r="J3">
            <v>0.5</v>
          </cell>
          <cell r="K3">
            <v>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possible"/>
    </sheetNames>
    <sheetDataSet>
      <sheetData sheetId="0">
        <row r="17">
          <cell r="A17">
            <v>24.429104785921233</v>
          </cell>
        </row>
        <row r="38">
          <cell r="A38">
            <v>14.453726894874265</v>
          </cell>
        </row>
      </sheetData>
    </sheetDataSet>
  </externalBook>
</externalLink>
</file>

<file path=xl/persons/person.xml><?xml version="1.0" encoding="utf-8"?>
<personList xmlns="http://schemas.microsoft.com/office/spreadsheetml/2018/threadedcomments" xmlns:x="http://schemas.openxmlformats.org/spreadsheetml/2006/main">
  <person displayName="Fischer, Maria" id="{F2A163FD-180C-4A50-8293-BE9D91599E64}" userId="S::Maria.Fischer@vermont.gov::5e0e0bef-e993-4b9b-a0c4-80d4e26dead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3" dT="2019-10-24T19:04:06.28" personId="{F2A163FD-180C-4A50-8293-BE9D91599E64}" id="{C259254F-419A-4425-9010-C0296256C68E}">
    <text>actual as reported in 2018 RES compliance filings</text>
  </threadedComment>
  <threadedComment ref="E4" dT="2019-10-24T19:04:06.28" personId="{F2A163FD-180C-4A50-8293-BE9D91599E64}" id="{A44B6082-2116-4546-863A-8AF3871B80AB}">
    <text>actual as reported in 2018 RES compliance filings</text>
  </threadedComment>
  <threadedComment ref="E5" dT="2019-10-24T19:04:06.28" personId="{F2A163FD-180C-4A50-8293-BE9D91599E64}" id="{BD8718E2-389C-4A27-B2FE-8A31266C91BA}">
    <text>actual as reported in 2018 RES compliance filings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E1" dT="2019-01-03T17:42:30.57" personId="{F2A163FD-180C-4A50-8293-BE9D91599E64}" id="{2D5082E3-CDF3-4D36-A401-8E9D1C75FDA4}">
    <text>These values were set with a trial and error method—low FF has incentives for CCHP and EVs around $1000, and high FF has incentives around $500 per unit, which seem like reasonable per measure incentives.</text>
  </threadedComment>
  <threadedComment ref="G6" dT="2018-12-27T20:18:29.14" personId="{F2A163FD-180C-4A50-8293-BE9D91599E64}" id="{4774CEDB-B83C-4DBA-AC5C-52F2327F202F}">
    <text>29 kwh of additional load per MWh of claimed savings based on VEC 2017 actual</text>
  </threadedComment>
</ThreadedComments>
</file>

<file path=xl/threadedComments/threadedComment3.xml><?xml version="1.0" encoding="utf-8"?>
<ThreadedComments xmlns="http://schemas.microsoft.com/office/spreadsheetml/2018/threadedcomments" xmlns:x="http://schemas.openxmlformats.org/spreadsheetml/2006/main">
  <threadedComment ref="G38" dT="2019-10-31T14:47:29.82" personId="{F2A163FD-180C-4A50-8293-BE9D91599E64}" id="{DF42EEF7-8216-4605-BC50-491C726ECF79}">
    <text>leave at 30% nuclear??</text>
  </threadedComment>
  <threadedComment ref="B60" dT="2019-10-29T17:34:16.81" personId="{F2A163FD-180C-4A50-8293-BE9D91599E64}" id="{FFCEC4D2-2087-4F12-A7ED-63466D74372E}">
    <text>is this OK-- check for 2018</text>
  </threadedComment>
</ThreadedComments>
</file>

<file path=xl/threadedComments/threadedComment4.xml><?xml version="1.0" encoding="utf-8"?>
<ThreadedComments xmlns="http://schemas.microsoft.com/office/spreadsheetml/2018/threadedcomments" xmlns:x="http://schemas.openxmlformats.org/spreadsheetml/2006/main">
  <threadedComment ref="E64" dT="2019-10-28T20:00:30.39" personId="{F2A163FD-180C-4A50-8293-BE9D91599E64}" id="{778F7B1A-3038-480F-B882-8DF5040E2CD3}">
    <text>percentages based on: https://factfinder.census.gov/faces/tableservices/jsf/pages/productview.xhtml?src=CF</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eia.gov/outlooks/aeo/tables_ref.php" TargetMode="External"/><Relationship Id="rId5" Type="http://schemas.microsoft.com/office/2017/10/relationships/threadedComment" Target="../threadedComments/threadedComment4.xm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90" zoomScaleNormal="90" workbookViewId="0">
      <selection activeCell="W1" sqref="W1"/>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50"/>
  <sheetViews>
    <sheetView zoomScale="80" zoomScaleNormal="80" workbookViewId="0">
      <selection activeCell="D34" sqref="D34"/>
    </sheetView>
  </sheetViews>
  <sheetFormatPr defaultRowHeight="14.4" x14ac:dyDescent="0.3"/>
  <cols>
    <col min="1" max="1" width="19.33203125" customWidth="1"/>
    <col min="2" max="2" width="24" customWidth="1"/>
    <col min="5" max="13" width="9.5546875" bestFit="1" customWidth="1"/>
    <col min="14" max="14" width="9.5546875" customWidth="1"/>
    <col min="15" max="15" width="9.5546875" bestFit="1" customWidth="1"/>
    <col min="16" max="25" width="0" hidden="1" customWidth="1"/>
    <col min="26" max="27" width="9.109375" hidden="1" customWidth="1"/>
    <col min="28" max="29" width="0" hidden="1" customWidth="1"/>
  </cols>
  <sheetData>
    <row r="1" spans="1:31" x14ac:dyDescent="0.3">
      <c r="A1" s="195" t="s">
        <v>182</v>
      </c>
      <c r="B1" s="196" t="str">
        <f>FF_scenario</f>
        <v>HIGH</v>
      </c>
    </row>
    <row r="2" spans="1:31" x14ac:dyDescent="0.3">
      <c r="A2" s="197" t="s">
        <v>203</v>
      </c>
      <c r="B2" s="198" t="str">
        <f>REC_scenario</f>
        <v>MID</v>
      </c>
    </row>
    <row r="3" spans="1:31" ht="15" thickBot="1" x14ac:dyDescent="0.35">
      <c r="A3" s="199" t="s">
        <v>185</v>
      </c>
      <c r="B3" s="200">
        <f>1+SUMIF(assumptions!E16:E18,FF_scenario,assumptions!D16:D18)-Mid_FF_esc</f>
        <v>1.034</v>
      </c>
    </row>
    <row r="5" spans="1:31" x14ac:dyDescent="0.3">
      <c r="E5" s="20">
        <f>base_year</f>
        <v>2019</v>
      </c>
      <c r="F5" s="20">
        <f>E5+1</f>
        <v>2020</v>
      </c>
      <c r="G5" s="20">
        <f t="shared" ref="G5:O5" si="0">F5+1</f>
        <v>2021</v>
      </c>
      <c r="H5" s="20">
        <f t="shared" si="0"/>
        <v>2022</v>
      </c>
      <c r="I5" s="20">
        <f t="shared" si="0"/>
        <v>2023</v>
      </c>
      <c r="J5" s="20">
        <f t="shared" si="0"/>
        <v>2024</v>
      </c>
      <c r="K5" s="20">
        <f t="shared" si="0"/>
        <v>2025</v>
      </c>
      <c r="L5" s="20">
        <f t="shared" si="0"/>
        <v>2026</v>
      </c>
      <c r="M5" s="20">
        <f t="shared" si="0"/>
        <v>2027</v>
      </c>
      <c r="N5" s="20">
        <f t="shared" si="0"/>
        <v>2028</v>
      </c>
      <c r="O5" s="20">
        <f t="shared" si="0"/>
        <v>2029</v>
      </c>
      <c r="P5" s="20">
        <v>2029</v>
      </c>
      <c r="Q5" s="20">
        <v>2030</v>
      </c>
      <c r="R5" s="20">
        <v>2031</v>
      </c>
      <c r="S5" s="20">
        <v>2032</v>
      </c>
      <c r="T5" s="20">
        <v>2033</v>
      </c>
      <c r="U5" s="20">
        <v>2034</v>
      </c>
      <c r="V5" s="20">
        <v>2035</v>
      </c>
      <c r="W5" s="20">
        <v>2036</v>
      </c>
      <c r="X5" s="20">
        <v>2037</v>
      </c>
      <c r="Y5" s="20">
        <v>2038</v>
      </c>
      <c r="Z5" s="20">
        <v>2039</v>
      </c>
      <c r="AA5" s="20">
        <v>2040</v>
      </c>
      <c r="AB5" s="20">
        <v>2041</v>
      </c>
      <c r="AC5" s="20">
        <v>2042</v>
      </c>
      <c r="AE5" t="s">
        <v>87</v>
      </c>
    </row>
    <row r="6" spans="1:31" x14ac:dyDescent="0.3">
      <c r="A6" s="140" t="s">
        <v>176</v>
      </c>
      <c r="B6" s="33" t="s">
        <v>63</v>
      </c>
      <c r="C6" s="37" t="s">
        <v>64</v>
      </c>
      <c r="D6" s="37"/>
      <c r="E6" s="38">
        <v>44.406000000000006</v>
      </c>
      <c r="F6" s="38">
        <v>39.618416666666668</v>
      </c>
      <c r="G6" s="38">
        <v>39.631250000000009</v>
      </c>
      <c r="H6" s="38">
        <v>39.962250000000004</v>
      </c>
      <c r="I6" s="38">
        <v>40.284500000000001</v>
      </c>
      <c r="J6" s="38">
        <v>40.248500000000007</v>
      </c>
      <c r="K6" s="38">
        <v>41.301430659622163</v>
      </c>
      <c r="L6" s="38">
        <v>42.336318443804046</v>
      </c>
      <c r="M6" s="38">
        <v>44.125140666026262</v>
      </c>
      <c r="N6" s="38">
        <v>45.665228962536027</v>
      </c>
      <c r="O6" s="38">
        <v>47.282643868075574</v>
      </c>
      <c r="P6" s="38"/>
      <c r="Q6" s="38"/>
      <c r="R6" s="38"/>
      <c r="S6" s="38"/>
      <c r="T6" s="38"/>
      <c r="U6" s="38"/>
      <c r="V6" s="38"/>
      <c r="W6" s="38"/>
      <c r="X6" s="38"/>
      <c r="Y6" s="38"/>
      <c r="Z6" s="38"/>
      <c r="AA6" s="38"/>
      <c r="AB6" s="38"/>
      <c r="AC6" s="38"/>
      <c r="AE6" s="2">
        <f>(N6/E6)^(1/($N$5-$E$5))-1</f>
        <v>3.1117825356452578E-3</v>
      </c>
    </row>
    <row r="7" spans="1:31" s="31" customFormat="1" x14ac:dyDescent="0.3">
      <c r="A7" s="141" t="s">
        <v>176</v>
      </c>
      <c r="B7" s="39" t="s">
        <v>65</v>
      </c>
      <c r="C7" s="40" t="s">
        <v>66</v>
      </c>
      <c r="D7" s="40"/>
      <c r="E7" s="31">
        <v>7.03</v>
      </c>
      <c r="F7" s="31">
        <v>5.3</v>
      </c>
      <c r="G7" s="31">
        <v>4.63</v>
      </c>
      <c r="H7" s="31">
        <v>3.8</v>
      </c>
      <c r="I7" s="31">
        <v>3.9311753664466824</v>
      </c>
      <c r="J7" s="31">
        <v>4.150581232489059</v>
      </c>
      <c r="K7" s="31">
        <v>4.5090948028892841</v>
      </c>
      <c r="L7" s="31">
        <v>4.9530358944147403</v>
      </c>
      <c r="M7" s="31">
        <v>5.4207615980815369</v>
      </c>
      <c r="N7" s="31">
        <v>5.8965588782091229</v>
      </c>
      <c r="O7" s="31">
        <v>6.3841341734915744</v>
      </c>
      <c r="AE7" s="2">
        <f>(N7/E7)^(1/($N$5-$E$5))-1</f>
        <v>-1.9345729714541959E-2</v>
      </c>
    </row>
    <row r="8" spans="1:31" s="31" customFormat="1" x14ac:dyDescent="0.3">
      <c r="A8" s="141" t="s">
        <v>176</v>
      </c>
      <c r="B8" s="150" t="s">
        <v>56</v>
      </c>
      <c r="C8" s="151" t="s">
        <v>67</v>
      </c>
      <c r="D8" s="151"/>
      <c r="E8" s="152">
        <v>111.96</v>
      </c>
      <c r="F8" s="152">
        <v>120</v>
      </c>
      <c r="G8" s="152">
        <v>126</v>
      </c>
      <c r="H8" s="152">
        <v>133</v>
      </c>
      <c r="I8" s="152">
        <v>138</v>
      </c>
      <c r="J8" s="152">
        <v>140.76</v>
      </c>
      <c r="K8" s="152">
        <v>143.5752</v>
      </c>
      <c r="L8" s="152">
        <v>146.44670400000001</v>
      </c>
      <c r="M8" s="152">
        <v>149.37563808000002</v>
      </c>
      <c r="N8" s="152">
        <v>152.36315084160003</v>
      </c>
      <c r="O8" s="152">
        <v>155.41041385843204</v>
      </c>
      <c r="AE8" s="2">
        <f>(N8/E8)^(1/($N$5-$E$5))-1</f>
        <v>3.4828930540631964E-2</v>
      </c>
    </row>
    <row r="9" spans="1:31" s="31" customFormat="1" x14ac:dyDescent="0.3">
      <c r="A9" s="141"/>
      <c r="B9" s="39" t="s">
        <v>184</v>
      </c>
      <c r="C9" s="40" t="s">
        <v>52</v>
      </c>
      <c r="D9">
        <f>(N9/E9)^(1/($N$5-$E$5))</f>
        <v>1.0069835216999075</v>
      </c>
      <c r="E9" s="61">
        <f>E6+(E7*12/8.76)+(E8/8.76)</f>
        <v>66.816958904109583</v>
      </c>
      <c r="F9" s="61">
        <f t="shared" ref="F9:O9" si="1">F6+(F7*12/8.76)+(F8/8.76)</f>
        <v>60.577320776255711</v>
      </c>
      <c r="G9" s="61">
        <f t="shared" si="1"/>
        <v>60.357277397260276</v>
      </c>
      <c r="H9" s="61">
        <f t="shared" si="1"/>
        <v>60.350377853881284</v>
      </c>
      <c r="I9" s="61">
        <f t="shared" si="1"/>
        <v>61.423096392392715</v>
      </c>
      <c r="J9" s="61">
        <f t="shared" si="1"/>
        <v>62.002720866423374</v>
      </c>
      <c r="K9" s="61">
        <f t="shared" si="1"/>
        <v>63.868135869059536</v>
      </c>
      <c r="L9" s="61">
        <f t="shared" si="1"/>
        <v>65.838959395057117</v>
      </c>
      <c r="M9" s="61">
        <f t="shared" si="1"/>
        <v>68.602854964768099</v>
      </c>
      <c r="N9" s="61">
        <f t="shared" si="1"/>
        <v>71.135760626932097</v>
      </c>
      <c r="O9" s="61">
        <f t="shared" si="1"/>
        <v>73.768947970853077</v>
      </c>
      <c r="AE9" s="240">
        <f>(N9/E9)^(1/($N$5-$E$5))-1</f>
        <v>6.9835216999074579E-3</v>
      </c>
    </row>
    <row r="10" spans="1:31" s="31" customFormat="1" x14ac:dyDescent="0.3">
      <c r="A10" s="141"/>
      <c r="B10" s="39"/>
      <c r="C10" s="40"/>
      <c r="D10"/>
      <c r="E10" s="61"/>
      <c r="F10" s="61"/>
      <c r="G10" s="61"/>
      <c r="H10" s="61"/>
      <c r="I10" s="61"/>
      <c r="J10" s="61"/>
      <c r="K10" s="61"/>
      <c r="L10" s="61"/>
      <c r="M10" s="61"/>
      <c r="N10" s="61"/>
      <c r="O10" s="61"/>
      <c r="AE10" s="2"/>
    </row>
    <row r="11" spans="1:31" x14ac:dyDescent="0.3">
      <c r="A11" s="141" t="s">
        <v>381</v>
      </c>
      <c r="B11" s="236" t="s">
        <v>201</v>
      </c>
      <c r="C11" s="237" t="s">
        <v>132</v>
      </c>
      <c r="D11" s="247">
        <f>(N11/E11)^(1/($N$5-$E$5))</f>
        <v>1.0485221999311125</v>
      </c>
      <c r="E11" s="83">
        <f>'AEO- reference'!H68</f>
        <v>20.462620546265978</v>
      </c>
      <c r="F11" s="83">
        <f>'AEO- reference'!I68</f>
        <v>21.746598554684887</v>
      </c>
      <c r="G11" s="83">
        <f>'AEO- reference'!J68</f>
        <v>22.797960923494884</v>
      </c>
      <c r="H11" s="83">
        <f>'AEO- reference'!K68</f>
        <v>23.802792406565832</v>
      </c>
      <c r="I11" s="83">
        <f>'AEO- reference'!L68</f>
        <v>25.035368037487199</v>
      </c>
      <c r="J11" s="83">
        <f>'AEO- reference'!M68</f>
        <v>26.573194134261559</v>
      </c>
      <c r="K11" s="83">
        <f>'AEO- reference'!N68</f>
        <v>27.836153862651678</v>
      </c>
      <c r="L11" s="83">
        <f>'AEO- reference'!O68</f>
        <v>29.008090922405138</v>
      </c>
      <c r="M11" s="83">
        <f>'AEO- reference'!P68</f>
        <v>30.353846753727943</v>
      </c>
      <c r="N11" s="83">
        <f>'AEO- reference'!Q68</f>
        <v>31.344397135057328</v>
      </c>
      <c r="O11" s="83">
        <f>'AEO- reference'!R68</f>
        <v>32.621882402227136</v>
      </c>
    </row>
    <row r="12" spans="1:31" s="58" customFormat="1" x14ac:dyDescent="0.3">
      <c r="A12" s="58" t="s">
        <v>32</v>
      </c>
      <c r="B12" s="236" t="s">
        <v>201</v>
      </c>
      <c r="C12" s="237" t="s">
        <v>132</v>
      </c>
      <c r="D12" s="58">
        <f>(N12/E12)^(1/($N$5-$E$5))</f>
        <v>0.99</v>
      </c>
      <c r="E12" s="245">
        <v>20</v>
      </c>
      <c r="F12" s="246">
        <f t="shared" ref="F12:AC12" si="2">E12*(1+Low_FF_esc)</f>
        <v>19.8</v>
      </c>
      <c r="G12" s="246">
        <f t="shared" si="2"/>
        <v>19.602</v>
      </c>
      <c r="H12" s="246">
        <f t="shared" si="2"/>
        <v>19.40598</v>
      </c>
      <c r="I12" s="246">
        <f t="shared" si="2"/>
        <v>19.211920199999998</v>
      </c>
      <c r="J12" s="246">
        <f t="shared" si="2"/>
        <v>19.019800997999997</v>
      </c>
      <c r="K12" s="246">
        <f t="shared" si="2"/>
        <v>18.829602988019996</v>
      </c>
      <c r="L12" s="246">
        <f t="shared" si="2"/>
        <v>18.641306958139797</v>
      </c>
      <c r="M12" s="246">
        <f t="shared" si="2"/>
        <v>18.454893888558399</v>
      </c>
      <c r="N12" s="246">
        <f t="shared" si="2"/>
        <v>18.270344949672815</v>
      </c>
      <c r="O12" s="246">
        <f t="shared" si="2"/>
        <v>18.087641500176087</v>
      </c>
      <c r="P12" s="239">
        <f t="shared" si="2"/>
        <v>17.906765085174325</v>
      </c>
      <c r="Q12" s="239">
        <f t="shared" si="2"/>
        <v>17.727697434322582</v>
      </c>
      <c r="R12" s="239">
        <f t="shared" si="2"/>
        <v>17.550420459979357</v>
      </c>
      <c r="S12" s="239">
        <f t="shared" si="2"/>
        <v>17.374916255379564</v>
      </c>
      <c r="T12" s="239">
        <f t="shared" si="2"/>
        <v>17.201167092825767</v>
      </c>
      <c r="U12" s="239">
        <f t="shared" si="2"/>
        <v>17.02915542189751</v>
      </c>
      <c r="V12" s="239">
        <f t="shared" si="2"/>
        <v>16.858863867678537</v>
      </c>
      <c r="W12" s="239">
        <f t="shared" si="2"/>
        <v>16.690275229001752</v>
      </c>
      <c r="X12" s="239">
        <f t="shared" si="2"/>
        <v>16.523372476711735</v>
      </c>
      <c r="Y12" s="239">
        <f t="shared" si="2"/>
        <v>16.358138751944619</v>
      </c>
      <c r="Z12" s="239">
        <f t="shared" si="2"/>
        <v>16.194557364425172</v>
      </c>
      <c r="AA12" s="239">
        <f t="shared" si="2"/>
        <v>16.032611790780919</v>
      </c>
      <c r="AB12" s="239">
        <f t="shared" si="2"/>
        <v>15.87228567287311</v>
      </c>
      <c r="AC12" s="239">
        <f t="shared" si="2"/>
        <v>15.713562816144378</v>
      </c>
      <c r="AE12" s="240">
        <f>(N12/E12)^(1/($N$5-$E$5))-1</f>
        <v>-1.0000000000000009E-2</v>
      </c>
    </row>
    <row r="13" spans="1:31" s="58" customFormat="1" x14ac:dyDescent="0.3">
      <c r="A13" s="58" t="s">
        <v>43</v>
      </c>
      <c r="B13" s="236" t="s">
        <v>201</v>
      </c>
      <c r="C13" s="237" t="s">
        <v>132</v>
      </c>
      <c r="D13" s="58">
        <f>(N13/E13)^(1/($N$5-$E$5))</f>
        <v>1.016</v>
      </c>
      <c r="E13" s="245">
        <v>21</v>
      </c>
      <c r="F13" s="246">
        <f t="shared" ref="F13:AC13" si="3">E13*(1+Mid_FF_esc)</f>
        <v>21.335999999999999</v>
      </c>
      <c r="G13" s="246">
        <f t="shared" si="3"/>
        <v>21.677375999999999</v>
      </c>
      <c r="H13" s="246">
        <f t="shared" si="3"/>
        <v>22.024214015999998</v>
      </c>
      <c r="I13" s="246">
        <f t="shared" si="3"/>
        <v>22.376601440256</v>
      </c>
      <c r="J13" s="246">
        <f t="shared" si="3"/>
        <v>22.734627063300096</v>
      </c>
      <c r="K13" s="246">
        <f t="shared" si="3"/>
        <v>23.098381096312899</v>
      </c>
      <c r="L13" s="246">
        <f t="shared" si="3"/>
        <v>23.467955193853907</v>
      </c>
      <c r="M13" s="246">
        <f t="shared" si="3"/>
        <v>23.84344247695557</v>
      </c>
      <c r="N13" s="246">
        <f t="shared" si="3"/>
        <v>24.224937556586859</v>
      </c>
      <c r="O13" s="246">
        <f t="shared" si="3"/>
        <v>24.612536557492248</v>
      </c>
      <c r="P13" s="239">
        <f t="shared" si="3"/>
        <v>25.006337142412125</v>
      </c>
      <c r="Q13" s="239">
        <f t="shared" si="3"/>
        <v>25.406438536690718</v>
      </c>
      <c r="R13" s="239">
        <f t="shared" si="3"/>
        <v>25.812941553277771</v>
      </c>
      <c r="S13" s="239">
        <f t="shared" si="3"/>
        <v>26.225948618130214</v>
      </c>
      <c r="T13" s="239">
        <f t="shared" si="3"/>
        <v>26.645563796020298</v>
      </c>
      <c r="U13" s="239">
        <f t="shared" si="3"/>
        <v>27.071892816756623</v>
      </c>
      <c r="V13" s="239">
        <f t="shared" si="3"/>
        <v>27.505043101824729</v>
      </c>
      <c r="W13" s="239">
        <f t="shared" si="3"/>
        <v>27.945123791453923</v>
      </c>
      <c r="X13" s="239">
        <f t="shared" si="3"/>
        <v>28.392245772117185</v>
      </c>
      <c r="Y13" s="239">
        <f t="shared" si="3"/>
        <v>28.846521704471062</v>
      </c>
      <c r="Z13" s="239">
        <f t="shared" si="3"/>
        <v>29.3080660517426</v>
      </c>
      <c r="AA13" s="239">
        <f t="shared" si="3"/>
        <v>29.776995108570482</v>
      </c>
      <c r="AB13" s="239">
        <f t="shared" si="3"/>
        <v>30.253427030307609</v>
      </c>
      <c r="AC13" s="239">
        <f t="shared" si="3"/>
        <v>30.737481862792531</v>
      </c>
      <c r="AE13" s="240">
        <f>(N13/E13)^(1/($N$5-$E$5))-1</f>
        <v>1.6000000000000014E-2</v>
      </c>
    </row>
    <row r="14" spans="1:31" s="58" customFormat="1" x14ac:dyDescent="0.3">
      <c r="A14" s="58" t="s">
        <v>33</v>
      </c>
      <c r="B14" s="236" t="s">
        <v>201</v>
      </c>
      <c r="C14" s="237" t="s">
        <v>132</v>
      </c>
      <c r="D14" s="58">
        <f>(N14/E14)^(1/($N$5-$E$5))</f>
        <v>1.05</v>
      </c>
      <c r="E14" s="245">
        <v>22</v>
      </c>
      <c r="F14" s="246">
        <f t="shared" ref="F14:AC14" si="4">E14*(1+High_FF_esc)</f>
        <v>23.1</v>
      </c>
      <c r="G14" s="246">
        <f t="shared" si="4"/>
        <v>24.255000000000003</v>
      </c>
      <c r="H14" s="246">
        <f t="shared" si="4"/>
        <v>25.467750000000002</v>
      </c>
      <c r="I14" s="246">
        <f t="shared" si="4"/>
        <v>26.741137500000004</v>
      </c>
      <c r="J14" s="246">
        <f t="shared" si="4"/>
        <v>28.078194375000006</v>
      </c>
      <c r="K14" s="246">
        <f t="shared" si="4"/>
        <v>29.482104093750007</v>
      </c>
      <c r="L14" s="246">
        <f t="shared" si="4"/>
        <v>30.956209298437507</v>
      </c>
      <c r="M14" s="246">
        <f t="shared" si="4"/>
        <v>32.504019763359381</v>
      </c>
      <c r="N14" s="246">
        <f t="shared" si="4"/>
        <v>34.129220751527349</v>
      </c>
      <c r="O14" s="246">
        <f t="shared" si="4"/>
        <v>35.835681789103717</v>
      </c>
      <c r="P14" s="239">
        <f t="shared" si="4"/>
        <v>37.627465878558901</v>
      </c>
      <c r="Q14" s="239">
        <f t="shared" si="4"/>
        <v>39.508839172486844</v>
      </c>
      <c r="R14" s="239">
        <f t="shared" si="4"/>
        <v>41.484281131111189</v>
      </c>
      <c r="S14" s="239">
        <f t="shared" si="4"/>
        <v>43.55849518766675</v>
      </c>
      <c r="T14" s="239">
        <f t="shared" si="4"/>
        <v>45.736419947050088</v>
      </c>
      <c r="U14" s="239">
        <f t="shared" si="4"/>
        <v>48.023240944402595</v>
      </c>
      <c r="V14" s="239">
        <f t="shared" si="4"/>
        <v>50.424402991622728</v>
      </c>
      <c r="W14" s="239">
        <f t="shared" si="4"/>
        <v>52.945623141203868</v>
      </c>
      <c r="X14" s="239">
        <f t="shared" si="4"/>
        <v>55.592904298264067</v>
      </c>
      <c r="Y14" s="239">
        <f t="shared" si="4"/>
        <v>58.372549513177269</v>
      </c>
      <c r="Z14" s="239">
        <f t="shared" si="4"/>
        <v>61.291176988836135</v>
      </c>
      <c r="AA14" s="239">
        <f t="shared" si="4"/>
        <v>64.355735838277951</v>
      </c>
      <c r="AB14" s="239">
        <f t="shared" si="4"/>
        <v>67.573522630191846</v>
      </c>
      <c r="AC14" s="239">
        <f t="shared" si="4"/>
        <v>70.952198761701439</v>
      </c>
      <c r="AE14" s="240">
        <f>(N14/E14)^(1/($N$5-$E$5))-1</f>
        <v>5.0000000000000044E-2</v>
      </c>
    </row>
    <row r="15" spans="1:31" s="58" customFormat="1" x14ac:dyDescent="0.3">
      <c r="B15" s="236"/>
      <c r="C15" s="237"/>
      <c r="E15" s="245"/>
      <c r="F15" s="246"/>
      <c r="G15" s="246"/>
      <c r="H15" s="246"/>
      <c r="I15" s="246"/>
      <c r="J15" s="246"/>
      <c r="K15" s="246"/>
      <c r="L15" s="246"/>
      <c r="M15" s="246"/>
      <c r="N15" s="246"/>
      <c r="O15" s="246"/>
      <c r="P15" s="239"/>
      <c r="Q15" s="239"/>
      <c r="R15" s="239"/>
      <c r="S15" s="239"/>
      <c r="T15" s="239"/>
      <c r="U15" s="239"/>
      <c r="V15" s="239"/>
      <c r="W15" s="239"/>
      <c r="X15" s="239"/>
      <c r="Y15" s="239"/>
      <c r="Z15" s="239"/>
      <c r="AA15" s="239"/>
      <c r="AB15" s="239"/>
      <c r="AC15" s="239"/>
      <c r="AE15" s="240"/>
    </row>
    <row r="16" spans="1:31" x14ac:dyDescent="0.3">
      <c r="A16" s="141" t="s">
        <v>381</v>
      </c>
      <c r="B16" s="236" t="s">
        <v>202</v>
      </c>
      <c r="C16" s="237" t="s">
        <v>132</v>
      </c>
      <c r="D16" s="247">
        <f>(N16/E16)^(1/($N$5-$E$5))</f>
        <v>1.0373929264795838</v>
      </c>
      <c r="E16" s="83">
        <f>'AEO- reference'!H86</f>
        <v>24.832108000000002</v>
      </c>
      <c r="F16" s="83">
        <f>'AEO- reference'!I86</f>
        <v>26.283646000000001</v>
      </c>
      <c r="G16" s="83">
        <f>'AEO- reference'!J86</f>
        <v>27.186351999999999</v>
      </c>
      <c r="H16" s="83">
        <f>'AEO- reference'!K86</f>
        <v>27.95365</v>
      </c>
      <c r="I16" s="83">
        <f>'AEO- reference'!L86</f>
        <v>29.041056000000001</v>
      </c>
      <c r="J16" s="83">
        <f>'AEO- reference'!M86</f>
        <v>30.136413999999998</v>
      </c>
      <c r="K16" s="83">
        <f>'AEO- reference'!N86</f>
        <v>31.173594999999999</v>
      </c>
      <c r="L16" s="83">
        <f>'AEO- reference'!O86</f>
        <v>32.145988000000003</v>
      </c>
      <c r="M16" s="83">
        <f>'AEO- reference'!P86</f>
        <v>33.555850999999997</v>
      </c>
      <c r="N16" s="83">
        <f>'AEO- reference'!Q86</f>
        <v>34.554381999999997</v>
      </c>
      <c r="O16" s="83">
        <f>'AEO- reference'!R86</f>
        <v>36.190018000000002</v>
      </c>
    </row>
    <row r="17" spans="1:32" s="58" customFormat="1" x14ac:dyDescent="0.3">
      <c r="A17" s="58" t="s">
        <v>32</v>
      </c>
      <c r="B17" s="236" t="s">
        <v>202</v>
      </c>
      <c r="C17" s="237" t="s">
        <v>132</v>
      </c>
      <c r="D17" s="58">
        <f>(N17/E17)^(1/($N$5-$E$5))</f>
        <v>0.99</v>
      </c>
      <c r="E17" s="245">
        <v>23</v>
      </c>
      <c r="F17" s="246">
        <f t="shared" ref="F17:AC17" si="5">E17*(1+Low_FF_esc)</f>
        <v>22.77</v>
      </c>
      <c r="G17" s="246">
        <f t="shared" si="5"/>
        <v>22.542300000000001</v>
      </c>
      <c r="H17" s="246">
        <f t="shared" si="5"/>
        <v>22.316877000000002</v>
      </c>
      <c r="I17" s="246">
        <f t="shared" si="5"/>
        <v>22.093708230000001</v>
      </c>
      <c r="J17" s="246">
        <f t="shared" si="5"/>
        <v>21.8727711477</v>
      </c>
      <c r="K17" s="246">
        <f t="shared" si="5"/>
        <v>21.654043436222999</v>
      </c>
      <c r="L17" s="246">
        <f t="shared" si="5"/>
        <v>21.437503001860769</v>
      </c>
      <c r="M17" s="246">
        <f t="shared" si="5"/>
        <v>21.22312797184216</v>
      </c>
      <c r="N17" s="246">
        <f t="shared" si="5"/>
        <v>21.01089669212374</v>
      </c>
      <c r="O17" s="246">
        <f t="shared" si="5"/>
        <v>20.800787725202504</v>
      </c>
      <c r="P17" s="239">
        <f t="shared" si="5"/>
        <v>20.592779847950478</v>
      </c>
      <c r="Q17" s="239">
        <f t="shared" si="5"/>
        <v>20.386852049470974</v>
      </c>
      <c r="R17" s="239">
        <f t="shared" si="5"/>
        <v>20.182983528976266</v>
      </c>
      <c r="S17" s="239">
        <f t="shared" si="5"/>
        <v>19.981153693686501</v>
      </c>
      <c r="T17" s="239">
        <f t="shared" si="5"/>
        <v>19.781342156749634</v>
      </c>
      <c r="U17" s="239">
        <f t="shared" si="5"/>
        <v>19.583528735182139</v>
      </c>
      <c r="V17" s="239">
        <f t="shared" si="5"/>
        <v>19.387693447830316</v>
      </c>
      <c r="W17" s="239">
        <f t="shared" si="5"/>
        <v>19.193816513352012</v>
      </c>
      <c r="X17" s="239">
        <f t="shared" si="5"/>
        <v>19.00187834821849</v>
      </c>
      <c r="Y17" s="239">
        <f t="shared" si="5"/>
        <v>18.811859564736306</v>
      </c>
      <c r="Z17" s="239">
        <f t="shared" si="5"/>
        <v>18.623740969088942</v>
      </c>
      <c r="AA17" s="239">
        <f t="shared" si="5"/>
        <v>18.437503559398053</v>
      </c>
      <c r="AB17" s="239">
        <f t="shared" si="5"/>
        <v>18.253128523804072</v>
      </c>
      <c r="AC17" s="239">
        <f t="shared" si="5"/>
        <v>18.07059723856603</v>
      </c>
      <c r="AE17" s="240">
        <f>(N17/E17)^(1/($N$5-$E$5))-1</f>
        <v>-1.0000000000000009E-2</v>
      </c>
      <c r="AF17" s="58">
        <f t="shared" ref="AF17:AF18" si="6">N17/E17</f>
        <v>0.91351724748364094</v>
      </c>
    </row>
    <row r="18" spans="1:32" s="58" customFormat="1" x14ac:dyDescent="0.3">
      <c r="A18" s="58" t="s">
        <v>43</v>
      </c>
      <c r="B18" s="236" t="s">
        <v>202</v>
      </c>
      <c r="C18" s="237" t="s">
        <v>132</v>
      </c>
      <c r="D18" s="58">
        <f>(N18/E18)^(1/($N$5-$E$5))</f>
        <v>1.016</v>
      </c>
      <c r="E18" s="245">
        <v>24</v>
      </c>
      <c r="F18" s="246">
        <f t="shared" ref="F18:AC18" si="7">E18*(1+Mid_FF_esc)</f>
        <v>24.384</v>
      </c>
      <c r="G18" s="246">
        <f t="shared" si="7"/>
        <v>24.774144</v>
      </c>
      <c r="H18" s="246">
        <f t="shared" si="7"/>
        <v>25.170530304</v>
      </c>
      <c r="I18" s="246">
        <f t="shared" si="7"/>
        <v>25.573258788863999</v>
      </c>
      <c r="J18" s="246">
        <f t="shared" si="7"/>
        <v>25.982430929485822</v>
      </c>
      <c r="K18" s="246">
        <f t="shared" si="7"/>
        <v>26.398149824357596</v>
      </c>
      <c r="L18" s="246">
        <f t="shared" si="7"/>
        <v>26.820520221547316</v>
      </c>
      <c r="M18" s="246">
        <f t="shared" si="7"/>
        <v>27.249648545092072</v>
      </c>
      <c r="N18" s="246">
        <f t="shared" si="7"/>
        <v>27.685642921813546</v>
      </c>
      <c r="O18" s="246">
        <f t="shared" si="7"/>
        <v>28.128613208562562</v>
      </c>
      <c r="P18" s="239">
        <f t="shared" si="7"/>
        <v>28.578671019899563</v>
      </c>
      <c r="Q18" s="239">
        <f t="shared" si="7"/>
        <v>29.035929756217957</v>
      </c>
      <c r="R18" s="239">
        <f t="shared" si="7"/>
        <v>29.500504632317444</v>
      </c>
      <c r="S18" s="239">
        <f t="shared" si="7"/>
        <v>29.972512706434525</v>
      </c>
      <c r="T18" s="239">
        <f t="shared" si="7"/>
        <v>30.452072909737478</v>
      </c>
      <c r="U18" s="239">
        <f t="shared" si="7"/>
        <v>30.939306076293278</v>
      </c>
      <c r="V18" s="239">
        <f t="shared" si="7"/>
        <v>31.43433497351397</v>
      </c>
      <c r="W18" s="239">
        <f t="shared" si="7"/>
        <v>31.937284333090194</v>
      </c>
      <c r="X18" s="239">
        <f t="shared" si="7"/>
        <v>32.448280882419638</v>
      </c>
      <c r="Y18" s="239">
        <f t="shared" si="7"/>
        <v>32.967453376538352</v>
      </c>
      <c r="Z18" s="239">
        <f t="shared" si="7"/>
        <v>33.494932630562964</v>
      </c>
      <c r="AA18" s="239">
        <f t="shared" si="7"/>
        <v>34.030851552651974</v>
      </c>
      <c r="AB18" s="239">
        <f t="shared" si="7"/>
        <v>34.575345177494405</v>
      </c>
      <c r="AC18" s="239">
        <f t="shared" si="7"/>
        <v>35.128550700334316</v>
      </c>
      <c r="AE18" s="240">
        <f>(N18/E18)^(1/($N$5-$E$5))-1</f>
        <v>1.6000000000000014E-2</v>
      </c>
      <c r="AF18" s="58">
        <f t="shared" si="6"/>
        <v>1.1535684550755645</v>
      </c>
    </row>
    <row r="19" spans="1:32" s="58" customFormat="1" x14ac:dyDescent="0.3">
      <c r="A19" s="58" t="s">
        <v>33</v>
      </c>
      <c r="B19" s="236" t="s">
        <v>202</v>
      </c>
      <c r="C19" s="237" t="s">
        <v>132</v>
      </c>
      <c r="D19" s="58">
        <f>(N19/E19)^(1/($N$5-$E$5))</f>
        <v>1.05</v>
      </c>
      <c r="E19" s="238">
        <v>24</v>
      </c>
      <c r="F19" s="239">
        <f t="shared" ref="F19:AC19" si="8">E19*(1+High_FF_esc)</f>
        <v>25.200000000000003</v>
      </c>
      <c r="G19" s="239">
        <f t="shared" si="8"/>
        <v>26.460000000000004</v>
      </c>
      <c r="H19" s="239">
        <f t="shared" si="8"/>
        <v>27.783000000000005</v>
      </c>
      <c r="I19" s="239">
        <f t="shared" si="8"/>
        <v>29.172150000000006</v>
      </c>
      <c r="J19" s="239">
        <f t="shared" si="8"/>
        <v>30.630757500000009</v>
      </c>
      <c r="K19" s="239">
        <f t="shared" si="8"/>
        <v>32.162295375000014</v>
      </c>
      <c r="L19" s="239">
        <f t="shared" si="8"/>
        <v>33.770410143750013</v>
      </c>
      <c r="M19" s="239">
        <f t="shared" si="8"/>
        <v>35.458930650937518</v>
      </c>
      <c r="N19" s="239">
        <f t="shared" si="8"/>
        <v>37.231877183484393</v>
      </c>
      <c r="O19" s="239">
        <f t="shared" si="8"/>
        <v>39.093471042658614</v>
      </c>
      <c r="P19" s="239">
        <f t="shared" si="8"/>
        <v>41.048144594791545</v>
      </c>
      <c r="Q19" s="239">
        <f t="shared" si="8"/>
        <v>43.100551824531124</v>
      </c>
      <c r="R19" s="239">
        <f t="shared" si="8"/>
        <v>45.25557941575768</v>
      </c>
      <c r="S19" s="239">
        <f t="shared" si="8"/>
        <v>47.518358386545565</v>
      </c>
      <c r="T19" s="239">
        <f t="shared" si="8"/>
        <v>49.894276305872843</v>
      </c>
      <c r="U19" s="239">
        <f t="shared" si="8"/>
        <v>52.388990121166486</v>
      </c>
      <c r="V19" s="239">
        <f t="shared" si="8"/>
        <v>55.00843962722481</v>
      </c>
      <c r="W19" s="239">
        <f t="shared" si="8"/>
        <v>57.758861608586052</v>
      </c>
      <c r="X19" s="239">
        <f t="shared" si="8"/>
        <v>60.646804689015354</v>
      </c>
      <c r="Y19" s="239">
        <f t="shared" si="8"/>
        <v>63.679144923466126</v>
      </c>
      <c r="Z19" s="239">
        <f t="shared" si="8"/>
        <v>66.863102169639433</v>
      </c>
      <c r="AA19" s="239">
        <f t="shared" si="8"/>
        <v>70.206257278121413</v>
      </c>
      <c r="AB19" s="239">
        <f t="shared" si="8"/>
        <v>73.716570142027493</v>
      </c>
      <c r="AC19" s="239">
        <f t="shared" si="8"/>
        <v>77.40239864912887</v>
      </c>
      <c r="AE19" s="240">
        <f>(N19/E19)^(1/($N$5-$E$5))-1</f>
        <v>5.0000000000000044E-2</v>
      </c>
      <c r="AF19" s="58">
        <f>N19/E19</f>
        <v>1.5513282159785164</v>
      </c>
    </row>
    <row r="20" spans="1:32" x14ac:dyDescent="0.3">
      <c r="B20" s="39"/>
      <c r="C20" s="40"/>
      <c r="E20" s="104"/>
      <c r="F20" s="61"/>
      <c r="G20" s="61"/>
      <c r="H20" s="61"/>
      <c r="I20" s="61"/>
      <c r="J20" s="61"/>
      <c r="K20" s="61"/>
      <c r="L20" s="61"/>
      <c r="M20" s="61"/>
      <c r="N20" s="61"/>
      <c r="O20" s="61"/>
      <c r="P20" s="61"/>
      <c r="Q20" s="61"/>
      <c r="R20" s="61"/>
      <c r="S20" s="61"/>
      <c r="T20" s="61"/>
      <c r="U20" s="61"/>
      <c r="V20" s="61"/>
      <c r="W20" s="61"/>
      <c r="X20" s="61"/>
      <c r="Y20" s="61"/>
      <c r="Z20" s="61"/>
      <c r="AA20" s="61"/>
      <c r="AB20" s="61"/>
      <c r="AC20" s="61"/>
      <c r="AE20" s="2"/>
    </row>
    <row r="21" spans="1:32" x14ac:dyDescent="0.3">
      <c r="A21" t="s">
        <v>16</v>
      </c>
      <c r="B21" s="33" t="s">
        <v>79</v>
      </c>
      <c r="C21" t="s">
        <v>52</v>
      </c>
      <c r="D21" s="31">
        <v>0.5</v>
      </c>
      <c r="E21" s="31">
        <v>1</v>
      </c>
      <c r="F21" s="31">
        <v>1</v>
      </c>
      <c r="G21" s="31">
        <v>1</v>
      </c>
      <c r="H21" s="31">
        <v>1</v>
      </c>
      <c r="I21" s="31">
        <v>1</v>
      </c>
      <c r="J21" s="31">
        <v>1</v>
      </c>
      <c r="K21" s="31">
        <v>1</v>
      </c>
      <c r="L21" s="31">
        <v>1</v>
      </c>
      <c r="M21" s="31">
        <v>1</v>
      </c>
      <c r="N21" s="31">
        <v>1</v>
      </c>
      <c r="O21" s="31">
        <v>2</v>
      </c>
      <c r="P21" s="2"/>
      <c r="Q21" s="345"/>
      <c r="R21" s="22"/>
      <c r="S21" s="22"/>
      <c r="T21" s="22"/>
      <c r="U21" s="22"/>
    </row>
    <row r="22" spans="1:32" x14ac:dyDescent="0.3">
      <c r="A22" t="s">
        <v>17</v>
      </c>
      <c r="B22" s="33" t="s">
        <v>79</v>
      </c>
      <c r="C22" t="s">
        <v>52</v>
      </c>
      <c r="D22" s="31">
        <v>1</v>
      </c>
      <c r="E22" s="31">
        <v>1</v>
      </c>
      <c r="F22" s="31">
        <f>E22*1.2</f>
        <v>1.2</v>
      </c>
      <c r="G22" s="31">
        <f t="shared" ref="G22:O22" si="9">F22*1.2</f>
        <v>1.44</v>
      </c>
      <c r="H22" s="31">
        <f t="shared" si="9"/>
        <v>1.728</v>
      </c>
      <c r="I22" s="31">
        <f t="shared" si="9"/>
        <v>2.0735999999999999</v>
      </c>
      <c r="J22" s="31">
        <f t="shared" si="9"/>
        <v>2.4883199999999999</v>
      </c>
      <c r="K22" s="31">
        <f t="shared" si="9"/>
        <v>2.9859839999999997</v>
      </c>
      <c r="L22" s="31">
        <f t="shared" si="9"/>
        <v>3.5831807999999996</v>
      </c>
      <c r="M22" s="31">
        <f t="shared" si="9"/>
        <v>4.2998169599999994</v>
      </c>
      <c r="N22" s="31">
        <f t="shared" si="9"/>
        <v>5.1597803519999994</v>
      </c>
      <c r="O22" s="31">
        <f t="shared" si="9"/>
        <v>6.1917364223999991</v>
      </c>
      <c r="P22" s="2"/>
      <c r="Q22" s="345"/>
      <c r="R22" s="22"/>
      <c r="S22" s="22"/>
      <c r="T22" s="22"/>
      <c r="U22" s="22"/>
    </row>
    <row r="23" spans="1:32" x14ac:dyDescent="0.3">
      <c r="A23" t="s">
        <v>18</v>
      </c>
      <c r="B23" s="33" t="s">
        <v>79</v>
      </c>
      <c r="C23" t="s">
        <v>52</v>
      </c>
      <c r="D23" s="31">
        <v>1</v>
      </c>
      <c r="E23" s="31">
        <v>3</v>
      </c>
      <c r="F23" s="31">
        <v>4</v>
      </c>
      <c r="G23" s="31">
        <v>5</v>
      </c>
      <c r="H23" s="31">
        <v>6</v>
      </c>
      <c r="I23" s="31">
        <v>7</v>
      </c>
      <c r="J23" s="31">
        <v>8</v>
      </c>
      <c r="K23" s="31">
        <v>9</v>
      </c>
      <c r="L23" s="31">
        <v>10</v>
      </c>
      <c r="M23" s="31">
        <v>10</v>
      </c>
      <c r="N23" s="31">
        <v>10</v>
      </c>
      <c r="O23" s="31">
        <v>11</v>
      </c>
      <c r="P23" s="2"/>
      <c r="Q23" s="22"/>
      <c r="R23" s="22"/>
      <c r="S23" s="22"/>
      <c r="T23" s="22"/>
      <c r="U23" s="22"/>
    </row>
    <row r="24" spans="1:32" x14ac:dyDescent="0.3">
      <c r="B24" s="33"/>
    </row>
    <row r="25" spans="1:32" x14ac:dyDescent="0.3">
      <c r="A25" t="s">
        <v>16</v>
      </c>
      <c r="B25" s="33" t="s">
        <v>80</v>
      </c>
      <c r="C25" t="s">
        <v>52</v>
      </c>
      <c r="D25" s="41"/>
      <c r="E25" s="31">
        <v>15</v>
      </c>
      <c r="F25" s="31">
        <v>8</v>
      </c>
      <c r="G25" s="31">
        <v>10</v>
      </c>
      <c r="H25" s="31">
        <v>12</v>
      </c>
      <c r="I25" s="31">
        <v>15</v>
      </c>
      <c r="J25" s="31">
        <v>15</v>
      </c>
      <c r="K25" s="31">
        <v>15</v>
      </c>
      <c r="L25" s="31">
        <v>15</v>
      </c>
      <c r="M25" s="31">
        <v>15</v>
      </c>
      <c r="N25" s="31">
        <v>15</v>
      </c>
      <c r="O25" s="31">
        <v>15</v>
      </c>
      <c r="P25" s="22"/>
      <c r="Q25" s="22"/>
      <c r="R25" s="22"/>
      <c r="S25" s="22"/>
      <c r="T25" s="22"/>
      <c r="U25" s="22"/>
    </row>
    <row r="26" spans="1:32" x14ac:dyDescent="0.3">
      <c r="A26" t="s">
        <v>17</v>
      </c>
      <c r="B26" s="33" t="s">
        <v>80</v>
      </c>
      <c r="C26" t="s">
        <v>52</v>
      </c>
      <c r="D26" s="31"/>
      <c r="E26" s="31">
        <v>25</v>
      </c>
      <c r="F26" s="31">
        <v>25</v>
      </c>
      <c r="G26" s="31">
        <v>25</v>
      </c>
      <c r="H26" s="31">
        <v>25</v>
      </c>
      <c r="I26" s="31">
        <v>25</v>
      </c>
      <c r="J26" s="31">
        <v>25</v>
      </c>
      <c r="K26" s="31">
        <v>25</v>
      </c>
      <c r="L26" s="31">
        <v>25</v>
      </c>
      <c r="M26" s="31">
        <v>25</v>
      </c>
      <c r="N26" s="31">
        <v>25</v>
      </c>
      <c r="O26" s="31">
        <v>25</v>
      </c>
      <c r="P26" s="22"/>
      <c r="Q26" s="22"/>
      <c r="R26" s="22"/>
      <c r="S26" s="22"/>
      <c r="T26" s="22"/>
      <c r="U26" s="22"/>
    </row>
    <row r="27" spans="1:32" x14ac:dyDescent="0.3">
      <c r="A27" t="s">
        <v>18</v>
      </c>
      <c r="B27" s="33" t="s">
        <v>80</v>
      </c>
      <c r="C27" t="s">
        <v>52</v>
      </c>
      <c r="D27" s="31"/>
      <c r="E27" s="31">
        <v>30</v>
      </c>
      <c r="F27" s="31">
        <v>31</v>
      </c>
      <c r="G27" s="31">
        <v>32</v>
      </c>
      <c r="H27" s="31">
        <v>35</v>
      </c>
      <c r="I27" s="31">
        <v>37</v>
      </c>
      <c r="J27" s="31">
        <v>40</v>
      </c>
      <c r="K27" s="31">
        <v>40</v>
      </c>
      <c r="L27" s="31">
        <v>40</v>
      </c>
      <c r="M27" s="31">
        <v>40</v>
      </c>
      <c r="N27" s="31">
        <v>40</v>
      </c>
      <c r="O27" s="31">
        <v>40</v>
      </c>
      <c r="P27" s="22"/>
      <c r="Q27" s="345"/>
      <c r="R27" s="22"/>
      <c r="S27" s="22"/>
      <c r="T27" s="22"/>
      <c r="U27" s="22"/>
    </row>
    <row r="28" spans="1:32" x14ac:dyDescent="0.3">
      <c r="Q28" s="345"/>
    </row>
    <row r="30" spans="1:32" ht="15" thickBot="1" x14ac:dyDescent="0.35"/>
    <row r="31" spans="1:32" x14ac:dyDescent="0.3">
      <c r="A31" s="172" t="s">
        <v>204</v>
      </c>
      <c r="B31" s="153"/>
      <c r="C31" s="153"/>
      <c r="D31" s="153"/>
      <c r="E31" s="153"/>
      <c r="F31" s="153"/>
      <c r="G31" s="153"/>
      <c r="H31" s="153"/>
      <c r="I31" s="153"/>
      <c r="J31" s="153"/>
      <c r="K31" s="153"/>
      <c r="L31" s="153"/>
      <c r="M31" s="153"/>
      <c r="N31" s="153"/>
      <c r="O31" s="563"/>
    </row>
    <row r="32" spans="1:32" x14ac:dyDescent="0.3">
      <c r="A32" s="154"/>
      <c r="B32" s="155"/>
      <c r="C32" s="155"/>
      <c r="D32" s="155"/>
      <c r="E32" s="155"/>
      <c r="F32" s="155"/>
      <c r="G32" s="155"/>
      <c r="H32" s="155"/>
      <c r="I32" s="155"/>
      <c r="J32" s="155"/>
      <c r="K32" s="155"/>
      <c r="L32" s="155"/>
      <c r="M32" s="155"/>
      <c r="N32" s="155"/>
      <c r="O32" s="279"/>
    </row>
    <row r="33" spans="1:31" x14ac:dyDescent="0.3">
      <c r="A33" s="154"/>
      <c r="B33" s="155" t="s">
        <v>159</v>
      </c>
      <c r="C33" s="157" t="s">
        <v>64</v>
      </c>
      <c r="D33" s="155">
        <f>(N33/E33)^(1/($N$5-$E$5))</f>
        <v>1.0385114422968182</v>
      </c>
      <c r="E33" s="158">
        <f>(E6*CCHP_LMP_multiplier+('price forecasts'!E7*12/8.76*FCM_coincidence)+('price forecasts'!E8/8.76*RNS_coincidence))*($B$3^(E$5-base_year))</f>
        <v>52.229039726027409</v>
      </c>
      <c r="F33" s="158">
        <f>(F6*CCHP_LMP_multiplier+('price forecasts'!F7*12/8.76*FCM_coincidence)+('price forecasts'!F8/8.76*RNS_coincidence))*($B$3^(F$5-base_year))</f>
        <v>48.431591687328776</v>
      </c>
      <c r="G33" s="158">
        <f>(G6*CCHP_LMP_multiplier+('price forecasts'!G7*12/8.76*FCM_coincidence)+('price forecasts'!G8/8.76*RNS_coincidence))*($B$3^(G$5-base_year))</f>
        <v>50.030427298236305</v>
      </c>
      <c r="H33" s="158">
        <f>(H6*CCHP_LMP_multiplier+('price forecasts'!H7*12/8.76*FCM_coincidence)+('price forecasts'!H8/8.76*RNS_coincidence))*($B$3^(H$5-base_year))</f>
        <v>52.022293286575618</v>
      </c>
      <c r="I33" s="158">
        <f>(I6*CCHP_LMP_multiplier+('price forecasts'!I7*12/8.76*FCM_coincidence)+('price forecasts'!I8/8.76*RNS_coincidence))*($B$3^(I$5-base_year))</f>
        <v>54.392295713301955</v>
      </c>
      <c r="J33" s="158">
        <f>(J6*CCHP_LMP_multiplier+('price forecasts'!J7*12/8.76*FCM_coincidence)+('price forecasts'!J8/8.76*RNS_coincidence))*($B$3^(J$5-base_year))</f>
        <v>56.378866528346215</v>
      </c>
      <c r="K33" s="158">
        <f>(K6*CCHP_LMP_multiplier+('price forecasts'!K7*12/8.76*FCM_coincidence)+('price forecasts'!K8/8.76*RNS_coincidence))*($B$3^(K$5-base_year))</f>
        <v>59.895168878839478</v>
      </c>
      <c r="L33" s="158">
        <f>(L6*CCHP_LMP_multiplier+('price forecasts'!L7*12/8.76*FCM_coincidence)+('price forecasts'!L8/8.76*RNS_coincidence))*($B$3^(L$5-base_year))</f>
        <v>63.600466374419824</v>
      </c>
      <c r="M33" s="158">
        <f>(M6*CCHP_LMP_multiplier+('price forecasts'!M7*12/8.76*FCM_coincidence)+('price forecasts'!M8/8.76*RNS_coincidence))*($B$3^(M$5-base_year))</f>
        <v>68.535667073645371</v>
      </c>
      <c r="N33" s="158">
        <f>(N6*CCHP_LMP_multiplier+('price forecasts'!N7*12/8.76*FCM_coincidence)+('price forecasts'!N8/8.76*RNS_coincidence))*($B$3^(N$5-base_year))</f>
        <v>73.386067252346237</v>
      </c>
      <c r="O33" s="159">
        <f>(O6*CCHP_LMP_multiplier+('price forecasts'!O7*12/8.76*FCM_coincidence)+('price forecasts'!O8/8.76*RNS_coincidence))*($B$3^(O$5-base_year))</f>
        <v>78.608513519217837</v>
      </c>
    </row>
    <row r="34" spans="1:31" x14ac:dyDescent="0.3">
      <c r="A34" s="154"/>
      <c r="B34" s="155" t="s">
        <v>160</v>
      </c>
      <c r="C34" s="157" t="s">
        <v>64</v>
      </c>
      <c r="D34" s="155">
        <f>(N34/E34)^(1/($N$5-$E$5))</f>
        <v>1.038605366655561</v>
      </c>
      <c r="E34" s="158">
        <f>(E6*EV_LMP_multiplier+('price forecasts'!E7*12/8.76*FCM_coincidence)+('price forecasts'!E8/8.76*RNS_coincidence))*($B$3^(E$5-base_year))</f>
        <v>48.676559726027406</v>
      </c>
      <c r="F34" s="158">
        <f>(F6*EV_LMP_multiplier+('price forecasts'!F7*12/8.76*FCM_coincidence)+('price forecasts'!F8/8.76*RNS_coincidence))*($B$3^(F$5-base_year))</f>
        <v>45.154356260662105</v>
      </c>
      <c r="G34" s="158">
        <f>(G6*EV_LMP_multiplier+('price forecasts'!G7*12/8.76*FCM_coincidence)+('price forecasts'!G8/8.76*RNS_coincidence))*($B$3^(G$5-base_year))</f>
        <v>46.640668200236306</v>
      </c>
      <c r="H34" s="158">
        <f>(H6*EV_LMP_multiplier+('price forecasts'!H7*12/8.76*FCM_coincidence)+('price forecasts'!H8/8.76*RNS_coincidence))*($B$3^(H$5-base_year))</f>
        <v>48.488008545833686</v>
      </c>
      <c r="I34" s="158">
        <f>(I6*EV_LMP_multiplier+('price forecasts'!I7*12/8.76*FCM_coincidence)+('price forecasts'!I8/8.76*RNS_coincidence))*($B$3^(I$5-base_year))</f>
        <v>50.708376313815585</v>
      </c>
      <c r="J34" s="158">
        <f>(J6*EV_LMP_multiplier+('price forecasts'!J7*12/8.76*FCM_coincidence)+('price forecasts'!J8/8.76*RNS_coincidence))*($B$3^(J$5-base_year))</f>
        <v>52.573097913406599</v>
      </c>
      <c r="K34" s="158">
        <f>(K6*EV_LMP_multiplier+('price forecasts'!K7*12/8.76*FCM_coincidence)+('price forecasts'!K8/8.76*RNS_coincidence))*($B$3^(K$5-base_year))</f>
        <v>55.857057297850979</v>
      </c>
      <c r="L34" s="158">
        <f>(L6*EV_LMP_multiplier+('price forecasts'!L7*12/8.76*FCM_coincidence)+('price forecasts'!L8/8.76*RNS_coincidence))*($B$3^(L$5-base_year))</f>
        <v>59.320436035845908</v>
      </c>
      <c r="M34" s="158">
        <f>(M6*EV_LMP_multiplier+('price forecasts'!M7*12/8.76*FCM_coincidence)+('price forecasts'!M8/8.76*RNS_coincidence))*($B$3^(M$5-base_year))</f>
        <v>63.923124370175522</v>
      </c>
      <c r="N34" s="158">
        <f>(N6*EV_LMP_multiplier+('price forecasts'!N7*12/8.76*FCM_coincidence)+('price forecasts'!N8/8.76*RNS_coincidence))*($B$3^(N$5-base_year))</f>
        <v>68.450234047052206</v>
      </c>
      <c r="O34" s="159">
        <f>(O6*EV_LMP_multiplier+('price forecasts'!O7*12/8.76*FCM_coincidence)+('price forecasts'!O8/8.76*RNS_coincidence))*($B$3^(O$5-base_year))</f>
        <v>73.324095956791695</v>
      </c>
    </row>
    <row r="35" spans="1:31" x14ac:dyDescent="0.3">
      <c r="A35" s="154"/>
      <c r="B35" s="155" t="s">
        <v>173</v>
      </c>
      <c r="C35" s="157" t="s">
        <v>64</v>
      </c>
      <c r="D35" s="155">
        <f>(N35/E35)^(1/($N$5-$E$5))</f>
        <v>1.0385685893373942</v>
      </c>
      <c r="E35" s="158">
        <f>(E6*Custom_LMP_multiplier+('price forecasts'!E7*12/8.76*FCM_coincidence)+('price forecasts'!E8/8.76*RNS_coincidence))*($B$3^(E$5-base_year))</f>
        <v>50.008739726027407</v>
      </c>
      <c r="F35" s="158">
        <f>(F6*Custom_LMP_multiplier+('price forecasts'!F7*12/8.76*FCM_coincidence)+('price forecasts'!F8/8.76*RNS_coincidence))*($B$3^(F$5-base_year))</f>
        <v>46.383319545662104</v>
      </c>
      <c r="G35" s="158">
        <f>(G6*Custom_LMP_multiplier+('price forecasts'!G7*12/8.76*FCM_coincidence)+('price forecasts'!G8/8.76*RNS_coincidence))*($B$3^(G$5-base_year))</f>
        <v>47.911827861986303</v>
      </c>
      <c r="H35" s="158">
        <f>(H6*Custom_LMP_multiplier+('price forecasts'!H7*12/8.76*FCM_coincidence)+('price forecasts'!H8/8.76*RNS_coincidence))*($B$3^(H$5-base_year))</f>
        <v>49.813365323611912</v>
      </c>
      <c r="I35" s="158">
        <f>(I6*Custom_LMP_multiplier+('price forecasts'!I7*12/8.76*FCM_coincidence)+('price forecasts'!I8/8.76*RNS_coincidence))*($B$3^(I$5-base_year))</f>
        <v>52.08984608862297</v>
      </c>
      <c r="J35" s="158">
        <f>(J6*Custom_LMP_multiplier+('price forecasts'!J7*12/8.76*FCM_coincidence)+('price forecasts'!J8/8.76*RNS_coincidence))*($B$3^(J$5-base_year))</f>
        <v>54.000261144008959</v>
      </c>
      <c r="K35" s="158">
        <f>(K6*Custom_LMP_multiplier+('price forecasts'!K7*12/8.76*FCM_coincidence)+('price forecasts'!K8/8.76*RNS_coincidence))*($B$3^(K$5-base_year))</f>
        <v>57.371349140721669</v>
      </c>
      <c r="L35" s="158">
        <f>(L6*Custom_LMP_multiplier+('price forecasts'!L7*12/8.76*FCM_coincidence)+('price forecasts'!L8/8.76*RNS_coincidence))*($B$3^(L$5-base_year))</f>
        <v>60.925447412811124</v>
      </c>
      <c r="M35" s="158">
        <f>(M6*Custom_LMP_multiplier+('price forecasts'!M7*12/8.76*FCM_coincidence)+('price forecasts'!M8/8.76*RNS_coincidence))*($B$3^(M$5-base_year))</f>
        <v>65.652827883976713</v>
      </c>
      <c r="N35" s="158">
        <f>(N6*Custom_LMP_multiplier+('price forecasts'!N7*12/8.76*FCM_coincidence)+('price forecasts'!N8/8.76*RNS_coincidence))*($B$3^(N$5-base_year))</f>
        <v>70.30117149903748</v>
      </c>
      <c r="O35" s="159">
        <f>(O6*Custom_LMP_multiplier+('price forecasts'!O7*12/8.76*FCM_coincidence)+('price forecasts'!O8/8.76*RNS_coincidence))*($B$3^(O$5-base_year))</f>
        <v>75.305752542701498</v>
      </c>
    </row>
    <row r="36" spans="1:31" x14ac:dyDescent="0.3">
      <c r="A36" s="154"/>
      <c r="B36" s="155" t="s">
        <v>174</v>
      </c>
      <c r="C36" s="157" t="s">
        <v>64</v>
      </c>
      <c r="D36" s="155">
        <f>(N36/E36)^(1/($N$5-$E$5))</f>
        <v>1.0385685893373942</v>
      </c>
      <c r="E36" s="158">
        <f>(E6*Custom_LMP_multiplier+('price forecasts'!E7*12/8.76*FCM_coincidence)+('price forecasts'!E8/8.76*RNS_coincidence))*($B$3^(E$5-base_year))</f>
        <v>50.008739726027407</v>
      </c>
      <c r="F36" s="158">
        <f>(F6*Custom_LMP_multiplier+('price forecasts'!F7*12/8.76*FCM_coincidence)+('price forecasts'!F8/8.76*RNS_coincidence))*($B$3^(F$5-base_year))</f>
        <v>46.383319545662104</v>
      </c>
      <c r="G36" s="158">
        <f>(G6*Custom_LMP_multiplier+('price forecasts'!G7*12/8.76*FCM_coincidence)+('price forecasts'!G8/8.76*RNS_coincidence))*($B$3^(G$5-base_year))</f>
        <v>47.911827861986303</v>
      </c>
      <c r="H36" s="158">
        <f>(H6*Custom_LMP_multiplier+('price forecasts'!H7*12/8.76*FCM_coincidence)+('price forecasts'!H8/8.76*RNS_coincidence))*($B$3^(H$5-base_year))</f>
        <v>49.813365323611912</v>
      </c>
      <c r="I36" s="158">
        <f>(I6*Custom_LMP_multiplier+('price forecasts'!I7*12/8.76*FCM_coincidence)+('price forecasts'!I8/8.76*RNS_coincidence))*($B$3^(I$5-base_year))</f>
        <v>52.08984608862297</v>
      </c>
      <c r="J36" s="158">
        <f>(J6*Custom_LMP_multiplier+('price forecasts'!J7*12/8.76*FCM_coincidence)+('price forecasts'!J8/8.76*RNS_coincidence))*($B$3^(J$5-base_year))</f>
        <v>54.000261144008959</v>
      </c>
      <c r="K36" s="158">
        <f>(K6*Custom_LMP_multiplier+('price forecasts'!K7*12/8.76*FCM_coincidence)+('price forecasts'!K8/8.76*RNS_coincidence))*($B$3^(K$5-base_year))</f>
        <v>57.371349140721669</v>
      </c>
      <c r="L36" s="158">
        <f>(L6*Custom_LMP_multiplier+('price forecasts'!L7*12/8.76*FCM_coincidence)+('price forecasts'!L8/8.76*RNS_coincidence))*($B$3^(L$5-base_year))</f>
        <v>60.925447412811124</v>
      </c>
      <c r="M36" s="158">
        <f>(M6*Custom_LMP_multiplier+('price forecasts'!M7*12/8.76*FCM_coincidence)+('price forecasts'!M8/8.76*RNS_coincidence))*($B$3^(M$5-base_year))</f>
        <v>65.652827883976713</v>
      </c>
      <c r="N36" s="158">
        <f>(N6*Custom_LMP_multiplier+('price forecasts'!N7*12/8.76*FCM_coincidence)+('price forecasts'!N8/8.76*RNS_coincidence))*($B$3^(N$5-base_year))</f>
        <v>70.30117149903748</v>
      </c>
      <c r="O36" s="159">
        <f>(O6*Custom_LMP_multiplier+('price forecasts'!O7*12/8.76*FCM_coincidence)+('price forecasts'!O8/8.76*RNS_coincidence))*($B$3^(O$5-base_year))</f>
        <v>75.305752542701498</v>
      </c>
      <c r="AE36" s="240">
        <f>(N36/E36)^(1/($N$5-$E$5))-1</f>
        <v>3.8568589337394155E-2</v>
      </c>
    </row>
    <row r="37" spans="1:31" x14ac:dyDescent="0.3">
      <c r="A37" s="154"/>
      <c r="B37" s="155"/>
      <c r="C37" s="157"/>
      <c r="D37" s="155"/>
      <c r="E37" s="158"/>
      <c r="F37" s="158"/>
      <c r="G37" s="158"/>
      <c r="H37" s="158"/>
      <c r="I37" s="158"/>
      <c r="J37" s="158"/>
      <c r="K37" s="158"/>
      <c r="L37" s="158"/>
      <c r="M37" s="158"/>
      <c r="N37" s="158"/>
      <c r="O37" s="159"/>
    </row>
    <row r="38" spans="1:31" x14ac:dyDescent="0.3">
      <c r="A38" s="154"/>
      <c r="B38" s="155" t="s">
        <v>200</v>
      </c>
      <c r="C38" s="157"/>
      <c r="D38" s="155"/>
      <c r="E38" s="174">
        <v>1</v>
      </c>
      <c r="F38" s="160">
        <f>F33/E33</f>
        <v>0.92729240172481586</v>
      </c>
      <c r="G38" s="160">
        <f>G33/F33</f>
        <v>1.0330122458338662</v>
      </c>
      <c r="H38" s="160">
        <f>H33/G33</f>
        <v>1.0398130916705068</v>
      </c>
      <c r="I38" s="160">
        <f t="shared" ref="I38:O38" si="10">I33/H33</f>
        <v>1.045557438494122</v>
      </c>
      <c r="J38" s="160">
        <f t="shared" si="10"/>
        <v>1.0365230183611911</v>
      </c>
      <c r="K38" s="160">
        <f t="shared" si="10"/>
        <v>1.0623691565123137</v>
      </c>
      <c r="L38" s="160">
        <f t="shared" si="10"/>
        <v>1.0618630444648334</v>
      </c>
      <c r="M38" s="160">
        <f t="shared" si="10"/>
        <v>1.0775969262579259</v>
      </c>
      <c r="N38" s="160">
        <f>N33/M33</f>
        <v>1.0707719117038554</v>
      </c>
      <c r="O38" s="161">
        <f t="shared" si="10"/>
        <v>1.0711640024108886</v>
      </c>
    </row>
    <row r="39" spans="1:31" x14ac:dyDescent="0.3">
      <c r="A39" s="154"/>
      <c r="B39" s="155"/>
      <c r="C39" s="155"/>
      <c r="D39" s="155"/>
      <c r="E39" s="155"/>
      <c r="F39" s="155"/>
      <c r="G39" s="155"/>
      <c r="H39" s="155"/>
      <c r="I39" s="155"/>
      <c r="J39" s="155"/>
      <c r="K39" s="155"/>
      <c r="L39" s="155"/>
      <c r="M39" s="155"/>
      <c r="N39" s="155"/>
      <c r="O39" s="156"/>
    </row>
    <row r="40" spans="1:31" x14ac:dyDescent="0.3">
      <c r="A40" s="154"/>
      <c r="B40" s="162" t="s">
        <v>201</v>
      </c>
      <c r="C40" s="163" t="s">
        <v>132</v>
      </c>
      <c r="D40" s="155"/>
      <c r="E40" s="164">
        <f>SUMIF($A12:$A14,FF_scenario,E$12:E$14)</f>
        <v>22</v>
      </c>
      <c r="F40" s="164">
        <f t="shared" ref="F40:N40" si="11">SUMIF($A12:$A14,FF_scenario,F$12:F$14)</f>
        <v>23.1</v>
      </c>
      <c r="G40" s="164">
        <f t="shared" si="11"/>
        <v>24.255000000000003</v>
      </c>
      <c r="H40" s="164">
        <f t="shared" si="11"/>
        <v>25.467750000000002</v>
      </c>
      <c r="I40" s="164">
        <f t="shared" si="11"/>
        <v>26.741137500000004</v>
      </c>
      <c r="J40" s="164">
        <f t="shared" si="11"/>
        <v>28.078194375000006</v>
      </c>
      <c r="K40" s="164">
        <f t="shared" si="11"/>
        <v>29.482104093750007</v>
      </c>
      <c r="L40" s="164">
        <f t="shared" si="11"/>
        <v>30.956209298437507</v>
      </c>
      <c r="M40" s="164">
        <f t="shared" si="11"/>
        <v>32.504019763359381</v>
      </c>
      <c r="N40" s="164">
        <f t="shared" si="11"/>
        <v>34.129220751527349</v>
      </c>
      <c r="O40" s="165">
        <f t="shared" ref="O40" si="12">SUMIF($A12:$A14,FF_scenario,O$12:O$14)</f>
        <v>35.835681789103717</v>
      </c>
    </row>
    <row r="41" spans="1:31" x14ac:dyDescent="0.3">
      <c r="A41" s="154"/>
      <c r="B41" s="162" t="s">
        <v>202</v>
      </c>
      <c r="C41" s="163" t="s">
        <v>132</v>
      </c>
      <c r="D41" s="155"/>
      <c r="E41" s="164">
        <f t="shared" ref="E41:N41" si="13">SUMIF($A17:$A19,FF_scenario,E$17:E$19)</f>
        <v>24</v>
      </c>
      <c r="F41" s="164">
        <f t="shared" si="13"/>
        <v>25.200000000000003</v>
      </c>
      <c r="G41" s="164">
        <f t="shared" si="13"/>
        <v>26.460000000000004</v>
      </c>
      <c r="H41" s="164">
        <f t="shared" si="13"/>
        <v>27.783000000000005</v>
      </c>
      <c r="I41" s="164">
        <f t="shared" si="13"/>
        <v>29.172150000000006</v>
      </c>
      <c r="J41" s="164">
        <f t="shared" si="13"/>
        <v>30.630757500000009</v>
      </c>
      <c r="K41" s="164">
        <f t="shared" si="13"/>
        <v>32.162295375000014</v>
      </c>
      <c r="L41" s="164">
        <f t="shared" si="13"/>
        <v>33.770410143750013</v>
      </c>
      <c r="M41" s="164">
        <f t="shared" si="13"/>
        <v>35.458930650937518</v>
      </c>
      <c r="N41" s="164">
        <f t="shared" si="13"/>
        <v>37.231877183484393</v>
      </c>
      <c r="O41" s="165">
        <f t="shared" ref="O41" si="14">SUMIF($A17:$A19,FF_scenario,O$17:O$19)</f>
        <v>39.093471042658614</v>
      </c>
    </row>
    <row r="42" spans="1:31" x14ac:dyDescent="0.3">
      <c r="A42" s="154"/>
      <c r="B42" s="166" t="s">
        <v>79</v>
      </c>
      <c r="C42" s="155" t="s">
        <v>52</v>
      </c>
      <c r="D42" s="155"/>
      <c r="E42" s="164">
        <f t="shared" ref="E42:N42" si="15">SUMIF($A21:$A23,REC_scenario,E$21:E$23)</f>
        <v>1</v>
      </c>
      <c r="F42" s="164">
        <f t="shared" si="15"/>
        <v>1.2</v>
      </c>
      <c r="G42" s="164">
        <f t="shared" si="15"/>
        <v>1.44</v>
      </c>
      <c r="H42" s="164">
        <f t="shared" si="15"/>
        <v>1.728</v>
      </c>
      <c r="I42" s="164">
        <f t="shared" si="15"/>
        <v>2.0735999999999999</v>
      </c>
      <c r="J42" s="164">
        <f t="shared" si="15"/>
        <v>2.4883199999999999</v>
      </c>
      <c r="K42" s="164">
        <f t="shared" si="15"/>
        <v>2.9859839999999997</v>
      </c>
      <c r="L42" s="164">
        <f t="shared" si="15"/>
        <v>3.5831807999999996</v>
      </c>
      <c r="M42" s="164">
        <f t="shared" si="15"/>
        <v>4.2998169599999994</v>
      </c>
      <c r="N42" s="164">
        <f t="shared" si="15"/>
        <v>5.1597803519999994</v>
      </c>
      <c r="O42" s="165">
        <f t="shared" ref="O42" si="16">SUMIF($A21:$A23,REC_scenario,O$21:O$23)</f>
        <v>6.1917364223999991</v>
      </c>
    </row>
    <row r="43" spans="1:31" ht="15" thickBot="1" x14ac:dyDescent="0.35">
      <c r="A43" s="167"/>
      <c r="B43" s="168" t="s">
        <v>80</v>
      </c>
      <c r="C43" s="169" t="s">
        <v>52</v>
      </c>
      <c r="D43" s="169"/>
      <c r="E43" s="170">
        <f t="shared" ref="E43:N43" si="17">SUMIF($A25:$A27,REC_scenario,E$25:E$27)</f>
        <v>25</v>
      </c>
      <c r="F43" s="170">
        <f t="shared" si="17"/>
        <v>25</v>
      </c>
      <c r="G43" s="170">
        <f t="shared" si="17"/>
        <v>25</v>
      </c>
      <c r="H43" s="170">
        <f t="shared" si="17"/>
        <v>25</v>
      </c>
      <c r="I43" s="170">
        <f t="shared" si="17"/>
        <v>25</v>
      </c>
      <c r="J43" s="170">
        <f t="shared" si="17"/>
        <v>25</v>
      </c>
      <c r="K43" s="170">
        <f t="shared" si="17"/>
        <v>25</v>
      </c>
      <c r="L43" s="170">
        <f t="shared" si="17"/>
        <v>25</v>
      </c>
      <c r="M43" s="170">
        <f t="shared" si="17"/>
        <v>25</v>
      </c>
      <c r="N43" s="170">
        <f t="shared" si="17"/>
        <v>25</v>
      </c>
      <c r="O43" s="171">
        <f t="shared" ref="O43" si="18">SUMIF($A25:$A27,REC_scenario,O$25:O$27)</f>
        <v>25</v>
      </c>
    </row>
    <row r="49" spans="2:2" x14ac:dyDescent="0.3">
      <c r="B49" t="s">
        <v>131</v>
      </c>
    </row>
    <row r="50" spans="2:2" x14ac:dyDescent="0.3">
      <c r="B50" t="s">
        <v>177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65"/>
  <sheetViews>
    <sheetView topLeftCell="A19" zoomScale="80" zoomScaleNormal="80" workbookViewId="0">
      <selection activeCell="E48" sqref="E48"/>
    </sheetView>
  </sheetViews>
  <sheetFormatPr defaultRowHeight="14.4" x14ac:dyDescent="0.3"/>
  <cols>
    <col min="2" max="2" width="47.6640625" customWidth="1"/>
    <col min="3" max="3" width="17.44140625" bestFit="1" customWidth="1"/>
    <col min="4" max="4" width="23.6640625" bestFit="1" customWidth="1"/>
    <col min="5" max="5" width="16.44140625" bestFit="1" customWidth="1"/>
    <col min="6" max="12" width="15.44140625" bestFit="1" customWidth="1"/>
    <col min="13" max="14" width="15" bestFit="1" customWidth="1"/>
  </cols>
  <sheetData>
    <row r="2" spans="2:5" x14ac:dyDescent="0.3">
      <c r="B2" t="s">
        <v>608</v>
      </c>
      <c r="C2" s="22">
        <f>loads!E3</f>
        <v>5525385.8839999996</v>
      </c>
    </row>
    <row r="4" spans="2:5" ht="15" thickBot="1" x14ac:dyDescent="0.35">
      <c r="B4" t="s">
        <v>624</v>
      </c>
    </row>
    <row r="5" spans="2:5" s="448" customFormat="1" ht="15" customHeight="1" x14ac:dyDescent="0.3">
      <c r="B5" s="447" t="s">
        <v>614</v>
      </c>
      <c r="C5" s="453" t="s">
        <v>613</v>
      </c>
      <c r="D5" s="460" t="s">
        <v>615</v>
      </c>
    </row>
    <row r="6" spans="2:5" s="448" customFormat="1" ht="15" customHeight="1" x14ac:dyDescent="0.3">
      <c r="B6" s="449" t="s">
        <v>37</v>
      </c>
      <c r="C6" s="454">
        <v>-1.4926139628678486E-4</v>
      </c>
      <c r="D6" s="457">
        <v>1.397860864610726E-3</v>
      </c>
    </row>
    <row r="7" spans="2:5" s="448" customFormat="1" ht="15" customHeight="1" x14ac:dyDescent="0.3">
      <c r="B7" s="449" t="s">
        <v>390</v>
      </c>
      <c r="C7" s="454">
        <v>1.2087642289332534E-3</v>
      </c>
      <c r="D7" s="458">
        <v>0</v>
      </c>
    </row>
    <row r="8" spans="2:5" s="448" customFormat="1" ht="15" customHeight="1" x14ac:dyDescent="0.3">
      <c r="B8" s="449" t="s">
        <v>38</v>
      </c>
      <c r="C8" s="454">
        <v>3.4975262069911178E-3</v>
      </c>
      <c r="D8" s="458">
        <v>0</v>
      </c>
    </row>
    <row r="9" spans="2:5" s="448" customFormat="1" ht="15" customHeight="1" x14ac:dyDescent="0.3">
      <c r="B9" s="449" t="s">
        <v>391</v>
      </c>
      <c r="C9" s="454">
        <v>0.20241852902268084</v>
      </c>
      <c r="D9" s="458">
        <v>0.48856447565494693</v>
      </c>
    </row>
    <row r="10" spans="2:5" s="448" customFormat="1" ht="15" customHeight="1" x14ac:dyDescent="0.4">
      <c r="B10" s="449" t="s">
        <v>39</v>
      </c>
      <c r="C10" s="454">
        <v>0.14292602103244564</v>
      </c>
      <c r="D10" s="458">
        <v>0.11568698683304668</v>
      </c>
      <c r="E10" s="450"/>
    </row>
    <row r="11" spans="2:5" s="448" customFormat="1" ht="15" customHeight="1" x14ac:dyDescent="0.3">
      <c r="B11" s="449" t="s">
        <v>40</v>
      </c>
      <c r="C11" s="454">
        <v>0</v>
      </c>
      <c r="D11" s="458">
        <v>0</v>
      </c>
    </row>
    <row r="12" spans="2:5" s="448" customFormat="1" ht="15" customHeight="1" x14ac:dyDescent="0.3">
      <c r="B12" s="449" t="s">
        <v>260</v>
      </c>
      <c r="C12" s="454">
        <v>2.9463828131980571E-3</v>
      </c>
      <c r="D12" s="458">
        <v>0</v>
      </c>
    </row>
    <row r="13" spans="2:5" s="448" customFormat="1" ht="15" customHeight="1" x14ac:dyDescent="0.3">
      <c r="B13" s="449" t="s">
        <v>392</v>
      </c>
      <c r="C13" s="454">
        <v>0.12831583693235105</v>
      </c>
      <c r="D13" s="458">
        <v>0.2992092602049895</v>
      </c>
    </row>
    <row r="14" spans="2:5" s="448" customFormat="1" ht="15" customHeight="1" x14ac:dyDescent="0.3">
      <c r="B14" s="449" t="s">
        <v>12</v>
      </c>
      <c r="C14" s="454">
        <v>1.29194030786006E-4</v>
      </c>
      <c r="D14" s="458">
        <v>1.6124717081306979E-2</v>
      </c>
    </row>
    <row r="15" spans="2:5" s="448" customFormat="1" ht="15" customHeight="1" x14ac:dyDescent="0.3">
      <c r="B15" s="449" t="s">
        <v>393</v>
      </c>
      <c r="C15" s="454">
        <v>0.51870700712890083</v>
      </c>
      <c r="D15" s="474">
        <v>7.7727227811397528E-2</v>
      </c>
    </row>
    <row r="16" spans="2:5" s="448" customFormat="1" ht="15" customHeight="1" x14ac:dyDescent="0.3">
      <c r="B16" s="451" t="s">
        <v>41</v>
      </c>
      <c r="C16" s="455">
        <v>0</v>
      </c>
      <c r="D16" s="459">
        <v>1.2894715497016494E-3</v>
      </c>
    </row>
    <row r="17" spans="2:15" s="448" customFormat="1" ht="15" customHeight="1" thickBot="1" x14ac:dyDescent="0.35">
      <c r="B17" s="452" t="s">
        <v>8</v>
      </c>
      <c r="C17" s="456">
        <v>1</v>
      </c>
      <c r="D17" s="475">
        <f>SUM(D6:D16)</f>
        <v>1</v>
      </c>
    </row>
    <row r="18" spans="2:15" s="448" customFormat="1" ht="15" customHeight="1" x14ac:dyDescent="0.3">
      <c r="B18" s="464"/>
      <c r="C18" s="454"/>
      <c r="D18" s="465"/>
    </row>
    <row r="19" spans="2:15" s="448" customFormat="1" ht="15" customHeight="1" x14ac:dyDescent="0.3">
      <c r="B19" s="466" t="s">
        <v>618</v>
      </c>
      <c r="C19" s="467">
        <f>SUM(C6,C8,C9,C10,C11,C14,C16)</f>
        <v>0.3488220088966168</v>
      </c>
      <c r="D19" s="465"/>
    </row>
    <row r="20" spans="2:15" x14ac:dyDescent="0.3">
      <c r="B20" s="27" t="s">
        <v>619</v>
      </c>
      <c r="C20" s="468">
        <f>C13</f>
        <v>0.12831583693235105</v>
      </c>
    </row>
    <row r="21" spans="2:15" x14ac:dyDescent="0.3">
      <c r="B21" s="469" t="s">
        <v>417</v>
      </c>
      <c r="C21" s="470">
        <f>1-C20-C19</f>
        <v>0.5228621541710321</v>
      </c>
    </row>
    <row r="22" spans="2:15" x14ac:dyDescent="0.3">
      <c r="B22" s="466" t="s">
        <v>623</v>
      </c>
      <c r="C22" s="471">
        <f>C19*$C$2</f>
        <v>1927376.2039858887</v>
      </c>
    </row>
    <row r="23" spans="2:15" x14ac:dyDescent="0.3">
      <c r="B23" s="27" t="s">
        <v>622</v>
      </c>
      <c r="C23" s="472">
        <f>C20*$C$2</f>
        <v>708994.51407965831</v>
      </c>
    </row>
    <row r="24" spans="2:15" x14ac:dyDescent="0.3">
      <c r="B24" s="469" t="s">
        <v>620</v>
      </c>
      <c r="C24" s="473">
        <f>C21*$C$2</f>
        <v>2889015.1659344523</v>
      </c>
    </row>
    <row r="25" spans="2:15" x14ac:dyDescent="0.3">
      <c r="B25" t="s">
        <v>621</v>
      </c>
      <c r="C25" s="16">
        <f>C24*8</f>
        <v>23112121.327475619</v>
      </c>
    </row>
    <row r="26" spans="2:15" x14ac:dyDescent="0.3">
      <c r="D26" s="16"/>
    </row>
    <row r="27" spans="2:15" x14ac:dyDescent="0.3">
      <c r="B27" t="s">
        <v>611</v>
      </c>
      <c r="C27">
        <v>882</v>
      </c>
      <c r="F27" s="18"/>
    </row>
    <row r="28" spans="2:15" x14ac:dyDescent="0.3">
      <c r="B28" t="s">
        <v>609</v>
      </c>
      <c r="C28" s="22">
        <v>682</v>
      </c>
    </row>
    <row r="29" spans="2:15" x14ac:dyDescent="0.3">
      <c r="B29" t="s">
        <v>610</v>
      </c>
      <c r="C29" s="22">
        <v>654</v>
      </c>
      <c r="E29" s="18"/>
    </row>
    <row r="30" spans="2:15" x14ac:dyDescent="0.3">
      <c r="B30" t="s">
        <v>612</v>
      </c>
      <c r="C30" s="16">
        <f>C2*C21*C27</f>
        <v>2548111376.354187</v>
      </c>
      <c r="D30" t="s">
        <v>394</v>
      </c>
      <c r="E30" s="2">
        <f>(1-SUM(D6,D8,D9,D13,D14,D16,D10))</f>
        <v>7.7727227811397515E-2</v>
      </c>
    </row>
    <row r="31" spans="2:15" x14ac:dyDescent="0.3">
      <c r="B31" t="s">
        <v>425</v>
      </c>
      <c r="C31" s="322">
        <f>C30/C2</f>
        <v>461.16441997885033</v>
      </c>
    </row>
    <row r="32" spans="2:15" s="20" customFormat="1" x14ac:dyDescent="0.3">
      <c r="D32" s="60">
        <f>base_year-1</f>
        <v>2018</v>
      </c>
      <c r="E32" s="60">
        <f>D32+1</f>
        <v>2019</v>
      </c>
      <c r="F32" s="60">
        <f t="shared" ref="F32:N32" si="0">E32+1</f>
        <v>2020</v>
      </c>
      <c r="G32" s="60">
        <f t="shared" si="0"/>
        <v>2021</v>
      </c>
      <c r="H32" s="60">
        <f t="shared" si="0"/>
        <v>2022</v>
      </c>
      <c r="I32" s="60">
        <f t="shared" si="0"/>
        <v>2023</v>
      </c>
      <c r="J32" s="60">
        <f t="shared" si="0"/>
        <v>2024</v>
      </c>
      <c r="K32" s="60">
        <f t="shared" si="0"/>
        <v>2025</v>
      </c>
      <c r="L32" s="60">
        <f t="shared" si="0"/>
        <v>2026</v>
      </c>
      <c r="M32" s="60">
        <f t="shared" si="0"/>
        <v>2027</v>
      </c>
      <c r="N32" s="60">
        <f t="shared" si="0"/>
        <v>2028</v>
      </c>
      <c r="O32" s="60"/>
    </row>
    <row r="33" spans="2:15" s="20" customFormat="1" x14ac:dyDescent="0.3">
      <c r="B33" s="11" t="s">
        <v>398</v>
      </c>
      <c r="D33" s="261">
        <f>requirements!D4</f>
        <v>5525385.8839999996</v>
      </c>
      <c r="E33" s="261">
        <f ca="1">requirements!E4</f>
        <v>5458271.8038817961</v>
      </c>
      <c r="F33" s="261">
        <f ca="1">requirements!F4</f>
        <v>5410528.104681029</v>
      </c>
      <c r="G33" s="261">
        <f ca="1">requirements!G4</f>
        <v>5369213.0396047421</v>
      </c>
      <c r="H33" s="261">
        <f ca="1">requirements!H4</f>
        <v>5354759.4427371053</v>
      </c>
      <c r="I33" s="261">
        <f ca="1">requirements!I4</f>
        <v>5360200.9880254287</v>
      </c>
      <c r="J33" s="261">
        <f ca="1">requirements!J4</f>
        <v>5375325.5152443154</v>
      </c>
      <c r="K33" s="261">
        <f ca="1">requirements!K4</f>
        <v>5392542.9127376862</v>
      </c>
      <c r="L33" s="261">
        <f ca="1">requirements!L4</f>
        <v>5406912.7312659221</v>
      </c>
      <c r="M33" s="261">
        <f ca="1">requirements!M4</f>
        <v>5429544.2537619425</v>
      </c>
      <c r="N33" s="261">
        <f ca="1">requirements!N4</f>
        <v>5455279.1686504949</v>
      </c>
      <c r="O33" s="261"/>
    </row>
    <row r="34" spans="2:15" s="20" customFormat="1" x14ac:dyDescent="0.3">
      <c r="D34" s="60"/>
      <c r="E34" s="60"/>
      <c r="F34" s="60"/>
      <c r="G34" s="60"/>
      <c r="H34" s="60"/>
      <c r="I34" s="60"/>
      <c r="J34" s="60"/>
      <c r="K34" s="60"/>
      <c r="L34" s="60"/>
      <c r="M34" s="60"/>
      <c r="N34" s="60"/>
      <c r="O34" s="60"/>
    </row>
    <row r="36" spans="2:15" s="24" customFormat="1" x14ac:dyDescent="0.3">
      <c r="B36" s="24" t="s">
        <v>395</v>
      </c>
      <c r="C36" s="24" t="s">
        <v>5</v>
      </c>
      <c r="D36" s="24">
        <f>SUM(requirements!D7:D8)</f>
        <v>0.55000000000000004</v>
      </c>
      <c r="E36" s="24">
        <f>SUM(requirements!E7:E8)</f>
        <v>0.55000000000000004</v>
      </c>
      <c r="F36" s="24">
        <f>SUM(requirements!F7:F8)</f>
        <v>0.59</v>
      </c>
      <c r="G36" s="24">
        <f>SUM(requirements!G7:G8)</f>
        <v>0.59</v>
      </c>
      <c r="H36" s="24">
        <f>SUM(requirements!H7:H8)</f>
        <v>0.59</v>
      </c>
      <c r="I36" s="24">
        <f>SUM(requirements!I7:I8)</f>
        <v>0.63</v>
      </c>
      <c r="J36" s="24">
        <f>SUM(requirements!J7:J8)</f>
        <v>0.63000000000000012</v>
      </c>
      <c r="K36" s="24">
        <f>SUM(requirements!K7:K8)</f>
        <v>0.63</v>
      </c>
      <c r="L36" s="24">
        <f>SUM(requirements!L7:L8)</f>
        <v>0.67</v>
      </c>
      <c r="M36" s="24">
        <f>SUM(requirements!M7:M8)</f>
        <v>0.67</v>
      </c>
      <c r="N36" s="24">
        <f>SUM(requirements!N7:N8)</f>
        <v>0.67</v>
      </c>
    </row>
    <row r="37" spans="2:15" s="24" customFormat="1" x14ac:dyDescent="0.3">
      <c r="B37" s="24" t="s">
        <v>616</v>
      </c>
      <c r="D37" s="461">
        <f>SUM(D6,D8,D9,D10,D11,D14,D16)-D36</f>
        <v>7.3063511983612939E-2</v>
      </c>
      <c r="E37" s="461"/>
      <c r="F37" s="461"/>
      <c r="G37" s="461"/>
      <c r="H37" s="461"/>
      <c r="I37" s="461"/>
      <c r="J37" s="461"/>
      <c r="K37" s="461"/>
      <c r="L37" s="461"/>
      <c r="M37" s="461"/>
      <c r="N37" s="461"/>
    </row>
    <row r="38" spans="2:15" s="24" customFormat="1" x14ac:dyDescent="0.3">
      <c r="B38" s="24" t="s">
        <v>396</v>
      </c>
      <c r="C38" s="24" t="s">
        <v>5</v>
      </c>
      <c r="D38" s="24">
        <f>D13</f>
        <v>0.2992092602049895</v>
      </c>
      <c r="E38" s="24">
        <f>D38</f>
        <v>0.2992092602049895</v>
      </c>
      <c r="F38" s="24">
        <f t="shared" ref="F38:N38" si="1">E38</f>
        <v>0.2992092602049895</v>
      </c>
      <c r="G38" s="479">
        <f t="shared" si="1"/>
        <v>0.2992092602049895</v>
      </c>
      <c r="H38" s="479">
        <f t="shared" si="1"/>
        <v>0.2992092602049895</v>
      </c>
      <c r="I38" s="479">
        <f t="shared" si="1"/>
        <v>0.2992092602049895</v>
      </c>
      <c r="J38" s="479">
        <f t="shared" si="1"/>
        <v>0.2992092602049895</v>
      </c>
      <c r="K38" s="479">
        <f t="shared" si="1"/>
        <v>0.2992092602049895</v>
      </c>
      <c r="L38" s="479">
        <f t="shared" si="1"/>
        <v>0.2992092602049895</v>
      </c>
      <c r="M38" s="479">
        <f t="shared" si="1"/>
        <v>0.2992092602049895</v>
      </c>
      <c r="N38" s="479">
        <f t="shared" si="1"/>
        <v>0.2992092602049895</v>
      </c>
    </row>
    <row r="39" spans="2:15" x14ac:dyDescent="0.3">
      <c r="B39" t="s">
        <v>397</v>
      </c>
      <c r="C39" t="s">
        <v>5</v>
      </c>
      <c r="D39" s="4">
        <f>SUM(D15,D12,D7)</f>
        <v>7.7727227811397528E-2</v>
      </c>
      <c r="E39" s="3">
        <f>1-E36-E38</f>
        <v>0.15079073979501045</v>
      </c>
      <c r="F39" s="3">
        <f t="shared" ref="F39:N39" si="2">1-F36-F38</f>
        <v>0.11079073979501053</v>
      </c>
      <c r="G39" s="3">
        <f t="shared" si="2"/>
        <v>0.11079073979501053</v>
      </c>
      <c r="H39" s="3">
        <f t="shared" si="2"/>
        <v>0.11079073979501053</v>
      </c>
      <c r="I39" s="3">
        <f t="shared" si="2"/>
        <v>7.0790739795010493E-2</v>
      </c>
      <c r="J39" s="3">
        <f t="shared" si="2"/>
        <v>7.0790739795010382E-2</v>
      </c>
      <c r="K39" s="3">
        <f t="shared" si="2"/>
        <v>7.0790739795010493E-2</v>
      </c>
      <c r="L39" s="3">
        <f t="shared" si="2"/>
        <v>3.0790739795010458E-2</v>
      </c>
      <c r="M39" s="3">
        <f t="shared" si="2"/>
        <v>3.0790739795010458E-2</v>
      </c>
      <c r="N39" s="3">
        <f t="shared" si="2"/>
        <v>3.0790739795010458E-2</v>
      </c>
    </row>
    <row r="41" spans="2:15" x14ac:dyDescent="0.3">
      <c r="B41" t="s">
        <v>399</v>
      </c>
      <c r="C41" t="s">
        <v>1</v>
      </c>
      <c r="D41" s="16">
        <f>D39*D33</f>
        <v>429472.9273515481</v>
      </c>
      <c r="E41" s="16">
        <f t="shared" ref="E41:N41" ca="1" si="3">E39*E33</f>
        <v>823056.84330958221</v>
      </c>
      <c r="F41" s="16">
        <f t="shared" ca="1" si="3"/>
        <v>599436.41139930743</v>
      </c>
      <c r="G41" s="16">
        <f t="shared" ca="1" si="3"/>
        <v>594859.08477482654</v>
      </c>
      <c r="H41" s="16">
        <f t="shared" ca="1" si="3"/>
        <v>593257.76008516224</v>
      </c>
      <c r="I41" s="16">
        <f t="shared" ca="1" si="3"/>
        <v>379452.59339226631</v>
      </c>
      <c r="J41" s="16">
        <f t="shared" ca="1" si="3"/>
        <v>380523.26986314042</v>
      </c>
      <c r="K41" s="16">
        <f t="shared" ca="1" si="3"/>
        <v>381742.10216904152</v>
      </c>
      <c r="L41" s="16">
        <f t="shared" ca="1" si="3"/>
        <v>166482.84300273831</v>
      </c>
      <c r="M41" s="16">
        <f t="shared" ca="1" si="3"/>
        <v>167179.6843230782</v>
      </c>
      <c r="N41" s="16">
        <f t="shared" ca="1" si="3"/>
        <v>167972.08139105837</v>
      </c>
    </row>
    <row r="42" spans="2:15" x14ac:dyDescent="0.3">
      <c r="B42" s="19"/>
      <c r="D42" s="16"/>
      <c r="E42" s="16"/>
      <c r="F42" s="16"/>
      <c r="G42" s="16"/>
      <c r="H42" s="16"/>
      <c r="I42" s="16"/>
      <c r="J42" s="16"/>
      <c r="K42" s="16"/>
      <c r="L42" s="16"/>
      <c r="M42" s="16"/>
      <c r="N42" s="16"/>
    </row>
    <row r="43" spans="2:15" x14ac:dyDescent="0.3">
      <c r="B43" s="19" t="s">
        <v>400</v>
      </c>
      <c r="C43" t="s">
        <v>394</v>
      </c>
      <c r="D43" s="18">
        <f>D41*$C$27</f>
        <v>378795121.92406541</v>
      </c>
      <c r="E43" s="18">
        <f t="shared" ref="E43:M43" ca="1" si="4">E41*$C$27</f>
        <v>725936135.79905152</v>
      </c>
      <c r="F43" s="18">
        <f t="shared" ca="1" si="4"/>
        <v>528702914.85418916</v>
      </c>
      <c r="G43" s="18">
        <f t="shared" ca="1" si="4"/>
        <v>524665712.77139699</v>
      </c>
      <c r="H43" s="18">
        <f t="shared" ca="1" si="4"/>
        <v>523253344.39511311</v>
      </c>
      <c r="I43" s="18">
        <f t="shared" ca="1" si="4"/>
        <v>334677187.37197888</v>
      </c>
      <c r="J43" s="18">
        <f t="shared" ca="1" si="4"/>
        <v>335621524.01928985</v>
      </c>
      <c r="K43" s="18">
        <f t="shared" ca="1" si="4"/>
        <v>336696534.11309463</v>
      </c>
      <c r="L43" s="18">
        <f t="shared" ca="1" si="4"/>
        <v>146837867.5284152</v>
      </c>
      <c r="M43" s="18">
        <f t="shared" ca="1" si="4"/>
        <v>147452481.57295498</v>
      </c>
      <c r="N43" s="18">
        <f ca="1">N41*$C$27</f>
        <v>148151375.78691348</v>
      </c>
    </row>
    <row r="44" spans="2:15" x14ac:dyDescent="0.3">
      <c r="B44" s="19"/>
      <c r="D44" s="18"/>
      <c r="E44" s="18"/>
      <c r="F44" s="18"/>
    </row>
    <row r="45" spans="2:15" x14ac:dyDescent="0.3">
      <c r="B45" s="477" t="s">
        <v>617</v>
      </c>
      <c r="C45" t="s">
        <v>394</v>
      </c>
      <c r="D45" s="16">
        <f>(SUM(D36:D37)-$C19)*D33*$C$27</f>
        <v>1336485894.628099</v>
      </c>
      <c r="E45" s="16">
        <f t="shared" ref="E45:N45" ca="1" si="5">(SUM(E36:E37)-$C19)*E33*$C$27</f>
        <v>968510225.94584036</v>
      </c>
      <c r="F45" s="16">
        <f t="shared" ca="1" si="5"/>
        <v>1150922063.8021128</v>
      </c>
      <c r="G45" s="16">
        <f t="shared" ca="1" si="5"/>
        <v>1142133564.9636021</v>
      </c>
      <c r="H45" s="16">
        <f t="shared" ca="1" si="5"/>
        <v>1139059010.4627442</v>
      </c>
      <c r="I45" s="16">
        <f t="shared" ca="1" si="5"/>
        <v>1329324421.3280034</v>
      </c>
      <c r="J45" s="16">
        <f t="shared" ca="1" si="5"/>
        <v>1333075288.7745831</v>
      </c>
      <c r="K45" s="16">
        <f t="shared" ca="1" si="5"/>
        <v>1337345185.9315698</v>
      </c>
      <c r="L45" s="16">
        <f t="shared" ca="1" si="5"/>
        <v>1531664767.545579</v>
      </c>
      <c r="M45" s="16">
        <f t="shared" ca="1" si="5"/>
        <v>1538075802.3386176</v>
      </c>
      <c r="N45" s="16">
        <f t="shared" ca="1" si="5"/>
        <v>1545365962.9884551</v>
      </c>
    </row>
    <row r="46" spans="2:15" x14ac:dyDescent="0.3">
      <c r="B46" s="477" t="s">
        <v>625</v>
      </c>
      <c r="C46" t="s">
        <v>394</v>
      </c>
      <c r="D46" s="16">
        <f>(D38-$C20)*D$33*$C$27</f>
        <v>832830359.80202281</v>
      </c>
      <c r="E46" s="16">
        <f t="shared" ref="E46:N46" ca="1" si="6">(E38-$C20)*E$33*$C$27</f>
        <v>822714388.7791698</v>
      </c>
      <c r="F46" s="16">
        <f t="shared" ca="1" si="6"/>
        <v>815518076.51819348</v>
      </c>
      <c r="G46" s="16">
        <f t="shared" ca="1" si="6"/>
        <v>809290739.417202</v>
      </c>
      <c r="H46" s="16">
        <f t="shared" ca="1" si="6"/>
        <v>807112177.67827177</v>
      </c>
      <c r="I46" s="16">
        <f t="shared" ca="1" si="6"/>
        <v>807932370.91282523</v>
      </c>
      <c r="J46" s="16">
        <f t="shared" ca="1" si="6"/>
        <v>810212060.64128673</v>
      </c>
      <c r="K46" s="16">
        <f t="shared" ca="1" si="6"/>
        <v>812807204.51907098</v>
      </c>
      <c r="L46" s="16">
        <f t="shared" ca="1" si="6"/>
        <v>814973138.51651645</v>
      </c>
      <c r="M46" s="16">
        <f t="shared" ca="1" si="6"/>
        <v>818384342.62405348</v>
      </c>
      <c r="N46" s="16">
        <f t="shared" ca="1" si="6"/>
        <v>822263314.85804188</v>
      </c>
    </row>
    <row r="47" spans="2:15" x14ac:dyDescent="0.3">
      <c r="B47" s="19" t="s">
        <v>626</v>
      </c>
      <c r="C47" t="s">
        <v>394</v>
      </c>
      <c r="D47" s="18">
        <f>D46+D45</f>
        <v>2169316254.4301219</v>
      </c>
      <c r="E47" s="18">
        <f ca="1">E46+E45</f>
        <v>1791224614.7250102</v>
      </c>
      <c r="F47" s="18">
        <f t="shared" ref="F47:N47" ca="1" si="7">F46+F45</f>
        <v>1966440140.3203063</v>
      </c>
      <c r="G47" s="18">
        <f t="shared" ca="1" si="7"/>
        <v>1951424304.3808041</v>
      </c>
      <c r="H47" s="18">
        <f t="shared" ca="1" si="7"/>
        <v>1946171188.141016</v>
      </c>
      <c r="I47" s="18">
        <f t="shared" ca="1" si="7"/>
        <v>2137256792.2408285</v>
      </c>
      <c r="J47" s="18">
        <f t="shared" ca="1" si="7"/>
        <v>2143287349.4158697</v>
      </c>
      <c r="K47" s="18">
        <f t="shared" ca="1" si="7"/>
        <v>2150152390.4506407</v>
      </c>
      <c r="L47" s="18">
        <f t="shared" ca="1" si="7"/>
        <v>2346637906.0620956</v>
      </c>
      <c r="M47" s="18">
        <f t="shared" ca="1" si="7"/>
        <v>2356460144.9626713</v>
      </c>
      <c r="N47" s="18">
        <f t="shared" ca="1" si="7"/>
        <v>2367629277.8464971</v>
      </c>
    </row>
    <row r="48" spans="2:15" x14ac:dyDescent="0.3">
      <c r="B48" s="477" t="s">
        <v>467</v>
      </c>
      <c r="C48" t="s">
        <v>394</v>
      </c>
      <c r="D48" s="18"/>
      <c r="E48" s="18">
        <f ca="1">'Tier III'!E90</f>
        <v>67432255.58506833</v>
      </c>
      <c r="F48" s="18">
        <f ca="1">'Tier III'!F90</f>
        <v>101049581.93456483</v>
      </c>
      <c r="G48" s="18">
        <f ca="1">'Tier III'!G90</f>
        <v>139752304.31791815</v>
      </c>
      <c r="H48" s="18">
        <f ca="1">'Tier III'!H90</f>
        <v>183486797.28582627</v>
      </c>
      <c r="I48" s="18">
        <f ca="1">'Tier III'!I90</f>
        <v>232455267.37489873</v>
      </c>
      <c r="J48" s="18">
        <f ca="1">'Tier III'!J90</f>
        <v>286828846.47528827</v>
      </c>
      <c r="K48" s="18">
        <f ca="1">'Tier III'!K90</f>
        <v>346712560.37290961</v>
      </c>
      <c r="L48" s="18">
        <f ca="1">'Tier III'!L90</f>
        <v>398159236.52647269</v>
      </c>
      <c r="M48" s="18">
        <f ca="1">'Tier III'!M90</f>
        <v>451645122.31998599</v>
      </c>
      <c r="N48" s="18">
        <f ca="1">'Tier III'!N90</f>
        <v>507600434.87976354</v>
      </c>
    </row>
    <row r="49" spans="2:14" x14ac:dyDescent="0.3">
      <c r="B49" s="478" t="s">
        <v>627</v>
      </c>
      <c r="C49" t="s">
        <v>394</v>
      </c>
      <c r="D49" s="476">
        <f>D48+D47</f>
        <v>2169316254.4301219</v>
      </c>
      <c r="E49" s="476">
        <f ca="1">E48+E47</f>
        <v>1858656870.3100784</v>
      </c>
      <c r="F49" s="476">
        <f t="shared" ref="F49:N49" ca="1" si="8">F48+F47</f>
        <v>2067489722.2548711</v>
      </c>
      <c r="G49" s="476">
        <f t="shared" ca="1" si="8"/>
        <v>2091176608.6987221</v>
      </c>
      <c r="H49" s="476">
        <f t="shared" ca="1" si="8"/>
        <v>2129657985.4268422</v>
      </c>
      <c r="I49" s="476">
        <f t="shared" ca="1" si="8"/>
        <v>2369712059.6157274</v>
      </c>
      <c r="J49" s="476">
        <f t="shared" ca="1" si="8"/>
        <v>2430116195.8911581</v>
      </c>
      <c r="K49" s="476">
        <f t="shared" ca="1" si="8"/>
        <v>2496864950.8235502</v>
      </c>
      <c r="L49" s="476">
        <f t="shared" ca="1" si="8"/>
        <v>2744797142.5885682</v>
      </c>
      <c r="M49" s="476">
        <f t="shared" ca="1" si="8"/>
        <v>2808105267.2826571</v>
      </c>
      <c r="N49" s="476">
        <f t="shared" ca="1" si="8"/>
        <v>2875229712.7262607</v>
      </c>
    </row>
    <row r="50" spans="2:14" x14ac:dyDescent="0.3">
      <c r="B50" s="19"/>
      <c r="D50" s="18"/>
      <c r="E50" s="18"/>
      <c r="F50" s="18"/>
      <c r="G50" s="18"/>
      <c r="H50" s="18"/>
      <c r="I50" s="18"/>
      <c r="J50" s="18"/>
      <c r="K50" s="18"/>
      <c r="L50" s="18"/>
      <c r="M50" s="18"/>
      <c r="N50" s="18"/>
    </row>
    <row r="51" spans="2:14" x14ac:dyDescent="0.3">
      <c r="B51" s="477" t="s">
        <v>617</v>
      </c>
      <c r="C51" t="s">
        <v>416</v>
      </c>
      <c r="D51" s="18">
        <f>D45/2204</f>
        <v>606391.05926864746</v>
      </c>
      <c r="E51" s="18">
        <f t="shared" ref="E51:N51" ca="1" si="9">E45/2204</f>
        <v>439432.95188105281</v>
      </c>
      <c r="F51" s="18">
        <f t="shared" ca="1" si="9"/>
        <v>522196.9436488715</v>
      </c>
      <c r="G51" s="18">
        <f t="shared" ca="1" si="9"/>
        <v>518209.42148983758</v>
      </c>
      <c r="H51" s="18">
        <f t="shared" ca="1" si="9"/>
        <v>516814.43305932137</v>
      </c>
      <c r="I51" s="18">
        <f t="shared" ca="1" si="9"/>
        <v>603141.75196370389</v>
      </c>
      <c r="J51" s="18">
        <f t="shared" ca="1" si="9"/>
        <v>604843.59744763293</v>
      </c>
      <c r="K51" s="18">
        <f t="shared" ca="1" si="9"/>
        <v>606780.93735552172</v>
      </c>
      <c r="L51" s="18">
        <f t="shared" ca="1" si="9"/>
        <v>694947.71667222271</v>
      </c>
      <c r="M51" s="18">
        <f t="shared" ca="1" si="9"/>
        <v>697856.53463639633</v>
      </c>
      <c r="N51" s="18">
        <f t="shared" ca="1" si="9"/>
        <v>701164.23003105947</v>
      </c>
    </row>
    <row r="52" spans="2:14" x14ac:dyDescent="0.3">
      <c r="B52" s="477" t="s">
        <v>625</v>
      </c>
      <c r="C52" t="s">
        <v>416</v>
      </c>
      <c r="D52" s="18">
        <f t="shared" ref="D52:D54" si="10">D46/2204</f>
        <v>377872.21406625357</v>
      </c>
      <c r="E52" s="18">
        <f t="shared" ref="E52:N52" ca="1" si="11">E46/2204</f>
        <v>373282.39055316232</v>
      </c>
      <c r="F52" s="18">
        <f t="shared" ca="1" si="11"/>
        <v>370017.27609718399</v>
      </c>
      <c r="G52" s="18">
        <f t="shared" ca="1" si="11"/>
        <v>367191.80554319511</v>
      </c>
      <c r="H52" s="18">
        <f t="shared" ca="1" si="11"/>
        <v>366203.34740393457</v>
      </c>
      <c r="I52" s="18">
        <f t="shared" ca="1" si="11"/>
        <v>366575.48589511128</v>
      </c>
      <c r="J52" s="18">
        <f t="shared" ca="1" si="11"/>
        <v>367609.82787717186</v>
      </c>
      <c r="K52" s="18">
        <f t="shared" ca="1" si="11"/>
        <v>368787.29787616653</v>
      </c>
      <c r="L52" s="18">
        <f t="shared" ca="1" si="11"/>
        <v>369770.02655014355</v>
      </c>
      <c r="M52" s="18">
        <f t="shared" ca="1" si="11"/>
        <v>371317.75981127651</v>
      </c>
      <c r="N52" s="18">
        <f t="shared" ca="1" si="11"/>
        <v>373077.72906444734</v>
      </c>
    </row>
    <row r="53" spans="2:14" x14ac:dyDescent="0.3">
      <c r="B53" s="19" t="s">
        <v>626</v>
      </c>
      <c r="C53" t="s">
        <v>416</v>
      </c>
      <c r="D53" s="18">
        <f t="shared" si="10"/>
        <v>984263.27333490108</v>
      </c>
      <c r="E53" s="18">
        <f t="shared" ref="E53:N53" ca="1" si="12">E47/2204</f>
        <v>812715.34243421513</v>
      </c>
      <c r="F53" s="18">
        <f t="shared" ca="1" si="12"/>
        <v>892214.21974605555</v>
      </c>
      <c r="G53" s="18">
        <f t="shared" ca="1" si="12"/>
        <v>885401.22703303269</v>
      </c>
      <c r="H53" s="18">
        <f t="shared" ca="1" si="12"/>
        <v>883017.78046325594</v>
      </c>
      <c r="I53" s="18">
        <f t="shared" ca="1" si="12"/>
        <v>969717.23785881512</v>
      </c>
      <c r="J53" s="18">
        <f t="shared" ca="1" si="12"/>
        <v>972453.42532480473</v>
      </c>
      <c r="K53" s="18">
        <f t="shared" ca="1" si="12"/>
        <v>975568.23523168813</v>
      </c>
      <c r="L53" s="18">
        <f t="shared" ca="1" si="12"/>
        <v>1064717.7432223666</v>
      </c>
      <c r="M53" s="18">
        <f t="shared" ca="1" si="12"/>
        <v>1069174.294447673</v>
      </c>
      <c r="N53" s="18">
        <f t="shared" ca="1" si="12"/>
        <v>1074241.9590955069</v>
      </c>
    </row>
    <row r="54" spans="2:14" x14ac:dyDescent="0.3">
      <c r="B54" s="477" t="s">
        <v>467</v>
      </c>
      <c r="C54" t="s">
        <v>416</v>
      </c>
      <c r="D54" s="18">
        <f t="shared" si="10"/>
        <v>0</v>
      </c>
      <c r="E54" s="18">
        <f t="shared" ref="E54:N54" ca="1" si="13">E48/2204</f>
        <v>30595.397270902147</v>
      </c>
      <c r="F54" s="18">
        <f t="shared" ca="1" si="13"/>
        <v>45848.267665410538</v>
      </c>
      <c r="G54" s="18">
        <f t="shared" ca="1" si="13"/>
        <v>63408.486532630741</v>
      </c>
      <c r="H54" s="18">
        <f t="shared" ca="1" si="13"/>
        <v>83251.722906454743</v>
      </c>
      <c r="I54" s="18">
        <f t="shared" ca="1" si="13"/>
        <v>105469.72203942774</v>
      </c>
      <c r="J54" s="18">
        <f t="shared" ca="1" si="13"/>
        <v>130140.12997971337</v>
      </c>
      <c r="K54" s="18">
        <f t="shared" ca="1" si="13"/>
        <v>157310.59908026751</v>
      </c>
      <c r="L54" s="18">
        <f t="shared" ca="1" si="13"/>
        <v>180653.01112816366</v>
      </c>
      <c r="M54" s="18">
        <f t="shared" ca="1" si="13"/>
        <v>204920.65441015697</v>
      </c>
      <c r="N54" s="18">
        <f t="shared" ca="1" si="13"/>
        <v>230308.72725942085</v>
      </c>
    </row>
    <row r="55" spans="2:14" s="33" customFormat="1" x14ac:dyDescent="0.3">
      <c r="B55" s="478" t="s">
        <v>627</v>
      </c>
      <c r="C55" s="33" t="s">
        <v>416</v>
      </c>
      <c r="D55" s="476">
        <f>SUM(D51:D54)</f>
        <v>1968526.5466698022</v>
      </c>
      <c r="E55" s="476">
        <f ca="1">SUM(E51:E54)</f>
        <v>1656026.0821393323</v>
      </c>
      <c r="F55" s="476">
        <f t="shared" ref="F55:N55" ca="1" si="14">SUM(F51:F54)</f>
        <v>1830276.7071575217</v>
      </c>
      <c r="G55" s="476">
        <f t="shared" ca="1" si="14"/>
        <v>1834210.940598696</v>
      </c>
      <c r="H55" s="476">
        <f t="shared" ca="1" si="14"/>
        <v>1849287.2838329666</v>
      </c>
      <c r="I55" s="476">
        <f t="shared" ca="1" si="14"/>
        <v>2044904.1977570581</v>
      </c>
      <c r="J55" s="476">
        <f t="shared" ca="1" si="14"/>
        <v>2075046.9806293231</v>
      </c>
      <c r="K55" s="476">
        <f t="shared" ca="1" si="14"/>
        <v>2108447.0695436439</v>
      </c>
      <c r="L55" s="476">
        <f t="shared" ca="1" si="14"/>
        <v>2310088.497572897</v>
      </c>
      <c r="M55" s="476">
        <f t="shared" ca="1" si="14"/>
        <v>2343269.2433055029</v>
      </c>
      <c r="N55" s="476">
        <f t="shared" ca="1" si="14"/>
        <v>2378792.6454504346</v>
      </c>
    </row>
    <row r="57" spans="2:14" x14ac:dyDescent="0.3">
      <c r="B57" t="s">
        <v>472</v>
      </c>
      <c r="C57" t="s">
        <v>1</v>
      </c>
      <c r="D57" s="18">
        <f>(SUM(D36:D37)-$C19)*D$33</f>
        <v>1515290.129963831</v>
      </c>
      <c r="E57" s="18">
        <f t="shared" ref="E57:N57" ca="1" si="15">(SUM(E36:E37)-$C19)*E$33</f>
        <v>1098084.1564011795</v>
      </c>
      <c r="F57" s="18">
        <f t="shared" ca="1" si="15"/>
        <v>1304900.2990953659</v>
      </c>
      <c r="G57" s="18">
        <f t="shared" ca="1" si="15"/>
        <v>1294936.0146979615</v>
      </c>
      <c r="H57" s="18">
        <f t="shared" ca="1" si="15"/>
        <v>1291450.1252412067</v>
      </c>
      <c r="I57" s="18">
        <f t="shared" ca="1" si="15"/>
        <v>1507170.5457233598</v>
      </c>
      <c r="J57" s="18">
        <f t="shared" ca="1" si="15"/>
        <v>1511423.2299031555</v>
      </c>
      <c r="K57" s="18">
        <f t="shared" ca="1" si="15"/>
        <v>1516264.3831423693</v>
      </c>
      <c r="L57" s="18">
        <f t="shared" ca="1" si="15"/>
        <v>1736581.3690992959</v>
      </c>
      <c r="M57" s="18">
        <f t="shared" ca="1" si="15"/>
        <v>1743850.1160301787</v>
      </c>
      <c r="N57" s="18">
        <f t="shared" ca="1" si="15"/>
        <v>1752115.6042953006</v>
      </c>
    </row>
    <row r="58" spans="2:14" x14ac:dyDescent="0.3">
      <c r="B58" t="s">
        <v>628</v>
      </c>
      <c r="C58" t="s">
        <v>1</v>
      </c>
      <c r="D58" s="18">
        <f>(D38-$C20)*D$33</f>
        <v>944252.10861907352</v>
      </c>
      <c r="E58" s="18">
        <f t="shared" ref="E58:N58" ca="1" si="16">(E38-$C20)*E$33</f>
        <v>932782.75371787965</v>
      </c>
      <c r="F58" s="18">
        <f t="shared" ca="1" si="16"/>
        <v>924623.66952176136</v>
      </c>
      <c r="G58" s="18">
        <f t="shared" ca="1" si="16"/>
        <v>917563.19661814289</v>
      </c>
      <c r="H58" s="18">
        <f t="shared" ca="1" si="16"/>
        <v>915093.17197082972</v>
      </c>
      <c r="I58" s="18">
        <f t="shared" ca="1" si="16"/>
        <v>916023.09627304447</v>
      </c>
      <c r="J58" s="18">
        <f t="shared" ca="1" si="16"/>
        <v>918607.77850486024</v>
      </c>
      <c r="K58" s="18">
        <f t="shared" ca="1" si="16"/>
        <v>921550.11850234808</v>
      </c>
      <c r="L58" s="18">
        <f t="shared" ca="1" si="16"/>
        <v>924005.82598244492</v>
      </c>
      <c r="M58" s="18">
        <f t="shared" ca="1" si="16"/>
        <v>927873.40433566156</v>
      </c>
      <c r="N58" s="18">
        <f t="shared" ca="1" si="16"/>
        <v>932271.33203859627</v>
      </c>
    </row>
    <row r="59" spans="2:14" x14ac:dyDescent="0.3">
      <c r="D59" s="18"/>
      <c r="E59" s="18"/>
      <c r="F59" s="18"/>
      <c r="G59" s="18"/>
      <c r="H59" s="18"/>
      <c r="I59" s="18"/>
      <c r="J59" s="18"/>
      <c r="K59" s="18"/>
      <c r="L59" s="18"/>
      <c r="M59" s="18"/>
      <c r="N59" s="18"/>
    </row>
    <row r="60" spans="2:14" x14ac:dyDescent="0.3">
      <c r="B60" t="s">
        <v>473</v>
      </c>
      <c r="C60" t="s">
        <v>474</v>
      </c>
      <c r="D60" s="462">
        <f>D57*8</f>
        <v>12122321.039710648</v>
      </c>
      <c r="E60" s="462">
        <f ca="1">E57*8</f>
        <v>8784673.251209436</v>
      </c>
      <c r="F60" s="462">
        <f t="shared" ref="F60:M60" ca="1" si="17">F57*8</f>
        <v>10439202.392762927</v>
      </c>
      <c r="G60" s="462">
        <f t="shared" ca="1" si="17"/>
        <v>10359488.117583692</v>
      </c>
      <c r="H60" s="462">
        <f t="shared" ca="1" si="17"/>
        <v>10331601.001929654</v>
      </c>
      <c r="I60" s="462">
        <f t="shared" ca="1" si="17"/>
        <v>12057364.365786878</v>
      </c>
      <c r="J60" s="462">
        <f t="shared" ca="1" si="17"/>
        <v>12091385.839225244</v>
      </c>
      <c r="K60" s="462">
        <f t="shared" ca="1" si="17"/>
        <v>12130115.065138955</v>
      </c>
      <c r="L60" s="462">
        <f t="shared" ca="1" si="17"/>
        <v>13892650.952794367</v>
      </c>
      <c r="M60" s="462">
        <f t="shared" ca="1" si="17"/>
        <v>13950800.92824143</v>
      </c>
      <c r="N60" s="462">
        <f ca="1">N57*8</f>
        <v>14016924.834362404</v>
      </c>
    </row>
    <row r="61" spans="2:14" x14ac:dyDescent="0.3">
      <c r="B61" t="s">
        <v>628</v>
      </c>
      <c r="D61" s="462">
        <f>D58*8</f>
        <v>7554016.8689525882</v>
      </c>
      <c r="E61" s="462">
        <f t="shared" ref="E61:N61" ca="1" si="18">E58*8</f>
        <v>7462262.0297430372</v>
      </c>
      <c r="F61" s="462">
        <f t="shared" ca="1" si="18"/>
        <v>7396989.3561740909</v>
      </c>
      <c r="G61" s="462">
        <f t="shared" ca="1" si="18"/>
        <v>7340505.5729451431</v>
      </c>
      <c r="H61" s="462">
        <f t="shared" ca="1" si="18"/>
        <v>7320745.3757666377</v>
      </c>
      <c r="I61" s="462">
        <f t="shared" ca="1" si="18"/>
        <v>7328184.7701843558</v>
      </c>
      <c r="J61" s="462">
        <f t="shared" ca="1" si="18"/>
        <v>7348862.2280388819</v>
      </c>
      <c r="K61" s="462">
        <f t="shared" ca="1" si="18"/>
        <v>7372400.9480187846</v>
      </c>
      <c r="L61" s="462">
        <f t="shared" ca="1" si="18"/>
        <v>7392046.6078595594</v>
      </c>
      <c r="M61" s="462">
        <f t="shared" ca="1" si="18"/>
        <v>7422987.2346852925</v>
      </c>
      <c r="N61" s="462">
        <f t="shared" ca="1" si="18"/>
        <v>7458170.6563087702</v>
      </c>
    </row>
    <row r="62" spans="2:14" x14ac:dyDescent="0.3">
      <c r="D62" s="24">
        <f>(D60+D61)/$C$25</f>
        <v>0.85134279237588051</v>
      </c>
      <c r="E62" s="24">
        <f t="shared" ref="E62:N62" ca="1" si="19">(E60+E61)/$C$25</f>
        <v>0.70296166460662202</v>
      </c>
      <c r="F62" s="24">
        <f t="shared" ca="1" si="19"/>
        <v>0.77172456375665566</v>
      </c>
      <c r="G62" s="24">
        <f t="shared" ca="1" si="19"/>
        <v>0.76583163612451</v>
      </c>
      <c r="H62" s="24">
        <f t="shared" ca="1" si="19"/>
        <v>0.76377006366400624</v>
      </c>
      <c r="I62" s="24">
        <f t="shared" ca="1" si="19"/>
        <v>0.83876113582554412</v>
      </c>
      <c r="J62" s="24">
        <f t="shared" ca="1" si="19"/>
        <v>0.84112781305598361</v>
      </c>
      <c r="K62" s="24">
        <f t="shared" ca="1" si="19"/>
        <v>0.84382198141081965</v>
      </c>
      <c r="L62" s="24">
        <f t="shared" ca="1" si="19"/>
        <v>0.92093223547380487</v>
      </c>
      <c r="M62" s="24">
        <f t="shared" ca="1" si="19"/>
        <v>0.92478694880844314</v>
      </c>
      <c r="N62" s="24">
        <f t="shared" ca="1" si="19"/>
        <v>0.92917024735162002</v>
      </c>
    </row>
    <row r="63" spans="2:14" x14ac:dyDescent="0.3">
      <c r="B63" t="s">
        <v>629</v>
      </c>
      <c r="D63" s="18"/>
      <c r="E63" s="18">
        <f ca="1">E60+E61+'Tier III'!E82</f>
        <v>16719974.546913357</v>
      </c>
      <c r="F63" s="18">
        <f ca="1">F60+F61+'Tier III'!F82</f>
        <v>18533009.65965249</v>
      </c>
      <c r="G63" s="18">
        <f ca="1">G60+G61+'Tier III'!G82</f>
        <v>18653469.34023549</v>
      </c>
      <c r="H63" s="18">
        <f ca="1">H60+H61+'Tier III'!H82</f>
        <v>18894955.059604444</v>
      </c>
      <c r="I63" s="18">
        <f ca="1">I60+I61+'Tier III'!I82</f>
        <v>20951328.876966618</v>
      </c>
      <c r="J63" s="18">
        <f ca="1">J60+J61+'Tier III'!J82</f>
        <v>21364357.002753288</v>
      </c>
      <c r="K63" s="18">
        <f ca="1">K60+K61+'Tier III'!K82</f>
        <v>21820725.082395237</v>
      </c>
      <c r="L63" s="18">
        <f ca="1">L60+L61+'Tier III'!L82</f>
        <v>23943981.535537831</v>
      </c>
      <c r="M63" s="18">
        <f ca="1">M60+M61+'Tier III'!M82</f>
        <v>24387690.177879311</v>
      </c>
      <c r="N63" s="18">
        <f ca="1">N60+N61+'Tier III'!N82</f>
        <v>24860098.42467903</v>
      </c>
    </row>
    <row r="64" spans="2:14" x14ac:dyDescent="0.3">
      <c r="N64" s="323"/>
    </row>
    <row r="65" spans="14:14" x14ac:dyDescent="0.3">
      <c r="N65" s="323">
        <f ca="1">N63/(103000000+C25)</f>
        <v>0.19712695467333197</v>
      </c>
    </row>
  </sheetData>
  <phoneticPr fontId="36" type="noConversion"/>
  <pageMargins left="0.7" right="0.7" top="0.75" bottom="0.75" header="0.3" footer="0.3"/>
  <pageSetup orientation="portrait" verticalDpi="12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5"/>
  <sheetViews>
    <sheetView zoomScale="80" zoomScaleNormal="80" workbookViewId="0">
      <selection activeCell="F19" sqref="F19"/>
    </sheetView>
  </sheetViews>
  <sheetFormatPr defaultRowHeight="14.4" x14ac:dyDescent="0.3"/>
  <cols>
    <col min="1" max="1" width="52.44140625" style="29" bestFit="1" customWidth="1"/>
    <col min="2" max="2" width="9" customWidth="1"/>
    <col min="3" max="4" width="23.44140625" bestFit="1" customWidth="1"/>
    <col min="5" max="5" width="23.44140625" style="16" bestFit="1" customWidth="1"/>
    <col min="6" max="6" width="23.44140625" bestFit="1" customWidth="1"/>
    <col min="8" max="8" width="12.6640625" bestFit="1" customWidth="1"/>
    <col min="9" max="12" width="10.44140625" bestFit="1" customWidth="1"/>
  </cols>
  <sheetData>
    <row r="1" spans="1:14" ht="69.45" customHeight="1" x14ac:dyDescent="0.3">
      <c r="A1" s="221" t="s">
        <v>744</v>
      </c>
      <c r="C1" s="218" t="s">
        <v>244</v>
      </c>
      <c r="D1" s="219" t="s">
        <v>245</v>
      </c>
      <c r="E1" s="220" t="s">
        <v>246</v>
      </c>
      <c r="F1" t="s">
        <v>220</v>
      </c>
    </row>
    <row r="2" spans="1:14" ht="28.8" x14ac:dyDescent="0.3">
      <c r="A2" s="29" t="s">
        <v>221</v>
      </c>
      <c r="C2" s="64">
        <v>82.8</v>
      </c>
      <c r="D2" s="64">
        <v>40.777376910639312</v>
      </c>
      <c r="E2" s="16">
        <f ca="1">AVERAGE(OFFSET('Savings Calculator'!$I$3,H2,0,6))</f>
        <v>4741.5554547255015</v>
      </c>
      <c r="F2" s="64" t="e">
        <f ca="1">AVERAGE(OFFSET('Savings Calculator'!$N$3,H2,0,6))</f>
        <v>#REF!</v>
      </c>
      <c r="H2" s="560">
        <v>0</v>
      </c>
      <c r="I2" s="64"/>
      <c r="J2" s="64"/>
      <c r="K2" s="64"/>
      <c r="L2" s="31"/>
    </row>
    <row r="3" spans="1:14" ht="28.8" x14ac:dyDescent="0.3">
      <c r="A3" s="29" t="s">
        <v>222</v>
      </c>
      <c r="C3" s="64">
        <v>82.8</v>
      </c>
      <c r="D3" s="64">
        <v>31.378191532736952</v>
      </c>
      <c r="E3" s="16">
        <f ca="1">AVERAGE(OFFSET('Savings Calculator'!$I$3,H3,0,6))</f>
        <v>3648.6269224112734</v>
      </c>
      <c r="F3" s="64" t="e">
        <f ca="1">AVERAGE(OFFSET('Savings Calculator'!$N$3,H3,0,6))</f>
        <v>#REF!</v>
      </c>
      <c r="H3" s="560">
        <v>6</v>
      </c>
      <c r="I3" s="64"/>
      <c r="J3" s="64"/>
      <c r="K3" s="64"/>
      <c r="L3" s="31"/>
      <c r="N3">
        <f>400*34.47</f>
        <v>13788</v>
      </c>
    </row>
    <row r="4" spans="1:14" ht="28.8" x14ac:dyDescent="0.3">
      <c r="A4" s="29" t="s">
        <v>223</v>
      </c>
      <c r="C4" s="64">
        <v>82.8</v>
      </c>
      <c r="D4" s="64">
        <v>33.02967529761785</v>
      </c>
      <c r="E4" s="16">
        <f ca="1">AVERAGE(OFFSET('Savings Calculator'!$I$3,H4,0,6))</f>
        <v>3840.6599183276571</v>
      </c>
      <c r="F4" s="64" t="e">
        <f ca="1">AVERAGE(OFFSET('Savings Calculator'!$N$3,H4,0,6))</f>
        <v>#REF!</v>
      </c>
      <c r="H4" s="560">
        <v>12</v>
      </c>
      <c r="L4" s="31"/>
    </row>
    <row r="5" spans="1:14" ht="28.8" x14ac:dyDescent="0.3">
      <c r="A5" s="29" t="s">
        <v>224</v>
      </c>
      <c r="C5" s="64">
        <v>82.8</v>
      </c>
      <c r="D5" s="64">
        <v>38.738508065107347</v>
      </c>
      <c r="E5" s="16">
        <f ca="1">AVERAGE(OFFSET('Savings Calculator'!$I$3,H5,0,6))</f>
        <v>4504.4776819892259</v>
      </c>
      <c r="F5" s="64" t="e">
        <f ca="1">AVERAGE(OFFSET('Savings Calculator'!$N$3,H5,0,6))</f>
        <v>#REF!</v>
      </c>
      <c r="H5" s="560">
        <v>18</v>
      </c>
      <c r="L5" s="31"/>
    </row>
    <row r="6" spans="1:14" ht="28.8" x14ac:dyDescent="0.3">
      <c r="A6" s="29" t="s">
        <v>225</v>
      </c>
      <c r="C6" s="64">
        <v>82.8</v>
      </c>
      <c r="D6" s="64">
        <v>19.20093830085359</v>
      </c>
      <c r="E6" s="16">
        <f ca="1">AVERAGE(OFFSET('Savings Calculator'!$I$3,H6,0,6))</f>
        <v>2232.6672442853014</v>
      </c>
      <c r="F6" s="64" t="e">
        <f ca="1">AVERAGE(OFFSET('Savings Calculator'!$N$3,H6,0,6))</f>
        <v>#REF!</v>
      </c>
      <c r="H6" s="560">
        <v>24</v>
      </c>
      <c r="L6" s="31"/>
    </row>
    <row r="7" spans="1:14" ht="28.8" x14ac:dyDescent="0.3">
      <c r="A7" s="29" t="s">
        <v>226</v>
      </c>
      <c r="C7" s="64">
        <v>82.8</v>
      </c>
      <c r="D7" s="64">
        <v>14.775122022506837</v>
      </c>
      <c r="E7" s="16">
        <f ca="1">AVERAGE(OFFSET('Savings Calculator'!$I$3,H7,0,6))</f>
        <v>1718.0374444775391</v>
      </c>
      <c r="F7" s="64" t="e">
        <f ca="1">AVERAGE(OFFSET('Savings Calculator'!$N$3,H7,0,6))</f>
        <v>#REF!</v>
      </c>
      <c r="H7" s="560">
        <v>30</v>
      </c>
      <c r="L7" s="31"/>
    </row>
    <row r="8" spans="1:14" ht="28.8" x14ac:dyDescent="0.3">
      <c r="A8" s="29" t="s">
        <v>227</v>
      </c>
      <c r="C8" s="64">
        <v>82.8</v>
      </c>
      <c r="D8" s="64">
        <v>15.552760023691405</v>
      </c>
      <c r="E8" s="16">
        <f ca="1">AVERAGE(OFFSET('Savings Calculator'!$I$3,H8,0,6))</f>
        <v>1808.4604678710939</v>
      </c>
      <c r="F8" s="64" t="e">
        <f ca="1">AVERAGE(OFFSET('Savings Calculator'!$N$3,H8,0,6))</f>
        <v>#REF!</v>
      </c>
      <c r="H8" s="560">
        <v>36</v>
      </c>
      <c r="I8" s="64"/>
      <c r="J8" s="64"/>
      <c r="K8" s="64"/>
      <c r="L8" s="31"/>
    </row>
    <row r="9" spans="1:14" ht="28.8" x14ac:dyDescent="0.3">
      <c r="A9" s="29" t="s">
        <v>228</v>
      </c>
      <c r="C9" s="64">
        <v>82.8</v>
      </c>
      <c r="D9" s="64">
        <v>18.240891385810908</v>
      </c>
      <c r="E9" s="16">
        <f ca="1">AVERAGE(OFFSET('Savings Calculator'!$I$3,H9,0,6))</f>
        <v>2121.0338820710358</v>
      </c>
      <c r="F9" s="64" t="e">
        <f ca="1">AVERAGE(OFFSET('Savings Calculator'!$N$3,H9,0,6))</f>
        <v>#REF!</v>
      </c>
      <c r="H9" s="560">
        <v>42</v>
      </c>
      <c r="I9" s="64"/>
      <c r="J9" s="64"/>
      <c r="K9" s="249" t="s">
        <v>384</v>
      </c>
      <c r="L9" s="31"/>
    </row>
    <row r="10" spans="1:14" s="33" customFormat="1" x14ac:dyDescent="0.3">
      <c r="A10" s="71" t="s">
        <v>242</v>
      </c>
      <c r="C10" s="216">
        <f>AVERAGE(C2:C9)</f>
        <v>82.8</v>
      </c>
      <c r="D10" s="216">
        <f>AVERAGE(D2:D9)</f>
        <v>26.461682942370523</v>
      </c>
      <c r="E10" s="67">
        <f ca="1">AVERAGE(E2:E9)</f>
        <v>3076.9398770198286</v>
      </c>
      <c r="F10" s="216" t="e">
        <f ca="1">AVERAGE(F2:F9)</f>
        <v>#REF!</v>
      </c>
      <c r="H10" s="216"/>
      <c r="I10" s="216"/>
      <c r="J10" s="216"/>
      <c r="K10" s="249"/>
      <c r="L10" s="217"/>
    </row>
    <row r="11" spans="1:14" x14ac:dyDescent="0.3">
      <c r="C11" s="64"/>
      <c r="D11" s="64"/>
      <c r="F11" s="64"/>
      <c r="H11" s="64"/>
      <c r="I11" s="64"/>
      <c r="J11" s="64"/>
      <c r="K11" s="64"/>
      <c r="L11" s="31"/>
    </row>
    <row r="12" spans="1:14" x14ac:dyDescent="0.3">
      <c r="A12" s="29" t="s">
        <v>229</v>
      </c>
      <c r="C12" s="64">
        <v>12.133333333333335</v>
      </c>
      <c r="D12" s="64">
        <v>12.133333333333335</v>
      </c>
      <c r="E12" s="16">
        <v>1323.4371712601819</v>
      </c>
      <c r="F12" s="64">
        <v>11.23143978091654</v>
      </c>
    </row>
    <row r="14" spans="1:14" x14ac:dyDescent="0.3">
      <c r="A14" s="29" t="s">
        <v>230</v>
      </c>
      <c r="C14" s="64">
        <v>0.13847999999999999</v>
      </c>
      <c r="D14" s="64">
        <v>4.40375E-2</v>
      </c>
      <c r="E14" s="16">
        <v>0</v>
      </c>
      <c r="F14" s="64">
        <v>4.7799305329425815E-3</v>
      </c>
    </row>
    <row r="15" spans="1:14" x14ac:dyDescent="0.3">
      <c r="A15" s="29" t="s">
        <v>231</v>
      </c>
      <c r="C15" s="64">
        <v>94.965000000000003</v>
      </c>
      <c r="D15" s="64">
        <v>71.22375000000001</v>
      </c>
      <c r="E15" s="16">
        <v>507.25</v>
      </c>
      <c r="F15" s="64">
        <v>127.74678868446762</v>
      </c>
    </row>
    <row r="17" spans="1:11" x14ac:dyDescent="0.3">
      <c r="A17" s="29" t="s">
        <v>232</v>
      </c>
      <c r="C17" s="64">
        <v>43.5</v>
      </c>
      <c r="D17" s="64">
        <v>43.498209301364632</v>
      </c>
      <c r="E17" s="16">
        <v>2757.84</v>
      </c>
      <c r="F17" s="64">
        <v>29.497637539446114</v>
      </c>
    </row>
    <row r="18" spans="1:11" x14ac:dyDescent="0.3">
      <c r="A18" s="29" t="s">
        <v>233</v>
      </c>
      <c r="C18" s="64">
        <v>43.5</v>
      </c>
      <c r="D18" s="64">
        <v>32.445634741366938</v>
      </c>
      <c r="E18" s="16">
        <v>1697.81</v>
      </c>
      <c r="F18" s="64">
        <v>23.080354644625583</v>
      </c>
    </row>
    <row r="19" spans="1:11" s="33" customFormat="1" x14ac:dyDescent="0.3">
      <c r="A19" s="71" t="s">
        <v>745</v>
      </c>
      <c r="C19" s="216">
        <f>0.7*C17+0.3*C18</f>
        <v>43.5</v>
      </c>
      <c r="D19" s="216">
        <f t="shared" ref="D19:F19" si="0">0.7*D17+0.3*D18</f>
        <v>40.182436933365324</v>
      </c>
      <c r="E19" s="216">
        <f t="shared" si="0"/>
        <v>2439.8310000000001</v>
      </c>
      <c r="F19" s="216">
        <f t="shared" si="0"/>
        <v>27.572452670999954</v>
      </c>
    </row>
    <row r="20" spans="1:11" x14ac:dyDescent="0.3">
      <c r="C20" s="19"/>
      <c r="D20" s="19"/>
      <c r="E20" s="47"/>
      <c r="F20" s="19"/>
    </row>
    <row r="21" spans="1:11" x14ac:dyDescent="0.3">
      <c r="A21" s="29" t="s">
        <v>234</v>
      </c>
      <c r="C21" s="215" t="e">
        <v>#DIV/0!</v>
      </c>
      <c r="D21" s="215">
        <v>15.09</v>
      </c>
      <c r="E21" s="47">
        <v>1185</v>
      </c>
      <c r="F21" s="215">
        <v>12.089329632041682</v>
      </c>
    </row>
    <row r="22" spans="1:11" x14ac:dyDescent="0.3">
      <c r="A22" s="29" t="s">
        <v>235</v>
      </c>
      <c r="C22" s="215" t="e">
        <v>#DIV/0!</v>
      </c>
      <c r="D22" s="215">
        <v>43.15</v>
      </c>
      <c r="E22" s="47">
        <v>3389</v>
      </c>
      <c r="F22" s="215">
        <v>34.567812619125149</v>
      </c>
    </row>
    <row r="23" spans="1:11" x14ac:dyDescent="0.3">
      <c r="A23" s="29" t="s">
        <v>236</v>
      </c>
      <c r="C23" s="215" t="e">
        <v>#DIV/0!</v>
      </c>
      <c r="D23" s="215">
        <v>23.03</v>
      </c>
      <c r="E23" s="47">
        <v>1809</v>
      </c>
      <c r="F23" s="215">
        <v>18.448706443069579</v>
      </c>
    </row>
    <row r="24" spans="1:11" x14ac:dyDescent="0.3">
      <c r="K24" s="64"/>
    </row>
    <row r="25" spans="1:11" x14ac:dyDescent="0.3">
      <c r="A25" s="29" t="s">
        <v>237</v>
      </c>
      <c r="C25" s="64">
        <v>82.8</v>
      </c>
      <c r="D25" s="64">
        <v>4.3600000000000003</v>
      </c>
      <c r="E25" s="16">
        <v>0</v>
      </c>
      <c r="F25" s="64">
        <v>4.7324432866601551</v>
      </c>
      <c r="H25" s="64"/>
      <c r="I25" s="64"/>
      <c r="J25" s="64"/>
      <c r="K25" s="64"/>
    </row>
    <row r="26" spans="1:11" x14ac:dyDescent="0.3">
      <c r="A26" s="29" t="s">
        <v>238</v>
      </c>
      <c r="C26" s="64">
        <v>38.299999999999997</v>
      </c>
      <c r="D26" s="64">
        <v>6.1589999999999998</v>
      </c>
      <c r="E26" s="16">
        <v>30</v>
      </c>
      <c r="F26" s="64">
        <v>5.2580950830348421</v>
      </c>
      <c r="H26" s="64"/>
      <c r="I26" s="64"/>
      <c r="J26" s="64"/>
      <c r="K26" s="64"/>
    </row>
    <row r="27" spans="1:11" x14ac:dyDescent="0.3">
      <c r="A27" s="29" t="s">
        <v>239</v>
      </c>
      <c r="C27" s="64">
        <v>12.1</v>
      </c>
      <c r="D27" s="64">
        <v>9.803333333333332E-2</v>
      </c>
      <c r="E27" s="16">
        <v>0</v>
      </c>
      <c r="F27" s="64">
        <v>0.10640761243170883</v>
      </c>
    </row>
    <row r="28" spans="1:11" x14ac:dyDescent="0.3">
      <c r="A28" s="29" t="s">
        <v>240</v>
      </c>
      <c r="C28" s="64">
        <v>12.1</v>
      </c>
      <c r="D28" s="64">
        <v>1.6</v>
      </c>
      <c r="E28" s="16">
        <v>0</v>
      </c>
      <c r="F28" s="64">
        <v>1.7366764354716162</v>
      </c>
    </row>
    <row r="29" spans="1:11" x14ac:dyDescent="0.3">
      <c r="A29" s="29" t="s">
        <v>241</v>
      </c>
      <c r="C29" s="64">
        <v>15.02</v>
      </c>
      <c r="D29" s="64">
        <v>10.07</v>
      </c>
      <c r="E29" s="16">
        <v>0</v>
      </c>
      <c r="F29" s="64">
        <v>21.860414631498969</v>
      </c>
    </row>
    <row r="31" spans="1:11" ht="15" thickBot="1" x14ac:dyDescent="0.35"/>
    <row r="32" spans="1:11" x14ac:dyDescent="0.3">
      <c r="C32" s="172"/>
      <c r="D32" s="254" t="s">
        <v>385</v>
      </c>
      <c r="E32" s="254" t="s">
        <v>386</v>
      </c>
      <c r="F32" s="255" t="s">
        <v>387</v>
      </c>
    </row>
    <row r="33" spans="1:6" x14ac:dyDescent="0.3">
      <c r="C33" s="256" t="s">
        <v>6</v>
      </c>
      <c r="D33" s="250">
        <f>D10</f>
        <v>26.461682942370523</v>
      </c>
      <c r="E33" s="250">
        <f>AVERAGE(139,161.3)</f>
        <v>150.15</v>
      </c>
      <c r="F33" s="251">
        <f>E33*D33</f>
        <v>3973.2216937969342</v>
      </c>
    </row>
    <row r="34" spans="1:6" x14ac:dyDescent="0.3">
      <c r="C34" s="257" t="s">
        <v>7</v>
      </c>
      <c r="D34" s="250">
        <f>D19</f>
        <v>40.182436933365324</v>
      </c>
      <c r="E34" s="252">
        <v>157.19999999999999</v>
      </c>
      <c r="F34" s="251">
        <f>E34*D34</f>
        <v>6316.6790859250286</v>
      </c>
    </row>
    <row r="35" spans="1:6" x14ac:dyDescent="0.3">
      <c r="C35" s="154" t="s">
        <v>426</v>
      </c>
      <c r="D35" s="324">
        <f>D12</f>
        <v>12.133333333333335</v>
      </c>
      <c r="E35" s="250">
        <f>AVERAGE(139,161.3)</f>
        <v>150.15</v>
      </c>
      <c r="F35" s="251">
        <f t="shared" ref="F35:F42" si="1">E35*D35</f>
        <v>1821.8200000000002</v>
      </c>
    </row>
    <row r="36" spans="1:6" x14ac:dyDescent="0.3">
      <c r="C36" s="154" t="s">
        <v>427</v>
      </c>
      <c r="D36" s="324">
        <f>AVERAGE(D21:D23)</f>
        <v>27.09</v>
      </c>
      <c r="E36" s="252">
        <v>157.19999999999999</v>
      </c>
      <c r="F36" s="251">
        <f t="shared" si="1"/>
        <v>4258.5479999999998</v>
      </c>
    </row>
    <row r="37" spans="1:6" x14ac:dyDescent="0.3">
      <c r="C37" s="154" t="s">
        <v>428</v>
      </c>
      <c r="D37" s="324">
        <f>D25</f>
        <v>4.3600000000000003</v>
      </c>
      <c r="E37" s="250">
        <f>AVERAGE(139,161.3,117)</f>
        <v>139.1</v>
      </c>
      <c r="F37" s="251">
        <f t="shared" si="1"/>
        <v>606.476</v>
      </c>
    </row>
    <row r="38" spans="1:6" x14ac:dyDescent="0.3">
      <c r="C38" s="154" t="s">
        <v>429</v>
      </c>
      <c r="D38" s="155"/>
      <c r="E38" s="274"/>
      <c r="F38" s="251">
        <f t="shared" si="1"/>
        <v>0</v>
      </c>
    </row>
    <row r="39" spans="1:6" x14ac:dyDescent="0.3">
      <c r="C39" s="329" t="s">
        <v>23</v>
      </c>
      <c r="D39" s="326"/>
      <c r="E39" s="327"/>
      <c r="F39" s="328">
        <f t="shared" si="1"/>
        <v>0</v>
      </c>
    </row>
    <row r="40" spans="1:6" x14ac:dyDescent="0.3">
      <c r="C40" s="329" t="s">
        <v>24</v>
      </c>
      <c r="D40" s="359">
        <f>B55</f>
        <v>17.233066666666669</v>
      </c>
      <c r="E40" s="327">
        <f>AVERAGE(139,161.3)</f>
        <v>150.15</v>
      </c>
      <c r="F40" s="328">
        <f>E40*D40</f>
        <v>2587.5449600000006</v>
      </c>
    </row>
    <row r="41" spans="1:6" x14ac:dyDescent="0.3">
      <c r="C41" s="154" t="s">
        <v>430</v>
      </c>
      <c r="D41" s="324">
        <f>D15</f>
        <v>71.22375000000001</v>
      </c>
      <c r="E41" s="250">
        <f>AVERAGE(139,161.3)</f>
        <v>150.15</v>
      </c>
      <c r="F41" s="251">
        <f t="shared" si="1"/>
        <v>10694.246062500002</v>
      </c>
    </row>
    <row r="42" spans="1:6" ht="15" thickBot="1" x14ac:dyDescent="0.35">
      <c r="C42" s="167" t="s">
        <v>70</v>
      </c>
      <c r="D42" s="169"/>
      <c r="E42" s="253"/>
      <c r="F42" s="325">
        <f t="shared" si="1"/>
        <v>0</v>
      </c>
    </row>
    <row r="47" spans="1:6" ht="15" thickBot="1" x14ac:dyDescent="0.35"/>
    <row r="48" spans="1:6" x14ac:dyDescent="0.3">
      <c r="A48" s="358" t="s">
        <v>140</v>
      </c>
      <c r="B48" s="352"/>
    </row>
    <row r="49" spans="1:2" x14ac:dyDescent="0.3">
      <c r="A49" s="353" t="s">
        <v>448</v>
      </c>
      <c r="B49" s="354">
        <v>1</v>
      </c>
    </row>
    <row r="50" spans="1:2" x14ac:dyDescent="0.3">
      <c r="A50" s="353" t="s">
        <v>449</v>
      </c>
      <c r="B50" s="354">
        <v>30</v>
      </c>
    </row>
    <row r="51" spans="1:2" x14ac:dyDescent="0.3">
      <c r="A51" s="353" t="s">
        <v>450</v>
      </c>
      <c r="B51" s="268">
        <v>9232</v>
      </c>
    </row>
    <row r="52" spans="1:2" x14ac:dyDescent="0.3">
      <c r="A52" s="353" t="s">
        <v>451</v>
      </c>
      <c r="B52" s="561">
        <f>B49*B51/(B50*1000)</f>
        <v>0.30773333333333336</v>
      </c>
    </row>
    <row r="53" spans="1:2" x14ac:dyDescent="0.3">
      <c r="A53" s="355"/>
      <c r="B53" s="354"/>
    </row>
    <row r="54" spans="1:2" x14ac:dyDescent="0.3">
      <c r="A54" s="353" t="s">
        <v>746</v>
      </c>
      <c r="B54" s="354">
        <v>56</v>
      </c>
    </row>
    <row r="55" spans="1:2" ht="15" thickBot="1" x14ac:dyDescent="0.35">
      <c r="A55" s="356" t="s">
        <v>452</v>
      </c>
      <c r="B55" s="357">
        <f>B54*B52</f>
        <v>17.233066666666669</v>
      </c>
    </row>
  </sheetData>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6F72-1DAE-469D-B5B3-D2E606051D1B}">
  <dimension ref="A1:K19"/>
  <sheetViews>
    <sheetView zoomScale="80" zoomScaleNormal="80" workbookViewId="0">
      <selection activeCell="G11" sqref="G11"/>
    </sheetView>
  </sheetViews>
  <sheetFormatPr defaultRowHeight="14.4" x14ac:dyDescent="0.3"/>
  <cols>
    <col min="6" max="6" width="2.109375" customWidth="1"/>
    <col min="9" max="9" width="11.5546875" bestFit="1" customWidth="1"/>
  </cols>
  <sheetData>
    <row r="1" spans="1:11" x14ac:dyDescent="0.3">
      <c r="G1" s="580" t="s">
        <v>488</v>
      </c>
      <c r="H1" s="580"/>
      <c r="I1" s="580"/>
    </row>
    <row r="2" spans="1:11" s="417" customFormat="1" ht="28.8" x14ac:dyDescent="0.3">
      <c r="B2" s="417" t="s">
        <v>484</v>
      </c>
      <c r="C2" s="417" t="s">
        <v>485</v>
      </c>
      <c r="D2" s="417" t="s">
        <v>486</v>
      </c>
      <c r="E2" s="417" t="s">
        <v>487</v>
      </c>
      <c r="G2" s="417" t="s">
        <v>484</v>
      </c>
      <c r="H2" s="417" t="s">
        <v>486</v>
      </c>
      <c r="I2" s="417" t="s">
        <v>487</v>
      </c>
    </row>
    <row r="3" spans="1:11" s="29" customFormat="1" x14ac:dyDescent="0.3"/>
    <row r="4" spans="1:11" x14ac:dyDescent="0.3">
      <c r="A4">
        <v>2017</v>
      </c>
      <c r="B4" s="321">
        <v>0.55000000000000004</v>
      </c>
      <c r="C4" s="23">
        <f>B4-D4</f>
        <v>0.54</v>
      </c>
      <c r="D4" s="23">
        <v>0.01</v>
      </c>
      <c r="E4" s="23">
        <v>0.02</v>
      </c>
      <c r="G4" s="31">
        <v>10</v>
      </c>
      <c r="H4" s="31">
        <v>60</v>
      </c>
      <c r="I4" s="31">
        <f>H4</f>
        <v>60</v>
      </c>
    </row>
    <row r="5" spans="1:11" x14ac:dyDescent="0.3">
      <c r="A5">
        <v>2018</v>
      </c>
      <c r="B5" s="321">
        <v>0.55000000000000004</v>
      </c>
      <c r="C5" s="23">
        <f>B5-D5</f>
        <v>0.53400000000000003</v>
      </c>
      <c r="D5" s="321">
        <f t="shared" ref="D5:D19" si="0">D4+0.006</f>
        <v>1.6E-2</v>
      </c>
      <c r="E5" s="321">
        <f t="shared" ref="E5:E19" si="1">E4+2/300</f>
        <v>2.6666666666666668E-2</v>
      </c>
      <c r="G5" s="31">
        <v>10.130000000000001</v>
      </c>
      <c r="H5" s="31">
        <v>60.78</v>
      </c>
      <c r="I5" s="31">
        <f>H5</f>
        <v>60.78</v>
      </c>
    </row>
    <row r="6" spans="1:11" x14ac:dyDescent="0.3">
      <c r="A6">
        <v>2019</v>
      </c>
      <c r="B6" s="321">
        <v>0.55000000000000004</v>
      </c>
      <c r="C6" s="23">
        <v>0.52800000000000002</v>
      </c>
      <c r="D6" s="321">
        <f t="shared" si="0"/>
        <v>2.1999999999999999E-2</v>
      </c>
      <c r="E6" s="321">
        <f t="shared" si="1"/>
        <v>3.3333333333333333E-2</v>
      </c>
      <c r="G6" s="31">
        <v>10.4</v>
      </c>
      <c r="H6" s="31">
        <v>62.42</v>
      </c>
      <c r="I6" s="31">
        <v>62.42</v>
      </c>
      <c r="K6" s="61"/>
    </row>
    <row r="7" spans="1:11" x14ac:dyDescent="0.3">
      <c r="A7">
        <v>2020</v>
      </c>
      <c r="B7" s="321">
        <v>0.59</v>
      </c>
      <c r="C7" s="23">
        <v>0.56199999999999994</v>
      </c>
      <c r="D7" s="321">
        <f t="shared" si="0"/>
        <v>2.7999999999999997E-2</v>
      </c>
      <c r="E7" s="321">
        <f t="shared" si="1"/>
        <v>0.04</v>
      </c>
      <c r="G7" s="31"/>
      <c r="H7" s="31"/>
      <c r="I7" s="31"/>
    </row>
    <row r="8" spans="1:11" x14ac:dyDescent="0.3">
      <c r="A8">
        <v>2021</v>
      </c>
      <c r="B8" s="321">
        <v>0.59</v>
      </c>
      <c r="C8" s="23">
        <v>0.55599999999999994</v>
      </c>
      <c r="D8" s="321">
        <f t="shared" si="0"/>
        <v>3.3999999999999996E-2</v>
      </c>
      <c r="E8" s="321">
        <f t="shared" si="1"/>
        <v>4.6666666666666669E-2</v>
      </c>
      <c r="G8" s="31"/>
      <c r="H8" s="31"/>
      <c r="I8" s="31"/>
    </row>
    <row r="9" spans="1:11" x14ac:dyDescent="0.3">
      <c r="A9">
        <v>2022</v>
      </c>
      <c r="B9" s="321">
        <v>0.59</v>
      </c>
      <c r="C9" s="23">
        <v>0.54999999999999993</v>
      </c>
      <c r="D9" s="321">
        <f t="shared" si="0"/>
        <v>3.9999999999999994E-2</v>
      </c>
      <c r="E9" s="321">
        <f t="shared" si="1"/>
        <v>5.3333333333333337E-2</v>
      </c>
      <c r="G9" s="31"/>
      <c r="H9" s="31"/>
      <c r="I9" s="31"/>
    </row>
    <row r="10" spans="1:11" x14ac:dyDescent="0.3">
      <c r="A10">
        <v>2023</v>
      </c>
      <c r="B10" s="321">
        <v>0.63</v>
      </c>
      <c r="C10" s="23">
        <v>0.58399999999999996</v>
      </c>
      <c r="D10" s="321">
        <f t="shared" si="0"/>
        <v>4.5999999999999992E-2</v>
      </c>
      <c r="E10" s="321">
        <f t="shared" si="1"/>
        <v>6.0000000000000005E-2</v>
      </c>
      <c r="G10" s="31"/>
      <c r="H10" s="31"/>
      <c r="I10" s="31"/>
    </row>
    <row r="11" spans="1:11" x14ac:dyDescent="0.3">
      <c r="A11">
        <v>2024</v>
      </c>
      <c r="B11" s="321">
        <v>0.63000000000000012</v>
      </c>
      <c r="C11" s="23">
        <v>0.57800000000000007</v>
      </c>
      <c r="D11" s="321">
        <f t="shared" si="0"/>
        <v>5.1999999999999991E-2</v>
      </c>
      <c r="E11" s="321">
        <f t="shared" si="1"/>
        <v>6.6666666666666666E-2</v>
      </c>
      <c r="G11" s="31"/>
      <c r="H11" s="31"/>
      <c r="I11" s="31"/>
    </row>
    <row r="12" spans="1:11" x14ac:dyDescent="0.3">
      <c r="A12">
        <v>2025</v>
      </c>
      <c r="B12" s="321">
        <v>0.63</v>
      </c>
      <c r="C12" s="23">
        <v>0.57200000000000006</v>
      </c>
      <c r="D12" s="321">
        <f t="shared" si="0"/>
        <v>5.7999999999999989E-2</v>
      </c>
      <c r="E12" s="321">
        <f t="shared" si="1"/>
        <v>7.3333333333333334E-2</v>
      </c>
      <c r="G12" s="31"/>
      <c r="H12" s="31"/>
      <c r="I12" s="31"/>
    </row>
    <row r="13" spans="1:11" x14ac:dyDescent="0.3">
      <c r="A13">
        <v>2026</v>
      </c>
      <c r="B13" s="321">
        <v>0.67</v>
      </c>
      <c r="C13" s="23">
        <v>0.60600000000000009</v>
      </c>
      <c r="D13" s="321">
        <f t="shared" si="0"/>
        <v>6.3999999999999987E-2</v>
      </c>
      <c r="E13" s="321">
        <f t="shared" si="1"/>
        <v>0.08</v>
      </c>
      <c r="G13" s="31"/>
      <c r="H13" s="31"/>
      <c r="I13" s="31"/>
    </row>
    <row r="14" spans="1:11" x14ac:dyDescent="0.3">
      <c r="A14">
        <v>2027</v>
      </c>
      <c r="B14" s="321">
        <v>0.67</v>
      </c>
      <c r="C14" s="23">
        <v>0.60000000000000009</v>
      </c>
      <c r="D14" s="321">
        <f t="shared" si="0"/>
        <v>6.9999999999999993E-2</v>
      </c>
      <c r="E14" s="321">
        <f t="shared" si="1"/>
        <v>8.666666666666667E-2</v>
      </c>
      <c r="G14" s="31"/>
      <c r="H14" s="31"/>
      <c r="I14" s="31"/>
    </row>
    <row r="15" spans="1:11" s="72" customFormat="1" x14ac:dyDescent="0.3">
      <c r="A15" s="72">
        <v>2028</v>
      </c>
      <c r="B15" s="418">
        <v>0.67</v>
      </c>
      <c r="C15" s="419">
        <f>B15-D15</f>
        <v>0.59400000000000008</v>
      </c>
      <c r="D15" s="418">
        <f t="shared" si="0"/>
        <v>7.5999999999999998E-2</v>
      </c>
      <c r="E15" s="418">
        <f t="shared" si="1"/>
        <v>9.3333333333333338E-2</v>
      </c>
      <c r="G15" s="41"/>
      <c r="H15" s="41"/>
      <c r="I15" s="41"/>
    </row>
    <row r="16" spans="1:11" x14ac:dyDescent="0.3">
      <c r="A16">
        <v>2029</v>
      </c>
      <c r="B16" s="321">
        <v>0.71000000000000008</v>
      </c>
      <c r="C16" s="23">
        <f>B16-D16</f>
        <v>0.62800000000000011</v>
      </c>
      <c r="D16" s="321">
        <f t="shared" si="0"/>
        <v>8.2000000000000003E-2</v>
      </c>
      <c r="E16" s="321">
        <f t="shared" si="1"/>
        <v>0.1</v>
      </c>
      <c r="G16" s="31"/>
      <c r="H16" s="31"/>
      <c r="I16" s="31"/>
    </row>
    <row r="17" spans="1:9" x14ac:dyDescent="0.3">
      <c r="A17">
        <v>2030</v>
      </c>
      <c r="B17" s="321">
        <v>0.71000000000000008</v>
      </c>
      <c r="C17" s="23">
        <f>B17-D17</f>
        <v>0.62200000000000011</v>
      </c>
      <c r="D17" s="321">
        <f t="shared" si="0"/>
        <v>8.8000000000000009E-2</v>
      </c>
      <c r="E17" s="321">
        <f t="shared" si="1"/>
        <v>0.10666666666666667</v>
      </c>
      <c r="G17" s="31"/>
      <c r="H17" s="31"/>
      <c r="I17" s="31"/>
    </row>
    <row r="18" spans="1:9" x14ac:dyDescent="0.3">
      <c r="A18">
        <v>2031</v>
      </c>
      <c r="B18" s="321">
        <v>0.71000000000000008</v>
      </c>
      <c r="C18" s="23">
        <f>B18-D18</f>
        <v>0.6160000000000001</v>
      </c>
      <c r="D18" s="321">
        <f t="shared" si="0"/>
        <v>9.4000000000000014E-2</v>
      </c>
      <c r="E18" s="321">
        <f t="shared" si="1"/>
        <v>0.11333333333333334</v>
      </c>
      <c r="G18" s="31"/>
      <c r="H18" s="31"/>
      <c r="I18" s="31"/>
    </row>
    <row r="19" spans="1:9" x14ac:dyDescent="0.3">
      <c r="A19">
        <v>2032</v>
      </c>
      <c r="B19" s="321">
        <v>0.75000000000000011</v>
      </c>
      <c r="C19" s="23">
        <f>B19-D19</f>
        <v>0.65000000000000013</v>
      </c>
      <c r="D19" s="321">
        <f t="shared" si="0"/>
        <v>0.10000000000000002</v>
      </c>
      <c r="E19" s="321">
        <f t="shared" si="1"/>
        <v>0.12000000000000001</v>
      </c>
      <c r="G19" s="31"/>
      <c r="H19" s="31"/>
      <c r="I19" s="31"/>
    </row>
  </sheetData>
  <mergeCells count="1">
    <mergeCell ref="G1:I1"/>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B116"/>
  <sheetViews>
    <sheetView zoomScale="80" zoomScaleNormal="80" workbookViewId="0">
      <selection activeCell="E33" sqref="E33"/>
    </sheetView>
  </sheetViews>
  <sheetFormatPr defaultColWidth="10.109375" defaultRowHeight="14.4" x14ac:dyDescent="0.3"/>
  <cols>
    <col min="1" max="1" width="31.33203125" customWidth="1"/>
    <col min="2" max="22" width="11.5546875" customWidth="1"/>
  </cols>
  <sheetData>
    <row r="2" spans="1:11" x14ac:dyDescent="0.3">
      <c r="B2" t="s">
        <v>98</v>
      </c>
      <c r="C2" t="s">
        <v>6</v>
      </c>
      <c r="G2" t="s">
        <v>98</v>
      </c>
      <c r="H2" t="s">
        <v>7</v>
      </c>
      <c r="J2" s="64">
        <f>htg_load_CCHP_space/T3_credit_CCHP_space</f>
        <v>1.7397280977931384</v>
      </c>
      <c r="K2" t="s">
        <v>99</v>
      </c>
    </row>
    <row r="3" spans="1:11" x14ac:dyDescent="0.3">
      <c r="A3" t="s">
        <v>100</v>
      </c>
      <c r="B3" s="89">
        <v>85</v>
      </c>
      <c r="C3">
        <f>B3</f>
        <v>85</v>
      </c>
      <c r="F3" s="65" t="s">
        <v>148</v>
      </c>
      <c r="G3" s="133">
        <v>10000</v>
      </c>
      <c r="H3" s="16">
        <f>G3</f>
        <v>10000</v>
      </c>
    </row>
    <row r="4" spans="1:11" x14ac:dyDescent="0.3">
      <c r="A4" t="s">
        <v>101</v>
      </c>
      <c r="B4" s="89">
        <v>15</v>
      </c>
      <c r="C4">
        <f>B4</f>
        <v>15</v>
      </c>
      <c r="F4" s="65" t="s">
        <v>149</v>
      </c>
      <c r="G4" s="134">
        <v>25000</v>
      </c>
      <c r="H4" s="134">
        <v>35000</v>
      </c>
      <c r="J4" t="s">
        <v>102</v>
      </c>
    </row>
    <row r="5" spans="1:11" x14ac:dyDescent="0.3">
      <c r="A5" t="s">
        <v>103</v>
      </c>
      <c r="B5" s="90">
        <v>5000</v>
      </c>
      <c r="C5" s="90">
        <v>3000</v>
      </c>
      <c r="F5" s="65" t="s">
        <v>150</v>
      </c>
      <c r="G5" s="24">
        <v>0</v>
      </c>
      <c r="H5" s="24">
        <v>-0.03</v>
      </c>
      <c r="J5" t="s">
        <v>104</v>
      </c>
    </row>
    <row r="6" spans="1:11" x14ac:dyDescent="0.3">
      <c r="A6" t="s">
        <v>105</v>
      </c>
      <c r="B6" s="90">
        <v>1600</v>
      </c>
      <c r="C6" s="90">
        <f>B6+150</f>
        <v>1750</v>
      </c>
      <c r="F6" s="65" t="s">
        <v>151</v>
      </c>
      <c r="G6" s="123">
        <f>((1/25.3)*121160)/1000000</f>
        <v>4.7889328063241109E-3</v>
      </c>
      <c r="H6" s="123">
        <f>((1/3)*3412)/1000000</f>
        <v>1.1373333333333333E-3</v>
      </c>
    </row>
    <row r="7" spans="1:11" x14ac:dyDescent="0.3">
      <c r="A7" s="22" t="s">
        <v>106</v>
      </c>
      <c r="B7" s="35">
        <f>inflation_rate</f>
        <v>1.9E-2</v>
      </c>
      <c r="C7" s="35">
        <v>0.01</v>
      </c>
      <c r="F7" s="65" t="s">
        <v>152</v>
      </c>
      <c r="G7" s="22">
        <f>G3*G6</f>
        <v>47.889328063241109</v>
      </c>
      <c r="H7" s="22">
        <f>H3*H6</f>
        <v>11.373333333333333</v>
      </c>
      <c r="J7" t="s">
        <v>107</v>
      </c>
    </row>
    <row r="8" spans="1:11" x14ac:dyDescent="0.3">
      <c r="A8" s="22" t="s">
        <v>108</v>
      </c>
      <c r="B8" s="135" t="s">
        <v>109</v>
      </c>
      <c r="C8" s="34">
        <v>0.5</v>
      </c>
      <c r="F8" s="65" t="s">
        <v>153</v>
      </c>
      <c r="G8" s="124">
        <f>2606/150000</f>
        <v>1.7373333333333334E-2</v>
      </c>
      <c r="H8" s="124">
        <f>529/150000</f>
        <v>3.5266666666666667E-3</v>
      </c>
      <c r="J8" t="s">
        <v>110</v>
      </c>
    </row>
    <row r="9" spans="1:11" x14ac:dyDescent="0.3">
      <c r="A9" s="22" t="s">
        <v>111</v>
      </c>
      <c r="B9" s="135" t="s">
        <v>109</v>
      </c>
      <c r="C9" s="34">
        <v>1</v>
      </c>
      <c r="F9" s="65" t="s">
        <v>154</v>
      </c>
      <c r="G9" s="96">
        <f>G8*G3</f>
        <v>173.73333333333335</v>
      </c>
      <c r="H9" s="96">
        <f>H8*G3</f>
        <v>35.266666666666666</v>
      </c>
      <c r="J9" t="s">
        <v>102</v>
      </c>
      <c r="K9" s="91"/>
    </row>
    <row r="10" spans="1:11" x14ac:dyDescent="0.3">
      <c r="A10" s="22" t="s">
        <v>112</v>
      </c>
      <c r="B10" s="135" t="s">
        <v>109</v>
      </c>
      <c r="C10" s="92">
        <f>htg_load_baseline_space*C8</f>
        <v>42.5</v>
      </c>
      <c r="F10" s="65" t="s">
        <v>155</v>
      </c>
      <c r="G10" s="1" t="s">
        <v>109</v>
      </c>
      <c r="H10" s="125">
        <f>H7/3.412</f>
        <v>3.3333333333333335</v>
      </c>
    </row>
    <row r="11" spans="1:11" x14ac:dyDescent="0.3">
      <c r="A11" s="22" t="s">
        <v>113</v>
      </c>
      <c r="B11" s="135" t="s">
        <v>109</v>
      </c>
      <c r="C11" s="92">
        <f>htg_load_baseline_water*C9</f>
        <v>15</v>
      </c>
      <c r="F11" s="65" t="s">
        <v>156</v>
      </c>
      <c r="G11" s="1" t="s">
        <v>109</v>
      </c>
      <c r="H11" s="126">
        <v>37</v>
      </c>
    </row>
    <row r="12" spans="1:11" x14ac:dyDescent="0.3">
      <c r="A12" s="22" t="s">
        <v>114</v>
      </c>
      <c r="B12" s="93">
        <f>htg_load_baseline_space</f>
        <v>85</v>
      </c>
      <c r="C12" s="92">
        <f>C3-htg_load_CCHP_space</f>
        <v>42.5</v>
      </c>
    </row>
    <row r="13" spans="1:11" x14ac:dyDescent="0.3">
      <c r="A13" s="22" t="s">
        <v>115</v>
      </c>
      <c r="B13" s="93">
        <f>htg_load_baseline_water</f>
        <v>15</v>
      </c>
      <c r="C13" s="92">
        <f>C4-C11</f>
        <v>0</v>
      </c>
    </row>
    <row r="14" spans="1:11" x14ac:dyDescent="0.3">
      <c r="A14" t="s">
        <v>116</v>
      </c>
      <c r="B14" s="1" t="s">
        <v>109</v>
      </c>
      <c r="C14" s="94">
        <v>2</v>
      </c>
      <c r="J14" s="22" t="s">
        <v>117</v>
      </c>
    </row>
    <row r="15" spans="1:11" x14ac:dyDescent="0.3">
      <c r="A15" s="22" t="s">
        <v>118</v>
      </c>
      <c r="B15" s="1" t="s">
        <v>109</v>
      </c>
      <c r="C15" s="95">
        <v>1.1000000000000001</v>
      </c>
    </row>
    <row r="16" spans="1:11" x14ac:dyDescent="0.3">
      <c r="A16" s="22" t="s">
        <v>119</v>
      </c>
      <c r="B16" s="91">
        <v>0</v>
      </c>
      <c r="C16" s="94">
        <v>0.2</v>
      </c>
      <c r="J16" s="22" t="s">
        <v>120</v>
      </c>
    </row>
    <row r="17" spans="1:28" x14ac:dyDescent="0.3">
      <c r="B17" s="96"/>
      <c r="C17" s="3"/>
      <c r="R17" s="3"/>
      <c r="T17" s="3"/>
    </row>
    <row r="18" spans="1:28" x14ac:dyDescent="0.3">
      <c r="A18" s="3" t="s">
        <v>121</v>
      </c>
      <c r="B18" s="1" t="s">
        <v>109</v>
      </c>
      <c r="C18" s="97">
        <f>[3]t3possible!$A$17</f>
        <v>24.429104785921233</v>
      </c>
      <c r="J18" t="s">
        <v>122</v>
      </c>
      <c r="R18" s="3"/>
      <c r="T18" s="3"/>
    </row>
    <row r="19" spans="1:28" x14ac:dyDescent="0.3">
      <c r="A19" t="s">
        <v>123</v>
      </c>
      <c r="B19" s="1" t="s">
        <v>109</v>
      </c>
      <c r="C19" s="97">
        <f>[3]t3possible!$A$38</f>
        <v>14.453726894874265</v>
      </c>
      <c r="J19" t="s">
        <v>122</v>
      </c>
      <c r="R19" s="3"/>
      <c r="T19" s="3"/>
    </row>
    <row r="20" spans="1:28" x14ac:dyDescent="0.3">
      <c r="C20" s="22"/>
      <c r="D20" s="22"/>
      <c r="J20" s="22"/>
      <c r="K20" s="22"/>
      <c r="L20" s="22"/>
      <c r="M20" s="91"/>
      <c r="N20" s="22"/>
      <c r="O20" s="91"/>
      <c r="P20" s="91"/>
    </row>
    <row r="21" spans="1:28" x14ac:dyDescent="0.3">
      <c r="F21" s="22"/>
      <c r="G21" s="22"/>
      <c r="H21" s="22"/>
      <c r="I21" s="22"/>
      <c r="J21" s="91"/>
      <c r="K21" s="22"/>
      <c r="L21" s="91"/>
      <c r="M21" s="91"/>
    </row>
    <row r="22" spans="1:28" x14ac:dyDescent="0.3">
      <c r="P22" s="98"/>
    </row>
    <row r="23" spans="1:28" s="20" customFormat="1" x14ac:dyDescent="0.3">
      <c r="A23" s="20" t="s">
        <v>138</v>
      </c>
      <c r="D23" s="107">
        <f>loads!D2</f>
        <v>2017</v>
      </c>
      <c r="E23" s="105">
        <f>D23+1</f>
        <v>2018</v>
      </c>
      <c r="F23" s="105">
        <f t="shared" ref="F23:N23" si="0">E23+1</f>
        <v>2019</v>
      </c>
      <c r="G23" s="105">
        <f t="shared" si="0"/>
        <v>2020</v>
      </c>
      <c r="H23" s="105">
        <f t="shared" si="0"/>
        <v>2021</v>
      </c>
      <c r="I23" s="105">
        <f t="shared" si="0"/>
        <v>2022</v>
      </c>
      <c r="J23" s="105">
        <f t="shared" si="0"/>
        <v>2023</v>
      </c>
      <c r="K23" s="105">
        <f t="shared" si="0"/>
        <v>2024</v>
      </c>
      <c r="L23" s="105">
        <f t="shared" si="0"/>
        <v>2025</v>
      </c>
      <c r="M23" s="105">
        <f t="shared" si="0"/>
        <v>2026</v>
      </c>
      <c r="N23" s="105">
        <f t="shared" si="0"/>
        <v>2027</v>
      </c>
      <c r="O23" s="105">
        <f t="shared" ref="O23:AB23" si="1">N23+1</f>
        <v>2028</v>
      </c>
      <c r="P23" s="105">
        <f t="shared" si="1"/>
        <v>2029</v>
      </c>
      <c r="Q23" s="105">
        <f t="shared" si="1"/>
        <v>2030</v>
      </c>
      <c r="R23" s="105">
        <f t="shared" si="1"/>
        <v>2031</v>
      </c>
      <c r="S23" s="105">
        <f t="shared" si="1"/>
        <v>2032</v>
      </c>
      <c r="T23" s="105">
        <f t="shared" si="1"/>
        <v>2033</v>
      </c>
      <c r="U23" s="105">
        <f t="shared" si="1"/>
        <v>2034</v>
      </c>
      <c r="V23" s="105">
        <f t="shared" si="1"/>
        <v>2035</v>
      </c>
      <c r="W23" s="105">
        <f t="shared" si="1"/>
        <v>2036</v>
      </c>
      <c r="X23" s="105">
        <f t="shared" si="1"/>
        <v>2037</v>
      </c>
      <c r="Y23" s="105">
        <f t="shared" si="1"/>
        <v>2038</v>
      </c>
      <c r="Z23" s="105">
        <f t="shared" si="1"/>
        <v>2039</v>
      </c>
      <c r="AA23" s="105">
        <f t="shared" si="1"/>
        <v>2040</v>
      </c>
      <c r="AB23" s="105">
        <f t="shared" si="1"/>
        <v>2041</v>
      </c>
    </row>
    <row r="24" spans="1:28" s="6" customFormat="1" x14ac:dyDescent="0.3">
      <c r="A24" s="6" t="s">
        <v>133</v>
      </c>
      <c r="B24" s="6" t="s">
        <v>52</v>
      </c>
      <c r="D24" s="108">
        <f>Retail_Rate_yr1</f>
        <v>171.8</v>
      </c>
      <c r="E24" s="109">
        <f t="shared" ref="E24:AB24" si="2">D24*(1+Retail_Rate_escalation)</f>
        <v>175.57960000000003</v>
      </c>
      <c r="F24" s="109">
        <f t="shared" si="2"/>
        <v>179.44235120000002</v>
      </c>
      <c r="G24" s="109">
        <f t="shared" si="2"/>
        <v>183.39008292640003</v>
      </c>
      <c r="H24" s="109">
        <f t="shared" si="2"/>
        <v>187.42466475078083</v>
      </c>
      <c r="I24" s="109">
        <f t="shared" si="2"/>
        <v>191.54800737529803</v>
      </c>
      <c r="J24" s="109">
        <f t="shared" si="2"/>
        <v>195.76206353755458</v>
      </c>
      <c r="K24" s="109">
        <f t="shared" si="2"/>
        <v>200.06882893538079</v>
      </c>
      <c r="L24" s="109">
        <f t="shared" si="2"/>
        <v>204.47034317195917</v>
      </c>
      <c r="M24" s="109">
        <f t="shared" si="2"/>
        <v>208.96869072174229</v>
      </c>
      <c r="N24" s="109">
        <f t="shared" si="2"/>
        <v>213.56600191762064</v>
      </c>
      <c r="O24" s="109">
        <f t="shared" si="2"/>
        <v>218.26445395980829</v>
      </c>
      <c r="P24" s="109">
        <f t="shared" si="2"/>
        <v>223.06627194692408</v>
      </c>
      <c r="Q24" s="109">
        <f t="shared" si="2"/>
        <v>227.97372992975642</v>
      </c>
      <c r="R24" s="109">
        <f t="shared" si="2"/>
        <v>232.98915198821106</v>
      </c>
      <c r="S24" s="109">
        <f t="shared" si="2"/>
        <v>238.1149133319517</v>
      </c>
      <c r="T24" s="109">
        <f t="shared" si="2"/>
        <v>243.35344142525463</v>
      </c>
      <c r="U24" s="109">
        <f t="shared" si="2"/>
        <v>248.70721713661024</v>
      </c>
      <c r="V24" s="109">
        <f t="shared" si="2"/>
        <v>254.17877591361568</v>
      </c>
      <c r="W24" s="109">
        <f t="shared" si="2"/>
        <v>259.77070898371522</v>
      </c>
      <c r="X24" s="109">
        <f t="shared" si="2"/>
        <v>265.48566458135696</v>
      </c>
      <c r="Y24" s="109">
        <f t="shared" si="2"/>
        <v>271.32634920214684</v>
      </c>
      <c r="Z24" s="109">
        <f t="shared" si="2"/>
        <v>277.29552888459409</v>
      </c>
      <c r="AA24" s="109">
        <f t="shared" si="2"/>
        <v>283.39603052005515</v>
      </c>
      <c r="AB24" s="109">
        <f t="shared" si="2"/>
        <v>289.63074319149638</v>
      </c>
    </row>
    <row r="25" spans="1:28" s="6" customFormat="1" x14ac:dyDescent="0.3">
      <c r="A25" s="6" t="s">
        <v>134</v>
      </c>
      <c r="B25" s="6" t="s">
        <v>52</v>
      </c>
      <c r="D25" s="108">
        <f>requirements!D17</f>
        <v>60.78</v>
      </c>
      <c r="E25" s="108">
        <f>requirements!E17</f>
        <v>62.42</v>
      </c>
      <c r="F25" s="108">
        <f>requirements!F17</f>
        <v>63.605979999999995</v>
      </c>
      <c r="G25" s="108">
        <f>requirements!G17</f>
        <v>64.814493619999993</v>
      </c>
      <c r="H25" s="108">
        <f>requirements!H17</f>
        <v>66.045968998779983</v>
      </c>
      <c r="I25" s="108">
        <f>requirements!I17</f>
        <v>67.300842409756797</v>
      </c>
      <c r="J25" s="108">
        <f>requirements!J17</f>
        <v>68.579558415542166</v>
      </c>
      <c r="K25" s="108">
        <f>requirements!K17</f>
        <v>69.88257002543746</v>
      </c>
      <c r="L25" s="108">
        <f>requirements!L17</f>
        <v>71.210338855920767</v>
      </c>
      <c r="M25" s="108">
        <f>requirements!M17</f>
        <v>72.563335294183261</v>
      </c>
      <c r="N25" s="108">
        <f>requirements!N17</f>
        <v>73.942038664772738</v>
      </c>
      <c r="O25" s="108">
        <f>N25*1.013</f>
        <v>74.903285167414779</v>
      </c>
      <c r="P25" s="108">
        <f>requirements!P17</f>
        <v>0</v>
      </c>
      <c r="Q25" s="108">
        <f>requirements!Q17</f>
        <v>0</v>
      </c>
      <c r="R25" s="108">
        <f>requirements!R17</f>
        <v>0</v>
      </c>
      <c r="S25" s="108">
        <f>requirements!S17</f>
        <v>0</v>
      </c>
      <c r="T25" s="108">
        <f>requirements!T17</f>
        <v>0</v>
      </c>
      <c r="U25" s="108">
        <f>requirements!U17</f>
        <v>0</v>
      </c>
      <c r="V25" s="108">
        <f>requirements!V17</f>
        <v>0</v>
      </c>
      <c r="W25" s="108">
        <f>requirements!W17</f>
        <v>0</v>
      </c>
      <c r="X25" s="108">
        <f>requirements!X17</f>
        <v>0</v>
      </c>
      <c r="Y25" s="108">
        <f>requirements!Y17</f>
        <v>0</v>
      </c>
      <c r="Z25" s="108">
        <f>requirements!Z17</f>
        <v>0</v>
      </c>
      <c r="AA25" s="108">
        <f>requirements!AA17</f>
        <v>0</v>
      </c>
      <c r="AB25" s="108">
        <f>requirements!AB17</f>
        <v>0</v>
      </c>
    </row>
    <row r="26" spans="1:28" s="58" customFormat="1" x14ac:dyDescent="0.3">
      <c r="A26" s="58" t="s">
        <v>187</v>
      </c>
      <c r="B26" s="127" t="s">
        <v>132</v>
      </c>
      <c r="D26" s="144">
        <f>'price forecasts'!D40</f>
        <v>0</v>
      </c>
      <c r="E26" s="144">
        <f>'price forecasts'!E40</f>
        <v>22</v>
      </c>
      <c r="F26" s="144">
        <f>'price forecasts'!F40</f>
        <v>23.1</v>
      </c>
      <c r="G26" s="144">
        <f>'price forecasts'!G40</f>
        <v>24.255000000000003</v>
      </c>
      <c r="H26" s="144">
        <f>'price forecasts'!H40</f>
        <v>25.467750000000002</v>
      </c>
      <c r="I26" s="144">
        <f>'price forecasts'!I40</f>
        <v>26.741137500000004</v>
      </c>
      <c r="J26" s="144">
        <f>'price forecasts'!J40</f>
        <v>28.078194375000006</v>
      </c>
      <c r="K26" s="144">
        <f>'price forecasts'!K40</f>
        <v>29.482104093750007</v>
      </c>
      <c r="L26" s="144">
        <f>'price forecasts'!L40</f>
        <v>30.956209298437507</v>
      </c>
      <c r="M26" s="144">
        <f>'price forecasts'!M40</f>
        <v>32.504019763359381</v>
      </c>
      <c r="N26" s="144">
        <f>'price forecasts'!N40</f>
        <v>34.129220751527349</v>
      </c>
      <c r="O26" s="144">
        <f>'price forecasts'!O40</f>
        <v>35.835681789103717</v>
      </c>
      <c r="P26" s="144">
        <f>'price forecasts'!P40</f>
        <v>0</v>
      </c>
      <c r="Q26" s="144">
        <f>'price forecasts'!Q40</f>
        <v>0</v>
      </c>
      <c r="R26" s="144">
        <f>'price forecasts'!R40</f>
        <v>0</v>
      </c>
      <c r="S26" s="144">
        <f>'price forecasts'!S40</f>
        <v>0</v>
      </c>
      <c r="T26" s="144">
        <f>'price forecasts'!T40</f>
        <v>0</v>
      </c>
      <c r="U26" s="144">
        <f>'price forecasts'!U40</f>
        <v>0</v>
      </c>
      <c r="V26" s="144">
        <f>'price forecasts'!V40</f>
        <v>0</v>
      </c>
      <c r="W26" s="144">
        <f>'price forecasts'!W40</f>
        <v>0</v>
      </c>
      <c r="X26" s="144">
        <f>'price forecasts'!X40</f>
        <v>0</v>
      </c>
      <c r="Y26" s="144">
        <f>'price forecasts'!Y40</f>
        <v>0</v>
      </c>
      <c r="Z26" s="144">
        <f>'price forecasts'!Z40</f>
        <v>0</v>
      </c>
      <c r="AA26" s="144">
        <f>'price forecasts'!AA40</f>
        <v>0</v>
      </c>
      <c r="AB26" s="144">
        <f>'price forecasts'!AB40</f>
        <v>0</v>
      </c>
    </row>
    <row r="27" spans="1:28" s="117" customFormat="1" x14ac:dyDescent="0.3">
      <c r="A27" s="117" t="s">
        <v>186</v>
      </c>
      <c r="B27" s="127" t="s">
        <v>132</v>
      </c>
      <c r="D27" s="144">
        <f>'price forecasts'!D41</f>
        <v>0</v>
      </c>
      <c r="E27" s="144">
        <f>'price forecasts'!E41</f>
        <v>24</v>
      </c>
      <c r="F27" s="144">
        <f>'price forecasts'!F41</f>
        <v>25.200000000000003</v>
      </c>
      <c r="G27" s="144">
        <f>'price forecasts'!G41</f>
        <v>26.460000000000004</v>
      </c>
      <c r="H27" s="144">
        <f>'price forecasts'!H41</f>
        <v>27.783000000000005</v>
      </c>
      <c r="I27" s="144">
        <f>'price forecasts'!I41</f>
        <v>29.172150000000006</v>
      </c>
      <c r="J27" s="144">
        <f>'price forecasts'!J41</f>
        <v>30.630757500000009</v>
      </c>
      <c r="K27" s="144">
        <f>'price forecasts'!K41</f>
        <v>32.162295375000014</v>
      </c>
      <c r="L27" s="144">
        <f>'price forecasts'!L41</f>
        <v>33.770410143750013</v>
      </c>
      <c r="M27" s="144">
        <f>'price forecasts'!M41</f>
        <v>35.458930650937518</v>
      </c>
      <c r="N27" s="144">
        <f>'price forecasts'!N41</f>
        <v>37.231877183484393</v>
      </c>
      <c r="O27" s="144">
        <f>'price forecasts'!O41</f>
        <v>39.093471042658614</v>
      </c>
      <c r="P27" s="144">
        <f>'price forecasts'!P41</f>
        <v>0</v>
      </c>
      <c r="Q27" s="144">
        <f>'price forecasts'!Q41</f>
        <v>0</v>
      </c>
      <c r="R27" s="144">
        <f>'price forecasts'!R41</f>
        <v>0</v>
      </c>
      <c r="S27" s="144">
        <f>'price forecasts'!S41</f>
        <v>0</v>
      </c>
      <c r="T27" s="144">
        <f>'price forecasts'!T41</f>
        <v>0</v>
      </c>
      <c r="U27" s="144">
        <f>'price forecasts'!U41</f>
        <v>0</v>
      </c>
      <c r="V27" s="144">
        <f>'price forecasts'!V41</f>
        <v>0</v>
      </c>
      <c r="W27" s="144">
        <f>'price forecasts'!W41</f>
        <v>0</v>
      </c>
      <c r="X27" s="144">
        <f>'price forecasts'!X41</f>
        <v>0</v>
      </c>
      <c r="Y27" s="144">
        <f>'price forecasts'!Y41</f>
        <v>0</v>
      </c>
      <c r="Z27" s="144">
        <f>'price forecasts'!Z41</f>
        <v>0</v>
      </c>
      <c r="AA27" s="144">
        <f>'price forecasts'!AA41</f>
        <v>0</v>
      </c>
      <c r="AB27" s="144">
        <f>'price forecasts'!AB41</f>
        <v>0</v>
      </c>
    </row>
    <row r="28" spans="1:28" s="72" customFormat="1" x14ac:dyDescent="0.3">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s="72" customFormat="1" ht="15.6" x14ac:dyDescent="0.3">
      <c r="A29" s="110" t="s">
        <v>6</v>
      </c>
      <c r="D29" s="101"/>
      <c r="E29" s="101"/>
      <c r="F29" s="101"/>
      <c r="G29" s="101"/>
      <c r="H29" s="101"/>
      <c r="I29" s="101"/>
      <c r="J29" s="101"/>
      <c r="K29" s="101"/>
      <c r="L29" s="101"/>
      <c r="M29" s="101"/>
      <c r="P29" s="102"/>
    </row>
    <row r="30" spans="1:28" s="72" customFormat="1" x14ac:dyDescent="0.3">
      <c r="A30" s="72" t="s">
        <v>129</v>
      </c>
      <c r="B30" s="72" t="s">
        <v>137</v>
      </c>
      <c r="D30" s="101">
        <f t="shared" ref="D30:AB30" si="3">(htg_load_baseline_space*D$26)+(UEC_window_clg*D24)</f>
        <v>0</v>
      </c>
      <c r="E30" s="101">
        <f t="shared" si="3"/>
        <v>1870</v>
      </c>
      <c r="F30" s="101">
        <f t="shared" si="3"/>
        <v>1963.5000000000002</v>
      </c>
      <c r="G30" s="101">
        <f t="shared" si="3"/>
        <v>2061.6750000000002</v>
      </c>
      <c r="H30" s="101">
        <f t="shared" si="3"/>
        <v>2164.7587500000004</v>
      </c>
      <c r="I30" s="101">
        <f t="shared" si="3"/>
        <v>2272.9966875000005</v>
      </c>
      <c r="J30" s="101">
        <f t="shared" si="3"/>
        <v>2386.6465218750004</v>
      </c>
      <c r="K30" s="101">
        <f t="shared" si="3"/>
        <v>2505.9788479687504</v>
      </c>
      <c r="L30" s="101">
        <f t="shared" si="3"/>
        <v>2631.2777903671881</v>
      </c>
      <c r="M30" s="101">
        <f t="shared" si="3"/>
        <v>2762.8416798855474</v>
      </c>
      <c r="N30" s="101">
        <f t="shared" si="3"/>
        <v>2900.9837638798244</v>
      </c>
      <c r="O30" s="101">
        <f t="shared" si="3"/>
        <v>3046.032952073816</v>
      </c>
      <c r="P30" s="101">
        <f t="shared" si="3"/>
        <v>0</v>
      </c>
      <c r="Q30" s="101">
        <f t="shared" si="3"/>
        <v>0</v>
      </c>
      <c r="R30" s="101">
        <f t="shared" si="3"/>
        <v>0</v>
      </c>
      <c r="S30" s="101">
        <f t="shared" si="3"/>
        <v>0</v>
      </c>
      <c r="T30" s="101">
        <f t="shared" si="3"/>
        <v>0</v>
      </c>
      <c r="U30" s="101">
        <f t="shared" si="3"/>
        <v>0</v>
      </c>
      <c r="V30" s="101">
        <f t="shared" si="3"/>
        <v>0</v>
      </c>
      <c r="W30" s="101">
        <f t="shared" si="3"/>
        <v>0</v>
      </c>
      <c r="X30" s="101">
        <f t="shared" si="3"/>
        <v>0</v>
      </c>
      <c r="Y30" s="101">
        <f t="shared" si="3"/>
        <v>0</v>
      </c>
      <c r="Z30" s="101">
        <f t="shared" si="3"/>
        <v>0</v>
      </c>
      <c r="AA30" s="101">
        <f t="shared" si="3"/>
        <v>0</v>
      </c>
      <c r="AB30" s="101">
        <f t="shared" si="3"/>
        <v>0</v>
      </c>
    </row>
    <row r="31" spans="1:28" s="72" customFormat="1" x14ac:dyDescent="0.3">
      <c r="A31" s="72" t="s">
        <v>128</v>
      </c>
      <c r="B31" s="72" t="s">
        <v>137</v>
      </c>
      <c r="D31" s="101">
        <f>equip_cost_CCHP_space</f>
        <v>3000</v>
      </c>
      <c r="E31" s="101">
        <f t="shared" ref="E31:N31" si="4">D31*(1+equip_cost_trend_CCHP)</f>
        <v>3030</v>
      </c>
      <c r="F31" s="101">
        <f t="shared" si="4"/>
        <v>3060.3</v>
      </c>
      <c r="G31" s="101">
        <f t="shared" si="4"/>
        <v>3090.9030000000002</v>
      </c>
      <c r="H31" s="101">
        <f t="shared" si="4"/>
        <v>3121.8120300000005</v>
      </c>
      <c r="I31" s="101">
        <f t="shared" si="4"/>
        <v>3153.0301503000005</v>
      </c>
      <c r="J31" s="101">
        <f t="shared" si="4"/>
        <v>3184.5604518030004</v>
      </c>
      <c r="K31" s="101">
        <f t="shared" si="4"/>
        <v>3216.4060563210305</v>
      </c>
      <c r="L31" s="101">
        <f t="shared" si="4"/>
        <v>3248.5701168842406</v>
      </c>
      <c r="M31" s="101">
        <f t="shared" si="4"/>
        <v>3281.0558180530829</v>
      </c>
      <c r="N31" s="101">
        <f t="shared" si="4"/>
        <v>3313.8663762336137</v>
      </c>
      <c r="P31" s="102"/>
    </row>
    <row r="32" spans="1:28" s="85" customFormat="1" x14ac:dyDescent="0.3">
      <c r="A32" s="111" t="s">
        <v>130</v>
      </c>
      <c r="B32" s="72" t="s">
        <v>137</v>
      </c>
      <c r="D32" s="85">
        <f t="shared" ref="D32:AB32" si="5">($C$14*D24)+(htg_load_CCHP_backup*D$26)+($C$16*D24)</f>
        <v>377.96000000000004</v>
      </c>
      <c r="E32" s="85">
        <f t="shared" si="5"/>
        <v>1321.27512</v>
      </c>
      <c r="F32" s="85">
        <f t="shared" si="5"/>
        <v>1376.5231726400002</v>
      </c>
      <c r="G32" s="85">
        <f t="shared" si="5"/>
        <v>1434.2956824380801</v>
      </c>
      <c r="H32" s="85">
        <f t="shared" si="5"/>
        <v>1494.7136374517181</v>
      </c>
      <c r="I32" s="85">
        <f t="shared" si="5"/>
        <v>1557.9039599756559</v>
      </c>
      <c r="J32" s="85">
        <f t="shared" si="5"/>
        <v>1623.9998007201202</v>
      </c>
      <c r="K32" s="85">
        <f t="shared" si="5"/>
        <v>1693.140847642213</v>
      </c>
      <c r="L32" s="85">
        <f t="shared" si="5"/>
        <v>1765.4736501619043</v>
      </c>
      <c r="M32" s="85">
        <f t="shared" si="5"/>
        <v>1841.1519595306067</v>
      </c>
      <c r="N32" s="85">
        <f t="shared" si="5"/>
        <v>1920.3370861586775</v>
      </c>
      <c r="O32" s="85">
        <f t="shared" si="5"/>
        <v>2003.1982747484863</v>
      </c>
      <c r="P32" s="85">
        <f t="shared" si="5"/>
        <v>490.74579828323294</v>
      </c>
      <c r="Q32" s="85">
        <f t="shared" si="5"/>
        <v>501.54220584546414</v>
      </c>
      <c r="R32" s="85">
        <f t="shared" si="5"/>
        <v>512.5761343740644</v>
      </c>
      <c r="S32" s="85">
        <f t="shared" si="5"/>
        <v>523.85280933029378</v>
      </c>
      <c r="T32" s="85">
        <f t="shared" si="5"/>
        <v>535.37757113556017</v>
      </c>
      <c r="U32" s="85">
        <f t="shared" si="5"/>
        <v>547.15587770054253</v>
      </c>
      <c r="V32" s="85">
        <f t="shared" si="5"/>
        <v>559.19330700995454</v>
      </c>
      <c r="W32" s="85">
        <f t="shared" si="5"/>
        <v>571.49555976417355</v>
      </c>
      <c r="X32" s="85">
        <f t="shared" si="5"/>
        <v>584.06846207898525</v>
      </c>
      <c r="Y32" s="85">
        <f t="shared" si="5"/>
        <v>596.91796824472306</v>
      </c>
      <c r="Z32" s="85">
        <f t="shared" si="5"/>
        <v>610.050163546107</v>
      </c>
      <c r="AA32" s="85">
        <f t="shared" si="5"/>
        <v>623.47126714412138</v>
      </c>
      <c r="AB32" s="85">
        <f t="shared" si="5"/>
        <v>637.18763502129207</v>
      </c>
    </row>
    <row r="33" spans="1:28" s="72" customFormat="1" x14ac:dyDescent="0.3">
      <c r="A33" s="72" t="s">
        <v>124</v>
      </c>
      <c r="B33" s="72" t="s">
        <v>137</v>
      </c>
      <c r="D33" s="101">
        <f>MAX(D31+NPV(assumptions!$D$6,'Tier III incentives'!D32:H32)-NPV(assumptions!$D$6,'Tier III incentives'!D30:H30),0)</f>
        <v>1377.7259166159783</v>
      </c>
      <c r="E33" s="101">
        <f>MAX(E31+NPV(assumptions!$D$6,'Tier III incentives'!E32:I32)-NPV(assumptions!$D$6,'Tier III incentives'!E30:I30),0)</f>
        <v>398.07058661329029</v>
      </c>
      <c r="F33" s="101">
        <f>MAX(F31+NPV(assumptions!$D$6,'Tier III incentives'!F32:J32)-NPV(assumptions!$D$6,'Tier III incentives'!F30:J30),0)</f>
        <v>249.28570641760052</v>
      </c>
      <c r="G33" s="101">
        <f>MAX(G31+NPV(assumptions!$D$6,'Tier III incentives'!G32:K32)-NPV(assumptions!$D$6,'Tier III incentives'!G30:K30),0)</f>
        <v>90.804837202549606</v>
      </c>
      <c r="H33" s="101">
        <f>MAX(H31+NPV(assumptions!$D$6,'Tier III incentives'!H32:L32)-NPV(assumptions!$D$6,'Tier III incentives'!H30:L30),0)</f>
        <v>0</v>
      </c>
      <c r="I33" s="101">
        <f>MAX(I31+NPV(assumptions!$D$6,'Tier III incentives'!I32:M32)-NPV(assumptions!$D$6,'Tier III incentives'!I30:M30),0)</f>
        <v>0</v>
      </c>
      <c r="J33" s="101">
        <f>MAX(J31+NPV(assumptions!$D$6,'Tier III incentives'!J32:N32)-NPV(assumptions!$D$6,'Tier III incentives'!J30:N30),0)</f>
        <v>0</v>
      </c>
      <c r="K33" s="101">
        <f>MAX(K31+NPV(assumptions!$D$6,'Tier III incentives'!K32:O32)-NPV(assumptions!$D$6,'Tier III incentives'!K30:O30),0)</f>
        <v>0</v>
      </c>
      <c r="L33" s="101">
        <f>MAX(L31+NPV(assumptions!$D$6,'Tier III incentives'!L32:P32)-NPV(assumptions!$D$6,'Tier III incentives'!L30:P30),0)</f>
        <v>328.79439668271698</v>
      </c>
      <c r="M33" s="101">
        <f>MAX(M31+NPV(assumptions!$D$6,'Tier III incentives'!M32:Q32)-NPV(assumptions!$D$6,'Tier III incentives'!M30:Q30),0)</f>
        <v>1426.6792072000471</v>
      </c>
      <c r="N33" s="101">
        <f>MAX(N31+NPV(assumptions!$D$6,'Tier III incentives'!N32:R32)-NPV(assumptions!$D$6,'Tier III incentives'!N30:R30),0)</f>
        <v>2652.9435947114453</v>
      </c>
      <c r="O33" s="101"/>
      <c r="P33" s="101"/>
      <c r="Q33" s="101"/>
      <c r="R33" s="101"/>
      <c r="S33" s="101"/>
      <c r="T33" s="101"/>
      <c r="U33" s="101"/>
      <c r="V33" s="101"/>
      <c r="W33" s="101"/>
      <c r="X33" s="101"/>
      <c r="Y33" s="101"/>
      <c r="Z33" s="101"/>
      <c r="AA33" s="101"/>
      <c r="AB33" s="101"/>
    </row>
    <row r="34" spans="1:28" s="72" customFormat="1" ht="12.75" customHeight="1" x14ac:dyDescent="0.3">
      <c r="A34" s="72" t="s">
        <v>125</v>
      </c>
      <c r="B34" s="72" t="s">
        <v>52</v>
      </c>
      <c r="D34" s="112">
        <f t="shared" ref="D34:N34" si="6">D33/$C$18</f>
        <v>56.396905604579388</v>
      </c>
      <c r="E34" s="112">
        <f t="shared" si="6"/>
        <v>16.294931398497372</v>
      </c>
      <c r="F34" s="112">
        <f t="shared" si="6"/>
        <v>10.204455243127315</v>
      </c>
      <c r="G34" s="112">
        <f t="shared" si="6"/>
        <v>3.7170759222778171</v>
      </c>
      <c r="H34" s="112">
        <f t="shared" si="6"/>
        <v>0</v>
      </c>
      <c r="I34" s="112">
        <f t="shared" si="6"/>
        <v>0</v>
      </c>
      <c r="J34" s="112">
        <f t="shared" si="6"/>
        <v>0</v>
      </c>
      <c r="K34" s="112">
        <f t="shared" si="6"/>
        <v>0</v>
      </c>
      <c r="L34" s="112">
        <f t="shared" si="6"/>
        <v>13.459125889549783</v>
      </c>
      <c r="M34" s="112">
        <f t="shared" si="6"/>
        <v>58.400797724780254</v>
      </c>
      <c r="N34" s="112">
        <f t="shared" si="6"/>
        <v>108.5976591430549</v>
      </c>
      <c r="O34" s="112"/>
      <c r="P34" s="112"/>
      <c r="Q34" s="112"/>
      <c r="R34" s="112"/>
      <c r="S34" s="112"/>
      <c r="T34" s="112"/>
      <c r="U34" s="112"/>
      <c r="V34" s="112"/>
      <c r="W34" s="112"/>
      <c r="X34" s="112"/>
      <c r="Y34" s="112"/>
      <c r="Z34" s="112"/>
      <c r="AA34" s="112"/>
      <c r="AB34" s="112"/>
    </row>
    <row r="35" spans="1:28" s="72" customFormat="1" x14ac:dyDescent="0.3">
      <c r="A35" s="72" t="s">
        <v>126</v>
      </c>
      <c r="B35" s="72" t="s">
        <v>52</v>
      </c>
      <c r="D35" s="101">
        <f t="shared" ref="D35:N35" si="7">$C$18*D25</f>
        <v>1484.8009888882925</v>
      </c>
      <c r="E35" s="101">
        <f t="shared" si="7"/>
        <v>1524.8647207372035</v>
      </c>
      <c r="F35" s="101">
        <f t="shared" si="7"/>
        <v>1553.8371504312101</v>
      </c>
      <c r="G35" s="101">
        <f t="shared" si="7"/>
        <v>1583.360056289403</v>
      </c>
      <c r="H35" s="101">
        <f t="shared" si="7"/>
        <v>1613.4438973589015</v>
      </c>
      <c r="I35" s="101">
        <f t="shared" si="7"/>
        <v>1644.0993314087204</v>
      </c>
      <c r="J35" s="101">
        <f t="shared" si="7"/>
        <v>1675.3372187054858</v>
      </c>
      <c r="K35" s="101">
        <f t="shared" si="7"/>
        <v>1707.16862586089</v>
      </c>
      <c r="L35" s="101">
        <f t="shared" si="7"/>
        <v>1739.6048297522468</v>
      </c>
      <c r="M35" s="101">
        <f t="shared" si="7"/>
        <v>1772.6573215175395</v>
      </c>
      <c r="N35" s="101">
        <f t="shared" si="7"/>
        <v>1806.3378106263726</v>
      </c>
      <c r="O35" s="101"/>
      <c r="P35" s="101"/>
      <c r="Q35" s="101"/>
      <c r="R35" s="101"/>
      <c r="S35" s="101"/>
      <c r="T35" s="101"/>
      <c r="U35" s="101"/>
      <c r="V35" s="101"/>
      <c r="W35" s="101"/>
      <c r="X35" s="101"/>
      <c r="Y35" s="101"/>
      <c r="Z35" s="101"/>
      <c r="AA35" s="101"/>
      <c r="AB35" s="101"/>
    </row>
    <row r="36" spans="1:28" s="72" customFormat="1" x14ac:dyDescent="0.3"/>
    <row r="37" spans="1:28" s="113" customFormat="1" ht="15.6" x14ac:dyDescent="0.3">
      <c r="A37" s="110" t="s">
        <v>139</v>
      </c>
      <c r="D37" s="114"/>
      <c r="E37" s="114"/>
      <c r="F37" s="114"/>
      <c r="G37" s="114"/>
      <c r="H37" s="114"/>
      <c r="I37" s="114"/>
      <c r="J37" s="114"/>
      <c r="K37" s="114"/>
      <c r="L37" s="114"/>
      <c r="M37" s="114"/>
      <c r="P37" s="115"/>
    </row>
    <row r="38" spans="1:28" s="131" customFormat="1" x14ac:dyDescent="0.3">
      <c r="A38" s="128" t="s">
        <v>127</v>
      </c>
      <c r="B38" s="128" t="s">
        <v>137</v>
      </c>
      <c r="D38" s="132">
        <f>G4</f>
        <v>25000</v>
      </c>
      <c r="E38" s="132">
        <f>D38*(1+$G$5)</f>
        <v>25000</v>
      </c>
      <c r="F38" s="132">
        <f t="shared" ref="F38:AB38" si="8">E38*(1+$G$5)</f>
        <v>25000</v>
      </c>
      <c r="G38" s="132">
        <f t="shared" si="8"/>
        <v>25000</v>
      </c>
      <c r="H38" s="132">
        <f t="shared" si="8"/>
        <v>25000</v>
      </c>
      <c r="I38" s="132">
        <f t="shared" si="8"/>
        <v>25000</v>
      </c>
      <c r="J38" s="132">
        <f t="shared" si="8"/>
        <v>25000</v>
      </c>
      <c r="K38" s="132">
        <f t="shared" si="8"/>
        <v>25000</v>
      </c>
      <c r="L38" s="132">
        <f t="shared" si="8"/>
        <v>25000</v>
      </c>
      <c r="M38" s="132">
        <f t="shared" si="8"/>
        <v>25000</v>
      </c>
      <c r="N38" s="132">
        <f t="shared" si="8"/>
        <v>25000</v>
      </c>
      <c r="O38" s="132">
        <f t="shared" si="8"/>
        <v>25000</v>
      </c>
      <c r="P38" s="132">
        <f t="shared" si="8"/>
        <v>25000</v>
      </c>
      <c r="Q38" s="132">
        <f t="shared" si="8"/>
        <v>25000</v>
      </c>
      <c r="R38" s="132">
        <f t="shared" si="8"/>
        <v>25000</v>
      </c>
      <c r="S38" s="132">
        <f t="shared" si="8"/>
        <v>25000</v>
      </c>
      <c r="T38" s="132">
        <f t="shared" si="8"/>
        <v>25000</v>
      </c>
      <c r="U38" s="132">
        <f t="shared" si="8"/>
        <v>25000</v>
      </c>
      <c r="V38" s="132">
        <f t="shared" si="8"/>
        <v>25000</v>
      </c>
      <c r="W38" s="132">
        <f t="shared" si="8"/>
        <v>25000</v>
      </c>
      <c r="X38" s="132">
        <f t="shared" si="8"/>
        <v>25000</v>
      </c>
      <c r="Y38" s="132">
        <f t="shared" si="8"/>
        <v>25000</v>
      </c>
      <c r="Z38" s="132">
        <f t="shared" si="8"/>
        <v>25000</v>
      </c>
      <c r="AA38" s="132">
        <f t="shared" si="8"/>
        <v>25000</v>
      </c>
      <c r="AB38" s="132">
        <f t="shared" si="8"/>
        <v>25000</v>
      </c>
    </row>
    <row r="39" spans="1:28" s="128" customFormat="1" x14ac:dyDescent="0.3">
      <c r="A39" s="128" t="s">
        <v>129</v>
      </c>
      <c r="B39" s="128" t="s">
        <v>137</v>
      </c>
      <c r="D39" s="129">
        <f>$G$7*D26+$G$9</f>
        <v>173.73333333333335</v>
      </c>
      <c r="E39" s="129">
        <f>$G$7*E26+$G$9*(1+assumptions!$D$5)</f>
        <v>1230.599484057971</v>
      </c>
      <c r="F39" s="129">
        <f>$G$7*F26+$G$9*(1+assumptions!$D$5)</f>
        <v>1283.2777449275363</v>
      </c>
      <c r="G39" s="129">
        <f>$G$7*G26+$G$9*(1+assumptions!$D$5)</f>
        <v>1338.5899188405797</v>
      </c>
      <c r="H39" s="129">
        <f>$G$7*H26+$G$9*(1+assumptions!$D$5)</f>
        <v>1396.6677014492757</v>
      </c>
      <c r="I39" s="129">
        <f>$G$7*I26+$G$9*(1+assumptions!$D$5)</f>
        <v>1457.6493731884061</v>
      </c>
      <c r="J39" s="129">
        <f>$G$7*J26+$G$9*(1+assumptions!$D$5)</f>
        <v>1521.6801285144929</v>
      </c>
      <c r="K39" s="129">
        <f>$G$7*K26+$G$9*(1+assumptions!$D$5)</f>
        <v>1588.9124216068844</v>
      </c>
      <c r="L39" s="129">
        <f>$G$7*L26+$G$9*(1+assumptions!$D$5)</f>
        <v>1659.5063293538951</v>
      </c>
      <c r="M39" s="129">
        <f>$G$7*M26+$G$9*(1+assumptions!$D$5)</f>
        <v>1733.6299324882566</v>
      </c>
      <c r="N39" s="129">
        <f>$G$7*N26+$G$9*(1+assumptions!$D$5)</f>
        <v>1811.459715779336</v>
      </c>
      <c r="O39" s="129">
        <f>$G$7*O26+$G$9*(1+assumptions!$D$5)</f>
        <v>1893.1809882349698</v>
      </c>
      <c r="P39" s="129">
        <f>$G$7*P26+$G$9*(1+assumptions!$D$5)</f>
        <v>177.03426666666667</v>
      </c>
      <c r="Q39" s="129">
        <f>$G$7*Q26+$G$9*(1+assumptions!$D$5)</f>
        <v>177.03426666666667</v>
      </c>
      <c r="R39" s="129">
        <f>$G$7*R26+$G$9*(1+assumptions!$D$5)</f>
        <v>177.03426666666667</v>
      </c>
      <c r="S39" s="129">
        <f>$G$7*S26+$G$9*(1+assumptions!$D$5)</f>
        <v>177.03426666666667</v>
      </c>
      <c r="T39" s="129">
        <f>$G$7*T26+$G$9*(1+assumptions!$D$5)</f>
        <v>177.03426666666667</v>
      </c>
      <c r="U39" s="129">
        <f>$G$7*U26+$G$9*(1+assumptions!$D$5)</f>
        <v>177.03426666666667</v>
      </c>
      <c r="V39" s="129">
        <f>$G$7*V26+$G$9*(1+assumptions!$D$5)</f>
        <v>177.03426666666667</v>
      </c>
      <c r="W39" s="129">
        <f>$G$7*W26+$G$9*(1+assumptions!$D$5)</f>
        <v>177.03426666666667</v>
      </c>
      <c r="X39" s="129">
        <f>$G$7*X26+$G$9*(1+assumptions!$D$5)</f>
        <v>177.03426666666667</v>
      </c>
      <c r="Y39" s="129">
        <f>$G$7*Y26+$G$9*(1+assumptions!$D$5)</f>
        <v>177.03426666666667</v>
      </c>
      <c r="Z39" s="129">
        <f>$G$7*Z26+$G$9*(1+assumptions!$D$5)</f>
        <v>177.03426666666667</v>
      </c>
      <c r="AA39" s="129">
        <f>$G$7*AA26+$G$9*(1+assumptions!$D$5)</f>
        <v>177.03426666666667</v>
      </c>
      <c r="AB39" s="129">
        <f>$G$7*AB26+$G$9*(1+assumptions!$D$5)</f>
        <v>177.03426666666667</v>
      </c>
    </row>
    <row r="40" spans="1:28" s="128" customFormat="1" x14ac:dyDescent="0.3">
      <c r="A40" s="128" t="s">
        <v>142</v>
      </c>
      <c r="B40" s="128" t="s">
        <v>137</v>
      </c>
      <c r="D40" s="129">
        <f>H4</f>
        <v>35000</v>
      </c>
      <c r="E40" s="129">
        <f>D40*(1+$H$5)</f>
        <v>33950</v>
      </c>
      <c r="F40" s="129">
        <f t="shared" ref="F40:N40" si="9">E40*(1+$H$5)</f>
        <v>32931.5</v>
      </c>
      <c r="G40" s="129">
        <f t="shared" si="9"/>
        <v>31943.555</v>
      </c>
      <c r="H40" s="129">
        <f t="shared" si="9"/>
        <v>30985.248349999998</v>
      </c>
      <c r="I40" s="129">
        <f t="shared" si="9"/>
        <v>30055.690899499998</v>
      </c>
      <c r="J40" s="129">
        <f t="shared" si="9"/>
        <v>29154.020172514996</v>
      </c>
      <c r="K40" s="129">
        <f t="shared" si="9"/>
        <v>28279.399567339548</v>
      </c>
      <c r="L40" s="129">
        <f t="shared" si="9"/>
        <v>27431.01758031936</v>
      </c>
      <c r="M40" s="129">
        <f t="shared" si="9"/>
        <v>26608.087052909777</v>
      </c>
      <c r="N40" s="129">
        <f t="shared" si="9"/>
        <v>25809.844441322482</v>
      </c>
      <c r="P40" s="130"/>
    </row>
    <row r="41" spans="1:28" s="137" customFormat="1" x14ac:dyDescent="0.3">
      <c r="A41" s="136" t="s">
        <v>143</v>
      </c>
      <c r="B41" s="128" t="s">
        <v>137</v>
      </c>
      <c r="D41" s="137">
        <f t="shared" ref="D41:AB41" si="10">$H$10*D24</f>
        <v>572.66666666666674</v>
      </c>
      <c r="E41" s="137">
        <f t="shared" si="10"/>
        <v>585.2653333333335</v>
      </c>
      <c r="F41" s="137">
        <f t="shared" si="10"/>
        <v>598.14117066666677</v>
      </c>
      <c r="G41" s="137">
        <f t="shared" si="10"/>
        <v>611.30027642133348</v>
      </c>
      <c r="H41" s="137">
        <f t="shared" si="10"/>
        <v>624.74888250260278</v>
      </c>
      <c r="I41" s="137">
        <f t="shared" si="10"/>
        <v>638.49335791766009</v>
      </c>
      <c r="J41" s="137">
        <f t="shared" si="10"/>
        <v>652.54021179184861</v>
      </c>
      <c r="K41" s="137">
        <f t="shared" si="10"/>
        <v>666.89609645126939</v>
      </c>
      <c r="L41" s="137">
        <f t="shared" si="10"/>
        <v>681.56781057319722</v>
      </c>
      <c r="M41" s="137">
        <f t="shared" si="10"/>
        <v>696.56230240580771</v>
      </c>
      <c r="N41" s="137">
        <f t="shared" si="10"/>
        <v>711.88667305873548</v>
      </c>
      <c r="O41" s="137">
        <f t="shared" si="10"/>
        <v>727.54817986602768</v>
      </c>
      <c r="P41" s="137">
        <f t="shared" si="10"/>
        <v>743.55423982308025</v>
      </c>
      <c r="Q41" s="137">
        <f t="shared" si="10"/>
        <v>759.91243309918809</v>
      </c>
      <c r="R41" s="137">
        <f t="shared" si="10"/>
        <v>776.63050662737021</v>
      </c>
      <c r="S41" s="137">
        <f t="shared" si="10"/>
        <v>793.71637777317233</v>
      </c>
      <c r="T41" s="137">
        <f t="shared" si="10"/>
        <v>811.17813808418214</v>
      </c>
      <c r="U41" s="137">
        <f t="shared" si="10"/>
        <v>829.02405712203415</v>
      </c>
      <c r="V41" s="137">
        <f t="shared" si="10"/>
        <v>847.26258637871899</v>
      </c>
      <c r="W41" s="137">
        <f t="shared" si="10"/>
        <v>865.90236327905075</v>
      </c>
      <c r="X41" s="137">
        <f t="shared" si="10"/>
        <v>884.95221527118986</v>
      </c>
      <c r="Y41" s="137">
        <f t="shared" si="10"/>
        <v>904.42116400715622</v>
      </c>
      <c r="Z41" s="137">
        <f t="shared" si="10"/>
        <v>924.31842961531368</v>
      </c>
      <c r="AA41" s="137">
        <f t="shared" si="10"/>
        <v>944.65343506685053</v>
      </c>
      <c r="AB41" s="137">
        <f t="shared" si="10"/>
        <v>965.4358106383213</v>
      </c>
    </row>
    <row r="42" spans="1:28" s="128" customFormat="1" x14ac:dyDescent="0.3">
      <c r="A42" s="128" t="s">
        <v>124</v>
      </c>
      <c r="B42" s="128" t="s">
        <v>137</v>
      </c>
      <c r="D42" s="129">
        <f>MAX(D40+NPV(assumptions!$D$6,'Tier III incentives'!D41:M41)-(D38+NPV(assumptions!$D$6,'Tier III incentives'!D39:M39)),0)</f>
        <v>5181.9308066874</v>
      </c>
      <c r="E42" s="129">
        <f>MAX(E40+NPV(assumptions!$D$6,'Tier III incentives'!E41:N41)-(E38+NPV(assumptions!$D$6,'Tier III incentives'!E39:N39)),0)</f>
        <v>2829.9174778634624</v>
      </c>
      <c r="F42" s="129">
        <f>MAX(F40+NPV(assumptions!$D$6,'Tier III incentives'!F41:O41)-(F38+NPV(assumptions!$D$6,'Tier III incentives'!F39:O39)),0)</f>
        <v>1438.6634052657901</v>
      </c>
      <c r="G42" s="129">
        <f>MAX(G40+NPV(assumptions!$D$6,'Tier III incentives'!G41:P41)-(G38+NPV(assumptions!$D$6,'Tier III incentives'!G39:P39)),0)</f>
        <v>1062.6265778712332</v>
      </c>
      <c r="H42" s="129">
        <f>MAX(H40+NPV(assumptions!$D$6,'Tier III incentives'!H41:Q41)-(H38+NPV(assumptions!$D$6,'Tier III incentives'!H39:Q39)),0)</f>
        <v>804.22998867653223</v>
      </c>
      <c r="I42" s="129">
        <f>MAX(I40+NPV(assumptions!$D$6,'Tier III incentives'!I41:R41)-(I38+NPV(assumptions!$D$6,'Tier III incentives'!I39:R39)),0)</f>
        <v>670.54166409579921</v>
      </c>
      <c r="J42" s="129">
        <f>MAX(J40+NPV(assumptions!$D$6,'Tier III incentives'!J41:S41)-(J38+NPV(assumptions!$D$6,'Tier III incentives'!J39:S39)),0)</f>
        <v>669.27006811615865</v>
      </c>
      <c r="K42" s="129">
        <f>MAX(K40+NPV(assumptions!$D$6,'Tier III incentives'!K41:T41)-(K38+NPV(assumptions!$D$6,'Tier III incentives'!K39:T39)),0)</f>
        <v>808.80699901169282</v>
      </c>
      <c r="L42" s="129">
        <f>MAX(L40+NPV(assumptions!$D$6,'Tier III incentives'!L41:U41)-(L38+NPV(assumptions!$D$6,'Tier III incentives'!L39:U39)),0)</f>
        <v>1098.273476639708</v>
      </c>
      <c r="M42" s="129">
        <f>MAX(M40+NPV(assumptions!$D$6,'Tier III incentives'!M41:V41)-(M38+NPV(assumptions!$D$6,'Tier III incentives'!M39:V39)),0)</f>
        <v>1547.5688148578483</v>
      </c>
      <c r="N42" s="129">
        <f>MAX(N40+NPV(assumptions!$D$6,'Tier III incentives'!N41:W41)-(N38+NPV(assumptions!$D$6,'Tier III incentives'!N39:W39)),0)</f>
        <v>2167.4230862016993</v>
      </c>
      <c r="O42" s="129"/>
      <c r="P42" s="129"/>
      <c r="Q42" s="129"/>
      <c r="R42" s="129"/>
      <c r="S42" s="129"/>
      <c r="T42" s="129"/>
      <c r="U42" s="129"/>
      <c r="V42" s="129"/>
      <c r="W42" s="129"/>
      <c r="X42" s="129"/>
      <c r="Y42" s="129"/>
      <c r="Z42" s="129"/>
      <c r="AA42" s="129"/>
      <c r="AB42" s="129"/>
    </row>
    <row r="43" spans="1:28" s="128" customFormat="1" x14ac:dyDescent="0.3">
      <c r="A43" s="128" t="s">
        <v>157</v>
      </c>
      <c r="B43" s="128" t="s">
        <v>137</v>
      </c>
      <c r="D43" s="129">
        <v>7500</v>
      </c>
      <c r="E43" s="129">
        <v>7500</v>
      </c>
      <c r="F43" s="129">
        <v>7500</v>
      </c>
      <c r="G43" s="129"/>
      <c r="H43" s="129"/>
      <c r="I43" s="129"/>
      <c r="J43" s="129"/>
      <c r="K43" s="129"/>
      <c r="L43" s="129"/>
      <c r="M43" s="129"/>
      <c r="N43" s="129"/>
      <c r="O43" s="129"/>
      <c r="P43" s="129"/>
      <c r="Q43" s="129"/>
      <c r="R43" s="129"/>
      <c r="S43" s="129"/>
      <c r="T43" s="129"/>
      <c r="U43" s="129"/>
      <c r="V43" s="129"/>
      <c r="W43" s="129"/>
      <c r="X43" s="129"/>
      <c r="Y43" s="129"/>
      <c r="Z43" s="129"/>
      <c r="AA43" s="129"/>
      <c r="AB43" s="129"/>
    </row>
    <row r="44" spans="1:28" s="128" customFormat="1" x14ac:dyDescent="0.3">
      <c r="A44" s="128" t="s">
        <v>158</v>
      </c>
      <c r="B44" s="128" t="s">
        <v>137</v>
      </c>
      <c r="D44" s="129">
        <f>MAX(D42-D43,0)</f>
        <v>0</v>
      </c>
      <c r="E44" s="129">
        <f t="shared" ref="E44:N44" si="11">MAX(E42-E43,0)</f>
        <v>0</v>
      </c>
      <c r="F44" s="129">
        <f t="shared" si="11"/>
        <v>0</v>
      </c>
      <c r="G44" s="129">
        <f t="shared" si="11"/>
        <v>1062.6265778712332</v>
      </c>
      <c r="H44" s="129">
        <f t="shared" si="11"/>
        <v>804.22998867653223</v>
      </c>
      <c r="I44" s="129">
        <f t="shared" si="11"/>
        <v>670.54166409579921</v>
      </c>
      <c r="J44" s="129">
        <f t="shared" si="11"/>
        <v>669.27006811615865</v>
      </c>
      <c r="K44" s="129">
        <f t="shared" si="11"/>
        <v>808.80699901169282</v>
      </c>
      <c r="L44" s="129">
        <f t="shared" si="11"/>
        <v>1098.273476639708</v>
      </c>
      <c r="M44" s="129">
        <f t="shared" si="11"/>
        <v>1547.5688148578483</v>
      </c>
      <c r="N44" s="129">
        <f t="shared" si="11"/>
        <v>2167.4230862016993</v>
      </c>
      <c r="O44" s="129"/>
      <c r="P44" s="129"/>
      <c r="Q44" s="129"/>
      <c r="R44" s="129"/>
      <c r="S44" s="129"/>
      <c r="T44" s="129"/>
      <c r="U44" s="129"/>
      <c r="V44" s="129"/>
      <c r="W44" s="129"/>
      <c r="X44" s="129"/>
      <c r="Y44" s="129"/>
      <c r="Z44" s="129"/>
      <c r="AA44" s="129"/>
      <c r="AB44" s="129"/>
    </row>
    <row r="45" spans="1:28" s="128" customFormat="1" ht="12.75" customHeight="1" x14ac:dyDescent="0.3">
      <c r="A45" s="128" t="s">
        <v>125</v>
      </c>
      <c r="B45" s="128" t="s">
        <v>52</v>
      </c>
      <c r="D45" s="138">
        <f>D44/$H$11</f>
        <v>0</v>
      </c>
      <c r="E45" s="138">
        <f t="shared" ref="E45:N45" si="12">E44/$H$11</f>
        <v>0</v>
      </c>
      <c r="F45" s="138">
        <f t="shared" si="12"/>
        <v>0</v>
      </c>
      <c r="G45" s="138">
        <f t="shared" si="12"/>
        <v>28.71963723976306</v>
      </c>
      <c r="H45" s="138">
        <f t="shared" si="12"/>
        <v>21.735945639906276</v>
      </c>
      <c r="I45" s="138">
        <f t="shared" si="12"/>
        <v>18.122747678264844</v>
      </c>
      <c r="J45" s="138">
        <f t="shared" si="12"/>
        <v>18.088380219355638</v>
      </c>
      <c r="K45" s="138">
        <f t="shared" si="12"/>
        <v>21.859648621937644</v>
      </c>
      <c r="L45" s="138">
        <f t="shared" si="12"/>
        <v>29.683066936208323</v>
      </c>
      <c r="M45" s="138">
        <f t="shared" si="12"/>
        <v>41.826184185347252</v>
      </c>
      <c r="N45" s="138">
        <f t="shared" si="12"/>
        <v>58.579002329775655</v>
      </c>
      <c r="O45" s="138"/>
      <c r="P45" s="138"/>
      <c r="Q45" s="138"/>
      <c r="R45" s="138"/>
      <c r="S45" s="138"/>
      <c r="T45" s="138"/>
      <c r="U45" s="138"/>
      <c r="V45" s="138"/>
      <c r="W45" s="138"/>
      <c r="X45" s="138"/>
      <c r="Y45" s="138"/>
      <c r="Z45" s="138"/>
      <c r="AA45" s="138"/>
      <c r="AB45" s="138"/>
    </row>
    <row r="46" spans="1:28" s="128" customFormat="1" x14ac:dyDescent="0.3">
      <c r="A46" s="128" t="s">
        <v>126</v>
      </c>
      <c r="B46" s="128" t="s">
        <v>52</v>
      </c>
      <c r="D46" s="129">
        <f>$H$11*D25</f>
        <v>2248.86</v>
      </c>
      <c r="E46" s="129">
        <f t="shared" ref="E46:N46" si="13">$H$11*E25</f>
        <v>2309.54</v>
      </c>
      <c r="F46" s="129">
        <f t="shared" si="13"/>
        <v>2353.4212599999996</v>
      </c>
      <c r="G46" s="129">
        <f t="shared" si="13"/>
        <v>2398.1362639399999</v>
      </c>
      <c r="H46" s="129">
        <f t="shared" si="13"/>
        <v>2443.7008529548593</v>
      </c>
      <c r="I46" s="129">
        <f t="shared" si="13"/>
        <v>2490.1311691610017</v>
      </c>
      <c r="J46" s="129">
        <f t="shared" si="13"/>
        <v>2537.4436613750599</v>
      </c>
      <c r="K46" s="129">
        <f t="shared" si="13"/>
        <v>2585.6550909411858</v>
      </c>
      <c r="L46" s="129">
        <f t="shared" si="13"/>
        <v>2634.7825376690685</v>
      </c>
      <c r="M46" s="129">
        <f t="shared" si="13"/>
        <v>2684.8434058847806</v>
      </c>
      <c r="N46" s="129">
        <f t="shared" si="13"/>
        <v>2735.8554305965913</v>
      </c>
      <c r="O46" s="129"/>
      <c r="P46" s="129"/>
      <c r="Q46" s="129"/>
      <c r="R46" s="129"/>
      <c r="S46" s="129"/>
      <c r="T46" s="129"/>
      <c r="U46" s="129"/>
      <c r="V46" s="129"/>
      <c r="W46" s="129"/>
      <c r="X46" s="129"/>
      <c r="Y46" s="129"/>
      <c r="Z46" s="129"/>
      <c r="AA46" s="129"/>
      <c r="AB46" s="129"/>
    </row>
    <row r="47" spans="1:28" s="117" customFormat="1" x14ac:dyDescent="0.3"/>
    <row r="48" spans="1:28" s="117" customFormat="1" ht="15.6" x14ac:dyDescent="0.3">
      <c r="A48" s="116" t="s">
        <v>140</v>
      </c>
      <c r="D48" s="118"/>
      <c r="E48" s="118"/>
      <c r="F48" s="118"/>
      <c r="G48" s="118"/>
      <c r="H48" s="118"/>
      <c r="I48" s="118"/>
      <c r="J48" s="118"/>
      <c r="K48" s="118"/>
      <c r="L48" s="118"/>
      <c r="M48" s="118"/>
      <c r="P48" s="119"/>
    </row>
    <row r="49" spans="1:28" s="117" customFormat="1" x14ac:dyDescent="0.3">
      <c r="A49" s="117" t="s">
        <v>129</v>
      </c>
      <c r="D49" s="118">
        <f t="shared" ref="D49:AB49" si="14">(htg_load_baseline_space*D$26)+(UEC_window_clg*D41)</f>
        <v>0</v>
      </c>
      <c r="E49" s="118">
        <f t="shared" si="14"/>
        <v>1870</v>
      </c>
      <c r="F49" s="118">
        <f t="shared" si="14"/>
        <v>1963.5000000000002</v>
      </c>
      <c r="G49" s="118">
        <f t="shared" si="14"/>
        <v>2061.6750000000002</v>
      </c>
      <c r="H49" s="118">
        <f t="shared" si="14"/>
        <v>2164.7587500000004</v>
      </c>
      <c r="I49" s="118">
        <f t="shared" si="14"/>
        <v>2272.9966875000005</v>
      </c>
      <c r="J49" s="118">
        <f t="shared" si="14"/>
        <v>2386.6465218750004</v>
      </c>
      <c r="K49" s="118">
        <f t="shared" si="14"/>
        <v>2505.9788479687504</v>
      </c>
      <c r="L49" s="118">
        <f t="shared" si="14"/>
        <v>2631.2777903671881</v>
      </c>
      <c r="M49" s="118">
        <f t="shared" si="14"/>
        <v>2762.8416798855474</v>
      </c>
      <c r="N49" s="118">
        <f t="shared" si="14"/>
        <v>2900.9837638798244</v>
      </c>
      <c r="O49" s="118">
        <f t="shared" si="14"/>
        <v>3046.032952073816</v>
      </c>
      <c r="P49" s="118">
        <f t="shared" si="14"/>
        <v>0</v>
      </c>
      <c r="Q49" s="118">
        <f t="shared" si="14"/>
        <v>0</v>
      </c>
      <c r="R49" s="118">
        <f t="shared" si="14"/>
        <v>0</v>
      </c>
      <c r="S49" s="118">
        <f t="shared" si="14"/>
        <v>0</v>
      </c>
      <c r="T49" s="118">
        <f t="shared" si="14"/>
        <v>0</v>
      </c>
      <c r="U49" s="118">
        <f t="shared" si="14"/>
        <v>0</v>
      </c>
      <c r="V49" s="118">
        <f t="shared" si="14"/>
        <v>0</v>
      </c>
      <c r="W49" s="118">
        <f t="shared" si="14"/>
        <v>0</v>
      </c>
      <c r="X49" s="118">
        <f t="shared" si="14"/>
        <v>0</v>
      </c>
      <c r="Y49" s="118">
        <f t="shared" si="14"/>
        <v>0</v>
      </c>
      <c r="Z49" s="118">
        <f t="shared" si="14"/>
        <v>0</v>
      </c>
      <c r="AA49" s="118">
        <f t="shared" si="14"/>
        <v>0</v>
      </c>
      <c r="AB49" s="118">
        <f t="shared" si="14"/>
        <v>0</v>
      </c>
    </row>
    <row r="50" spans="1:28" s="117" customFormat="1" x14ac:dyDescent="0.3">
      <c r="A50" s="117" t="s">
        <v>144</v>
      </c>
      <c r="B50" s="117" t="s">
        <v>137</v>
      </c>
      <c r="D50" s="118">
        <f>equip_cost_CCHP_space</f>
        <v>3000</v>
      </c>
      <c r="E50" s="118">
        <f t="shared" ref="E50:N50" si="15">D50*(1+equip_cost_trend_CCHP)</f>
        <v>3030</v>
      </c>
      <c r="F50" s="118">
        <f t="shared" si="15"/>
        <v>3060.3</v>
      </c>
      <c r="G50" s="118">
        <f t="shared" si="15"/>
        <v>3090.9030000000002</v>
      </c>
      <c r="H50" s="118">
        <f t="shared" si="15"/>
        <v>3121.8120300000005</v>
      </c>
      <c r="I50" s="118">
        <f t="shared" si="15"/>
        <v>3153.0301503000005</v>
      </c>
      <c r="J50" s="118">
        <f t="shared" si="15"/>
        <v>3184.5604518030004</v>
      </c>
      <c r="K50" s="118">
        <f t="shared" si="15"/>
        <v>3216.4060563210305</v>
      </c>
      <c r="L50" s="118">
        <f t="shared" si="15"/>
        <v>3248.5701168842406</v>
      </c>
      <c r="M50" s="118">
        <f t="shared" si="15"/>
        <v>3281.0558180530829</v>
      </c>
      <c r="N50" s="118">
        <f t="shared" si="15"/>
        <v>3313.8663762336137</v>
      </c>
      <c r="P50" s="119"/>
    </row>
    <row r="51" spans="1:28" s="121" customFormat="1" x14ac:dyDescent="0.3">
      <c r="A51" s="120" t="s">
        <v>145</v>
      </c>
      <c r="B51" s="117" t="s">
        <v>137</v>
      </c>
      <c r="D51" s="121">
        <f t="shared" ref="D51:AB51" si="16">($C$14*D41)+(htg_load_CCHP_backup*D$26)+($C$16*D41)</f>
        <v>1259.8666666666668</v>
      </c>
      <c r="E51" s="121">
        <f t="shared" si="16"/>
        <v>2222.5837333333338</v>
      </c>
      <c r="F51" s="121">
        <f t="shared" si="16"/>
        <v>2297.6605754666671</v>
      </c>
      <c r="G51" s="121">
        <f t="shared" si="16"/>
        <v>2375.6981081269341</v>
      </c>
      <c r="H51" s="121">
        <f t="shared" si="16"/>
        <v>2456.8269165057263</v>
      </c>
      <c r="I51" s="121">
        <f t="shared" si="16"/>
        <v>2541.1837311688523</v>
      </c>
      <c r="J51" s="121">
        <f t="shared" si="16"/>
        <v>2628.9117268795671</v>
      </c>
      <c r="K51" s="121">
        <f t="shared" si="16"/>
        <v>2720.1608361771678</v>
      </c>
      <c r="L51" s="121">
        <f t="shared" si="16"/>
        <v>2815.0880784446281</v>
      </c>
      <c r="M51" s="121">
        <f t="shared" si="16"/>
        <v>2913.8579052355503</v>
      </c>
      <c r="N51" s="121">
        <f t="shared" si="16"/>
        <v>3016.6425626691303</v>
      </c>
      <c r="O51" s="121">
        <f t="shared" si="16"/>
        <v>3123.6224717421687</v>
      </c>
      <c r="P51" s="121">
        <f t="shared" si="16"/>
        <v>1635.8193276107766</v>
      </c>
      <c r="Q51" s="121">
        <f t="shared" si="16"/>
        <v>1671.8073528182138</v>
      </c>
      <c r="R51" s="121">
        <f t="shared" si="16"/>
        <v>1708.5871145802143</v>
      </c>
      <c r="S51" s="121">
        <f t="shared" si="16"/>
        <v>1746.1760311009791</v>
      </c>
      <c r="T51" s="121">
        <f t="shared" si="16"/>
        <v>1784.5919037852007</v>
      </c>
      <c r="U51" s="121">
        <f t="shared" si="16"/>
        <v>1823.8529256684751</v>
      </c>
      <c r="V51" s="121">
        <f t="shared" si="16"/>
        <v>1863.9776900331817</v>
      </c>
      <c r="W51" s="121">
        <f t="shared" si="16"/>
        <v>1904.9851992139115</v>
      </c>
      <c r="X51" s="121">
        <f t="shared" si="16"/>
        <v>1946.8948735966178</v>
      </c>
      <c r="Y51" s="121">
        <f t="shared" si="16"/>
        <v>1989.7265608157436</v>
      </c>
      <c r="Z51" s="121">
        <f t="shared" si="16"/>
        <v>2033.5005451536902</v>
      </c>
      <c r="AA51" s="121">
        <f t="shared" si="16"/>
        <v>2078.2375571470711</v>
      </c>
      <c r="AB51" s="121">
        <f t="shared" si="16"/>
        <v>2123.9587834043068</v>
      </c>
    </row>
    <row r="52" spans="1:28" s="117" customFormat="1" x14ac:dyDescent="0.3">
      <c r="A52" s="117" t="s">
        <v>124</v>
      </c>
      <c r="B52" s="117" t="s">
        <v>137</v>
      </c>
      <c r="D52" s="118">
        <f>MAX(D50+NPV(assumptions!$D$6,'Tier III incentives'!D51:H51)-NPV(assumptions!$D$6,'Tier III incentives'!D49:H49),0)</f>
        <v>5249.9054278971371</v>
      </c>
      <c r="E52" s="118">
        <f>MAX(E50+NPV(assumptions!$D$6,'Tier III incentives'!E51:I51)-NPV(assumptions!$D$6,'Tier III incentives'!E49:I49),0)</f>
        <v>4355.4380471426357</v>
      </c>
      <c r="F52" s="118">
        <f>MAX(F50+NPV(assumptions!$D$6,'Tier III incentives'!F51:J51)-NPV(assumptions!$D$6,'Tier III incentives'!F49:J49),0)</f>
        <v>4293.7152510785909</v>
      </c>
      <c r="G52" s="118">
        <f>MAX(G50+NPV(assumptions!$D$6,'Tier III incentives'!G51:K51)-NPV(assumptions!$D$6,'Tier III incentives'!G49:K49),0)</f>
        <v>4224.2118318460834</v>
      </c>
      <c r="H52" s="118">
        <f>MAX(H50+NPV(assumptions!$D$6,'Tier III incentives'!H51:L51)-NPV(assumptions!$D$6,'Tier III incentives'!H49:L49),0)</f>
        <v>4146.4500236526455</v>
      </c>
      <c r="I52" s="118">
        <f>MAX(I50+NPV(assumptions!$D$6,'Tier III incentives'!I51:M51)-NPV(assumptions!$D$6,'Tier III incentives'!I49:M49),0)</f>
        <v>4059.9263656942512</v>
      </c>
      <c r="J52" s="118">
        <f>MAX(J50+NPV(assumptions!$D$6,'Tier III incentives'!J51:N51)-NPV(assumptions!$D$6,'Tier III incentives'!J49:N49),0)</f>
        <v>3964.1103791112328</v>
      </c>
      <c r="K52" s="118">
        <f>MAX(K50+NPV(assumptions!$D$6,'Tier III incentives'!K51:O51)-NPV(assumptions!$D$6,'Tier III incentives'!K49:O49),0)</f>
        <v>3858.4431769641196</v>
      </c>
      <c r="L52" s="118">
        <f>MAX(L50+NPV(assumptions!$D$6,'Tier III incentives'!L51:P51)-NPV(assumptions!$D$6,'Tier III incentives'!L49:P49),0)</f>
        <v>4937.3268384469047</v>
      </c>
      <c r="M52" s="118">
        <f>MAX(M50+NPV(assumptions!$D$6,'Tier III incentives'!M51:Q51)-NPV(assumptions!$D$6,'Tier III incentives'!M49:Q49),0)</f>
        <v>6136.5993626830468</v>
      </c>
      <c r="N52" s="118">
        <f>MAX(N50+NPV(assumptions!$D$6,'Tier III incentives'!N51:R51)-NPV(assumptions!$D$6,'Tier III incentives'!N49:R49),0)</f>
        <v>7466.4819936150725</v>
      </c>
      <c r="O52" s="118"/>
      <c r="P52" s="118"/>
      <c r="Q52" s="118"/>
      <c r="R52" s="118"/>
      <c r="S52" s="118"/>
      <c r="T52" s="118"/>
      <c r="U52" s="118"/>
      <c r="V52" s="118"/>
      <c r="W52" s="118"/>
      <c r="X52" s="118"/>
      <c r="Y52" s="118"/>
      <c r="Z52" s="118"/>
      <c r="AA52" s="118"/>
      <c r="AB52" s="118"/>
    </row>
    <row r="53" spans="1:28" s="117" customFormat="1" ht="12.75" customHeight="1" x14ac:dyDescent="0.3">
      <c r="A53" s="117" t="s">
        <v>125</v>
      </c>
      <c r="B53" s="117" t="s">
        <v>52</v>
      </c>
      <c r="D53" s="122">
        <f t="shared" ref="D53:N53" si="17">D52/$C$18</f>
        <v>214.90371726280844</v>
      </c>
      <c r="E53" s="122">
        <f t="shared" si="17"/>
        <v>178.28889291320752</v>
      </c>
      <c r="F53" s="122">
        <f t="shared" si="17"/>
        <v>175.76228391116106</v>
      </c>
      <c r="G53" s="122">
        <f t="shared" si="17"/>
        <v>172.91717682100835</v>
      </c>
      <c r="H53" s="122">
        <f t="shared" si="17"/>
        <v>169.73401440573014</v>
      </c>
      <c r="I53" s="122">
        <f t="shared" si="17"/>
        <v>166.19218760869339</v>
      </c>
      <c r="J53" s="122">
        <f t="shared" si="17"/>
        <v>162.26998139513464</v>
      </c>
      <c r="K53" s="122">
        <f t="shared" si="17"/>
        <v>157.94451785182827</v>
      </c>
      <c r="L53" s="122">
        <f t="shared" si="17"/>
        <v>202.10838185492338</v>
      </c>
      <c r="M53" s="122">
        <f t="shared" si="17"/>
        <v>251.20033732139206</v>
      </c>
      <c r="N53" s="122">
        <f t="shared" si="17"/>
        <v>305.63878861079223</v>
      </c>
      <c r="O53" s="122"/>
      <c r="P53" s="122"/>
      <c r="Q53" s="122"/>
      <c r="R53" s="122"/>
      <c r="S53" s="122"/>
      <c r="T53" s="122"/>
      <c r="U53" s="122"/>
      <c r="V53" s="122"/>
      <c r="W53" s="122"/>
      <c r="X53" s="122"/>
      <c r="Y53" s="122"/>
      <c r="Z53" s="122"/>
      <c r="AA53" s="122"/>
      <c r="AB53" s="122"/>
    </row>
    <row r="54" spans="1:28" s="117" customFormat="1" x14ac:dyDescent="0.3">
      <c r="A54" s="117" t="s">
        <v>126</v>
      </c>
      <c r="B54" s="117" t="s">
        <v>52</v>
      </c>
      <c r="D54" s="118">
        <f t="shared" ref="D54:N54" si="18">$C$18*D42</f>
        <v>126589.93066995984</v>
      </c>
      <c r="E54" s="118">
        <f t="shared" si="18"/>
        <v>69132.35060223646</v>
      </c>
      <c r="F54" s="118">
        <f t="shared" si="18"/>
        <v>35145.259078908253</v>
      </c>
      <c r="G54" s="118">
        <f t="shared" si="18"/>
        <v>25959.016019121245</v>
      </c>
      <c r="H54" s="118">
        <f t="shared" si="18"/>
        <v>19646.618665359252</v>
      </c>
      <c r="I54" s="118">
        <f t="shared" si="18"/>
        <v>16380.732575522276</v>
      </c>
      <c r="J54" s="118">
        <f t="shared" si="18"/>
        <v>16349.66862409028</v>
      </c>
      <c r="K54" s="118">
        <f t="shared" si="18"/>
        <v>19758.430930443134</v>
      </c>
      <c r="L54" s="118">
        <f t="shared" si="18"/>
        <v>26829.837844429439</v>
      </c>
      <c r="M54" s="118">
        <f t="shared" si="18"/>
        <v>37805.720741586316</v>
      </c>
      <c r="N54" s="118">
        <f t="shared" si="18"/>
        <v>52948.205688246104</v>
      </c>
      <c r="O54" s="118"/>
      <c r="P54" s="118"/>
      <c r="Q54" s="118"/>
      <c r="R54" s="118"/>
      <c r="S54" s="118"/>
      <c r="T54" s="118"/>
      <c r="U54" s="118"/>
      <c r="V54" s="118"/>
      <c r="W54" s="118"/>
      <c r="X54" s="118"/>
      <c r="Y54" s="118"/>
      <c r="Z54" s="118"/>
      <c r="AA54" s="118"/>
      <c r="AB54" s="118"/>
    </row>
    <row r="55" spans="1:28" s="117" customFormat="1" x14ac:dyDescent="0.3"/>
    <row r="56" spans="1:28" s="117" customFormat="1" ht="15.6" x14ac:dyDescent="0.3">
      <c r="A56" s="116" t="s">
        <v>141</v>
      </c>
      <c r="D56" s="118"/>
      <c r="E56" s="118"/>
      <c r="F56" s="118"/>
      <c r="G56" s="118"/>
      <c r="H56" s="118"/>
      <c r="I56" s="118"/>
      <c r="J56" s="118"/>
      <c r="K56" s="118"/>
      <c r="L56" s="118"/>
      <c r="M56" s="118"/>
      <c r="P56" s="119"/>
    </row>
    <row r="57" spans="1:28" s="117" customFormat="1" x14ac:dyDescent="0.3">
      <c r="A57" s="117" t="s">
        <v>129</v>
      </c>
      <c r="D57" s="118">
        <f t="shared" ref="D57:AB57" si="19">(htg_load_baseline_space*D$26)+(UEC_window_clg*D50)</f>
        <v>0</v>
      </c>
      <c r="E57" s="118">
        <f t="shared" si="19"/>
        <v>1870</v>
      </c>
      <c r="F57" s="118">
        <f t="shared" si="19"/>
        <v>1963.5000000000002</v>
      </c>
      <c r="G57" s="118">
        <f t="shared" si="19"/>
        <v>2061.6750000000002</v>
      </c>
      <c r="H57" s="118">
        <f t="shared" si="19"/>
        <v>2164.7587500000004</v>
      </c>
      <c r="I57" s="118">
        <f t="shared" si="19"/>
        <v>2272.9966875000005</v>
      </c>
      <c r="J57" s="118">
        <f t="shared" si="19"/>
        <v>2386.6465218750004</v>
      </c>
      <c r="K57" s="118">
        <f t="shared" si="19"/>
        <v>2505.9788479687504</v>
      </c>
      <c r="L57" s="118">
        <f t="shared" si="19"/>
        <v>2631.2777903671881</v>
      </c>
      <c r="M57" s="118">
        <f t="shared" si="19"/>
        <v>2762.8416798855474</v>
      </c>
      <c r="N57" s="118">
        <f t="shared" si="19"/>
        <v>2900.9837638798244</v>
      </c>
      <c r="O57" s="118">
        <f t="shared" si="19"/>
        <v>3046.032952073816</v>
      </c>
      <c r="P57" s="118">
        <f t="shared" si="19"/>
        <v>0</v>
      </c>
      <c r="Q57" s="118">
        <f t="shared" si="19"/>
        <v>0</v>
      </c>
      <c r="R57" s="118">
        <f t="shared" si="19"/>
        <v>0</v>
      </c>
      <c r="S57" s="118">
        <f t="shared" si="19"/>
        <v>0</v>
      </c>
      <c r="T57" s="118">
        <f t="shared" si="19"/>
        <v>0</v>
      </c>
      <c r="U57" s="118">
        <f t="shared" si="19"/>
        <v>0</v>
      </c>
      <c r="V57" s="118">
        <f t="shared" si="19"/>
        <v>0</v>
      </c>
      <c r="W57" s="118">
        <f t="shared" si="19"/>
        <v>0</v>
      </c>
      <c r="X57" s="118">
        <f t="shared" si="19"/>
        <v>0</v>
      </c>
      <c r="Y57" s="118">
        <f t="shared" si="19"/>
        <v>0</v>
      </c>
      <c r="Z57" s="118">
        <f t="shared" si="19"/>
        <v>0</v>
      </c>
      <c r="AA57" s="118">
        <f t="shared" si="19"/>
        <v>0</v>
      </c>
      <c r="AB57" s="118">
        <f t="shared" si="19"/>
        <v>0</v>
      </c>
    </row>
    <row r="58" spans="1:28" s="117" customFormat="1" x14ac:dyDescent="0.3">
      <c r="A58" s="117" t="s">
        <v>146</v>
      </c>
      <c r="B58" s="117" t="s">
        <v>137</v>
      </c>
      <c r="D58" s="118">
        <f>equip_cost_CCHP_space</f>
        <v>3000</v>
      </c>
      <c r="E58" s="118">
        <f t="shared" ref="E58:N58" si="20">D58*(1+equip_cost_trend_CCHP)</f>
        <v>3030</v>
      </c>
      <c r="F58" s="118">
        <f t="shared" si="20"/>
        <v>3060.3</v>
      </c>
      <c r="G58" s="118">
        <f t="shared" si="20"/>
        <v>3090.9030000000002</v>
      </c>
      <c r="H58" s="118">
        <f t="shared" si="20"/>
        <v>3121.8120300000005</v>
      </c>
      <c r="I58" s="118">
        <f t="shared" si="20"/>
        <v>3153.0301503000005</v>
      </c>
      <c r="J58" s="118">
        <f t="shared" si="20"/>
        <v>3184.5604518030004</v>
      </c>
      <c r="K58" s="118">
        <f t="shared" si="20"/>
        <v>3216.4060563210305</v>
      </c>
      <c r="L58" s="118">
        <f t="shared" si="20"/>
        <v>3248.5701168842406</v>
      </c>
      <c r="M58" s="118">
        <f t="shared" si="20"/>
        <v>3281.0558180530829</v>
      </c>
      <c r="N58" s="118">
        <f t="shared" si="20"/>
        <v>3313.8663762336137</v>
      </c>
      <c r="P58" s="119"/>
    </row>
    <row r="59" spans="1:28" s="121" customFormat="1" x14ac:dyDescent="0.3">
      <c r="A59" s="120" t="s">
        <v>147</v>
      </c>
      <c r="B59" s="117" t="s">
        <v>137</v>
      </c>
      <c r="D59" s="121">
        <f t="shared" ref="D59:AB59" si="21">($C$14*D50)+(htg_load_CCHP_backup*D$26)+($C$16*D50)</f>
        <v>6600</v>
      </c>
      <c r="E59" s="121">
        <f t="shared" si="21"/>
        <v>7601</v>
      </c>
      <c r="F59" s="121">
        <f t="shared" si="21"/>
        <v>7714.4100000000008</v>
      </c>
      <c r="G59" s="121">
        <f t="shared" si="21"/>
        <v>7830.8240999999998</v>
      </c>
      <c r="H59" s="121">
        <f t="shared" si="21"/>
        <v>7950.3658410000016</v>
      </c>
      <c r="I59" s="121">
        <f t="shared" si="21"/>
        <v>8073.1646744100017</v>
      </c>
      <c r="J59" s="121">
        <f t="shared" si="21"/>
        <v>8199.3562549041017</v>
      </c>
      <c r="K59" s="121">
        <f t="shared" si="21"/>
        <v>8329.0827478906431</v>
      </c>
      <c r="L59" s="121">
        <f t="shared" si="21"/>
        <v>8462.4931523289233</v>
      </c>
      <c r="M59" s="121">
        <f t="shared" si="21"/>
        <v>8599.7436396595567</v>
      </c>
      <c r="N59" s="121">
        <f t="shared" si="21"/>
        <v>8740.9979096538627</v>
      </c>
      <c r="O59" s="121">
        <f t="shared" si="21"/>
        <v>1523.016476036908</v>
      </c>
      <c r="P59" s="121">
        <f t="shared" si="21"/>
        <v>0</v>
      </c>
      <c r="Q59" s="121">
        <f t="shared" si="21"/>
        <v>0</v>
      </c>
      <c r="R59" s="121">
        <f t="shared" si="21"/>
        <v>0</v>
      </c>
      <c r="S59" s="121">
        <f t="shared" si="21"/>
        <v>0</v>
      </c>
      <c r="T59" s="121">
        <f t="shared" si="21"/>
        <v>0</v>
      </c>
      <c r="U59" s="121">
        <f t="shared" si="21"/>
        <v>0</v>
      </c>
      <c r="V59" s="121">
        <f t="shared" si="21"/>
        <v>0</v>
      </c>
      <c r="W59" s="121">
        <f t="shared" si="21"/>
        <v>0</v>
      </c>
      <c r="X59" s="121">
        <f t="shared" si="21"/>
        <v>0</v>
      </c>
      <c r="Y59" s="121">
        <f t="shared" si="21"/>
        <v>0</v>
      </c>
      <c r="Z59" s="121">
        <f t="shared" si="21"/>
        <v>0</v>
      </c>
      <c r="AA59" s="121">
        <f t="shared" si="21"/>
        <v>0</v>
      </c>
      <c r="AB59" s="121">
        <f t="shared" si="21"/>
        <v>0</v>
      </c>
    </row>
    <row r="60" spans="1:28" s="117" customFormat="1" x14ac:dyDescent="0.3">
      <c r="A60" s="117" t="s">
        <v>124</v>
      </c>
      <c r="B60" s="117" t="s">
        <v>137</v>
      </c>
      <c r="D60" s="118">
        <f>MAX(D58+NPV(assumptions!$D$6,'Tier III incentives'!D59:H59)-NPV(assumptions!$D$6,'Tier III incentives'!D57:H57),0)</f>
        <v>28048.608251171419</v>
      </c>
      <c r="E60" s="118">
        <f>MAX(E58+NPV(assumptions!$D$6,'Tier III incentives'!E59:I59)-NPV(assumptions!$D$6,'Tier III incentives'!E57:I57),0)</f>
        <v>27315.747678456275</v>
      </c>
      <c r="F60" s="118">
        <f>MAX(F58+NPV(assumptions!$D$6,'Tier III incentives'!F59:J59)-NPV(assumptions!$D$6,'Tier III incentives'!F57:J57),0)</f>
        <v>27415.787393667713</v>
      </c>
      <c r="G60" s="118">
        <f>MAX(G58+NPV(assumptions!$D$6,'Tier III incentives'!G59:K59)-NPV(assumptions!$D$6,'Tier III incentives'!G57:K57),0)</f>
        <v>27508.171617952619</v>
      </c>
      <c r="H60" s="118">
        <f>MAX(H58+NPV(assumptions!$D$6,'Tier III incentives'!H59:L59)-NPV(assumptions!$D$6,'Tier III incentives'!H57:L57),0)</f>
        <v>27592.391001997788</v>
      </c>
      <c r="I60" s="118">
        <f>MAX(I58+NPV(assumptions!$D$6,'Tier III incentives'!I59:M59)-NPV(assumptions!$D$6,'Tier III incentives'!I57:M57),0)</f>
        <v>27667.909463276694</v>
      </c>
      <c r="J60" s="118">
        <f>MAX(J58+NPV(assumptions!$D$6,'Tier III incentives'!J59:N59)-NPV(assumptions!$D$6,'Tier III incentives'!J57:N57),0)</f>
        <v>27734.162836731335</v>
      </c>
      <c r="K60" s="118">
        <f>MAX(K58+NPV(assumptions!$D$6,'Tier III incentives'!K59:O59)-NPV(assumptions!$D$6,'Tier III incentives'!K57:O57),0)</f>
        <v>22288.188342187728</v>
      </c>
      <c r="L60" s="118">
        <f>MAX(L58+NPV(assumptions!$D$6,'Tier III incentives'!L59:P59)-NPV(assumptions!$D$6,'Tier III incentives'!L57:P57),0)</f>
        <v>17641.555439981043</v>
      </c>
      <c r="M60" s="118">
        <f>MAX(M58+NPV(assumptions!$D$6,'Tier III incentives'!M59:Q59)-NPV(assumptions!$D$6,'Tier III incentives'!M57:Q57),0)</f>
        <v>12706.404898573957</v>
      </c>
      <c r="N60" s="118">
        <f>MAX(N58+NPV(assumptions!$D$6,'Tier III incentives'!N59:R59)-NPV(assumptions!$D$6,'Tier III incentives'!N57:R57),0)</f>
        <v>7467.8344418117322</v>
      </c>
      <c r="O60" s="118"/>
      <c r="P60" s="118"/>
      <c r="Q60" s="118"/>
      <c r="R60" s="118"/>
      <c r="S60" s="118"/>
      <c r="T60" s="118"/>
      <c r="U60" s="118"/>
      <c r="V60" s="118"/>
      <c r="W60" s="118"/>
      <c r="X60" s="118"/>
      <c r="Y60" s="118"/>
      <c r="Z60" s="118"/>
      <c r="AA60" s="118"/>
      <c r="AB60" s="118"/>
    </row>
    <row r="61" spans="1:28" s="117" customFormat="1" ht="12.75" customHeight="1" x14ac:dyDescent="0.3">
      <c r="A61" s="117" t="s">
        <v>125</v>
      </c>
      <c r="B61" s="117" t="s">
        <v>52</v>
      </c>
      <c r="D61" s="122">
        <f t="shared" ref="D61:N61" si="22">D60/$C$18</f>
        <v>1148.1635736130677</v>
      </c>
      <c r="E61" s="122">
        <f t="shared" si="22"/>
        <v>1118.1640881985429</v>
      </c>
      <c r="F61" s="122">
        <f t="shared" si="22"/>
        <v>1122.2591918090973</v>
      </c>
      <c r="G61" s="122">
        <f t="shared" si="22"/>
        <v>1126.0409195921861</v>
      </c>
      <c r="H61" s="122">
        <f t="shared" si="22"/>
        <v>1129.4884214463557</v>
      </c>
      <c r="I61" s="122">
        <f t="shared" si="22"/>
        <v>1132.5797529519796</v>
      </c>
      <c r="J61" s="122">
        <f t="shared" si="22"/>
        <v>1135.2918201372179</v>
      </c>
      <c r="K61" s="122">
        <f t="shared" si="22"/>
        <v>912.36205900728146</v>
      </c>
      <c r="L61" s="122">
        <f t="shared" si="22"/>
        <v>722.15316912259789</v>
      </c>
      <c r="M61" s="122">
        <f t="shared" si="22"/>
        <v>520.13387350554092</v>
      </c>
      <c r="N61" s="122">
        <f t="shared" si="22"/>
        <v>305.69415077852256</v>
      </c>
      <c r="O61" s="122"/>
      <c r="P61" s="122"/>
      <c r="Q61" s="122"/>
      <c r="R61" s="122"/>
      <c r="S61" s="122"/>
      <c r="T61" s="122"/>
      <c r="U61" s="122"/>
      <c r="V61" s="122"/>
      <c r="W61" s="122"/>
      <c r="X61" s="122"/>
      <c r="Y61" s="122"/>
      <c r="Z61" s="122"/>
      <c r="AA61" s="122"/>
      <c r="AB61" s="122"/>
    </row>
    <row r="62" spans="1:28" s="117" customFormat="1" x14ac:dyDescent="0.3">
      <c r="A62" s="117" t="s">
        <v>126</v>
      </c>
      <c r="B62" s="117" t="s">
        <v>52</v>
      </c>
      <c r="D62" s="118">
        <f t="shared" ref="D62:N62" si="23">$C$18*D51</f>
        <v>30777.4148162893</v>
      </c>
      <c r="E62" s="118">
        <f t="shared" si="23"/>
        <v>54295.730917084024</v>
      </c>
      <c r="F62" s="118">
        <f t="shared" si="23"/>
        <v>56129.790960555292</v>
      </c>
      <c r="G62" s="118">
        <f t="shared" si="23"/>
        <v>58036.178023147702</v>
      </c>
      <c r="H62" s="118">
        <f t="shared" si="23"/>
        <v>60018.082184190142</v>
      </c>
      <c r="I62" s="118">
        <f t="shared" si="23"/>
        <v>62078.843649002185</v>
      </c>
      <c r="J62" s="118">
        <f t="shared" si="23"/>
        <v>64221.960048878085</v>
      </c>
      <c r="K62" s="118">
        <f t="shared" si="23"/>
        <v>66451.094101531155</v>
      </c>
      <c r="L62" s="118">
        <f t="shared" si="23"/>
        <v>68770.081649921471</v>
      </c>
      <c r="M62" s="118">
        <f t="shared" si="23"/>
        <v>71182.940098284205</v>
      </c>
      <c r="N62" s="118">
        <f t="shared" si="23"/>
        <v>73693.877265114148</v>
      </c>
      <c r="O62" s="118"/>
      <c r="P62" s="118"/>
      <c r="Q62" s="118"/>
      <c r="R62" s="118"/>
      <c r="S62" s="118"/>
      <c r="T62" s="118"/>
      <c r="U62" s="118"/>
      <c r="V62" s="118"/>
      <c r="W62" s="118"/>
      <c r="X62" s="118"/>
      <c r="Y62" s="118"/>
      <c r="Z62" s="118"/>
      <c r="AA62" s="118"/>
      <c r="AB62" s="118"/>
    </row>
    <row r="63" spans="1:28" s="117" customFormat="1" x14ac:dyDescent="0.3"/>
    <row r="64" spans="1:28" s="72" customFormat="1" x14ac:dyDescent="0.3"/>
    <row r="65" s="72" customFormat="1" x14ac:dyDescent="0.3"/>
    <row r="66" s="72" customFormat="1" x14ac:dyDescent="0.3"/>
    <row r="67" s="72" customFormat="1" x14ac:dyDescent="0.3"/>
    <row r="68" s="72" customFormat="1" x14ac:dyDescent="0.3"/>
    <row r="69" s="72" customFormat="1" x14ac:dyDescent="0.3"/>
    <row r="70" s="72" customFormat="1" x14ac:dyDescent="0.3"/>
    <row r="71" s="72" customFormat="1" x14ac:dyDescent="0.3"/>
    <row r="72" s="72" customFormat="1" x14ac:dyDescent="0.3"/>
    <row r="73" s="72" customFormat="1" x14ac:dyDescent="0.3"/>
    <row r="74" s="72" customFormat="1" x14ac:dyDescent="0.3"/>
    <row r="75" s="72" customFormat="1" x14ac:dyDescent="0.3"/>
    <row r="76" s="72" customFormat="1" x14ac:dyDescent="0.3"/>
    <row r="77" s="72" customFormat="1" x14ac:dyDescent="0.3"/>
    <row r="78" s="72" customFormat="1" x14ac:dyDescent="0.3"/>
    <row r="79" s="72" customFormat="1" x14ac:dyDescent="0.3"/>
    <row r="80" s="72" customFormat="1" x14ac:dyDescent="0.3"/>
    <row r="81" s="72" customFormat="1" x14ac:dyDescent="0.3"/>
    <row r="82" s="72" customFormat="1" x14ac:dyDescent="0.3"/>
    <row r="83" s="72" customFormat="1" x14ac:dyDescent="0.3"/>
    <row r="84" s="72" customFormat="1" x14ac:dyDescent="0.3"/>
    <row r="85" s="72" customFormat="1" x14ac:dyDescent="0.3"/>
    <row r="86" s="72" customFormat="1" x14ac:dyDescent="0.3"/>
    <row r="87" s="72" customFormat="1" x14ac:dyDescent="0.3"/>
    <row r="88" s="72" customFormat="1" x14ac:dyDescent="0.3"/>
    <row r="89" s="72" customFormat="1" x14ac:dyDescent="0.3"/>
    <row r="90" s="72" customFormat="1" x14ac:dyDescent="0.3"/>
    <row r="91" s="72" customFormat="1" x14ac:dyDescent="0.3"/>
    <row r="92" s="72" customFormat="1" x14ac:dyDescent="0.3"/>
    <row r="93" s="72" customFormat="1" x14ac:dyDescent="0.3"/>
    <row r="94" s="72" customFormat="1" x14ac:dyDescent="0.3"/>
    <row r="95" s="72" customFormat="1" x14ac:dyDescent="0.3"/>
    <row r="96" s="72" customFormat="1" x14ac:dyDescent="0.3"/>
    <row r="97" s="72" customFormat="1" x14ac:dyDescent="0.3"/>
    <row r="98" s="72" customFormat="1" x14ac:dyDescent="0.3"/>
    <row r="99" s="72" customFormat="1" x14ac:dyDescent="0.3"/>
    <row r="100" s="72" customFormat="1" x14ac:dyDescent="0.3"/>
    <row r="101" s="72" customFormat="1" x14ac:dyDescent="0.3"/>
    <row r="102" s="72" customFormat="1" x14ac:dyDescent="0.3"/>
    <row r="103" s="72" customFormat="1" x14ac:dyDescent="0.3"/>
    <row r="104" s="72" customFormat="1" x14ac:dyDescent="0.3"/>
    <row r="105" s="72" customFormat="1" x14ac:dyDescent="0.3"/>
    <row r="106" s="72" customFormat="1" x14ac:dyDescent="0.3"/>
    <row r="107" s="72" customFormat="1" x14ac:dyDescent="0.3"/>
    <row r="108" s="72" customFormat="1" x14ac:dyDescent="0.3"/>
    <row r="109" s="72" customFormat="1" x14ac:dyDescent="0.3"/>
    <row r="110" s="72" customFormat="1" x14ac:dyDescent="0.3"/>
    <row r="111" s="72" customFormat="1" x14ac:dyDescent="0.3"/>
    <row r="112" s="72" customFormat="1" x14ac:dyDescent="0.3"/>
    <row r="113" s="72" customFormat="1" x14ac:dyDescent="0.3"/>
    <row r="114" s="72" customFormat="1" x14ac:dyDescent="0.3"/>
    <row r="115" s="72" customFormat="1" x14ac:dyDescent="0.3"/>
    <row r="116" s="72" customFormat="1" x14ac:dyDescent="0.3"/>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FD5-FF52-453C-B39B-7BE9921046F7}">
  <sheetPr>
    <tabColor rgb="FFFF0000"/>
  </sheetPr>
  <dimension ref="A1:W148"/>
  <sheetViews>
    <sheetView zoomScale="80" zoomScaleNormal="80" workbookViewId="0">
      <pane ySplit="1" topLeftCell="A32" activePane="bottomLeft" state="frozen"/>
      <selection pane="bottomLeft" activeCell="I9" sqref="I9:I14"/>
    </sheetView>
  </sheetViews>
  <sheetFormatPr defaultColWidth="19" defaultRowHeight="13.2" x14ac:dyDescent="0.25"/>
  <cols>
    <col min="1" max="1" width="24.5546875" style="480" customWidth="1"/>
    <col min="2" max="2" width="19" style="480" customWidth="1"/>
    <col min="3" max="3" width="32.33203125" style="480" customWidth="1"/>
    <col min="4" max="6" width="19" style="480" customWidth="1"/>
    <col min="7" max="7" width="21.88671875" style="480" customWidth="1"/>
    <col min="8" max="17" width="19" style="480" customWidth="1"/>
    <col min="18" max="18" width="21.6640625" style="480" bestFit="1" customWidth="1"/>
    <col min="19" max="16384" width="19" style="480"/>
  </cols>
  <sheetData>
    <row r="1" spans="1:22" ht="13.2" customHeight="1" x14ac:dyDescent="0.25">
      <c r="D1" s="481" t="s">
        <v>630</v>
      </c>
      <c r="E1" s="587" t="s">
        <v>631</v>
      </c>
      <c r="F1" s="587"/>
      <c r="G1" s="587"/>
      <c r="H1" s="587"/>
      <c r="I1" s="588" t="s">
        <v>632</v>
      </c>
      <c r="J1" s="589"/>
      <c r="K1" s="590" t="s">
        <v>633</v>
      </c>
      <c r="L1" s="591"/>
      <c r="M1" s="591"/>
      <c r="N1" s="591"/>
      <c r="O1" s="591"/>
      <c r="P1" s="591"/>
      <c r="Q1" s="592"/>
      <c r="R1" s="482"/>
    </row>
    <row r="2" spans="1:22" ht="57.75" customHeight="1" x14ac:dyDescent="0.25">
      <c r="A2" s="483" t="s">
        <v>634</v>
      </c>
      <c r="B2" s="483" t="s">
        <v>635</v>
      </c>
      <c r="C2" s="483" t="s">
        <v>636</v>
      </c>
      <c r="D2" s="481" t="s">
        <v>244</v>
      </c>
      <c r="E2" s="484" t="s">
        <v>637</v>
      </c>
      <c r="F2" s="484" t="s">
        <v>638</v>
      </c>
      <c r="G2" s="484" t="s">
        <v>639</v>
      </c>
      <c r="H2" s="484" t="s">
        <v>640</v>
      </c>
      <c r="I2" s="485" t="s">
        <v>641</v>
      </c>
      <c r="J2" s="485" t="s">
        <v>642</v>
      </c>
      <c r="K2" s="486" t="s">
        <v>643</v>
      </c>
      <c r="L2" s="487" t="s">
        <v>644</v>
      </c>
      <c r="M2" s="488" t="s">
        <v>645</v>
      </c>
      <c r="N2" s="488" t="s">
        <v>220</v>
      </c>
      <c r="O2" s="489" t="s">
        <v>646</v>
      </c>
      <c r="P2" s="490" t="s">
        <v>647</v>
      </c>
      <c r="Q2" s="490" t="s">
        <v>648</v>
      </c>
      <c r="R2" s="491"/>
    </row>
    <row r="3" spans="1:22" ht="14.4" x14ac:dyDescent="0.3">
      <c r="A3" s="581" t="s">
        <v>221</v>
      </c>
      <c r="B3" s="584" t="s">
        <v>649</v>
      </c>
      <c r="C3" s="492" t="s">
        <v>650</v>
      </c>
      <c r="D3" s="493">
        <v>82.8</v>
      </c>
      <c r="E3" s="494">
        <v>20.710808797885711</v>
      </c>
      <c r="F3" s="495">
        <v>3494.932571428571</v>
      </c>
      <c r="G3" s="496">
        <f t="shared" ref="G3:G66" si="0">E3/$G$120</f>
        <v>2.2479983499278968</v>
      </c>
      <c r="H3" s="497">
        <f t="shared" ref="H3:H31" si="1">E3/D3</f>
        <v>0.25013054103726706</v>
      </c>
      <c r="I3" s="498">
        <v>2408.2335811495018</v>
      </c>
      <c r="J3" s="499" t="e">
        <f>I3*#REF!/1000</f>
        <v>#REF!</v>
      </c>
      <c r="K3" s="499" t="e">
        <f t="shared" ref="K3:K66" si="2">G3-J3</f>
        <v>#REF!</v>
      </c>
      <c r="L3" s="499" t="e">
        <f>K3*#REF!</f>
        <v>#REF!</v>
      </c>
      <c r="M3" s="492">
        <v>15</v>
      </c>
      <c r="N3" s="499" t="e">
        <f t="shared" ref="N3:N66" si="3">K3*M3</f>
        <v>#REF!</v>
      </c>
      <c r="O3" s="499" t="e">
        <f>N3*#REF!</f>
        <v>#REF!</v>
      </c>
      <c r="P3" s="500" t="e">
        <f t="shared" ref="P3:P7" si="4">N3*60.78</f>
        <v>#REF!</v>
      </c>
      <c r="Q3" s="501" t="e">
        <f>G3*M3*#REF!*60.78</f>
        <v>#REF!</v>
      </c>
      <c r="R3" s="502"/>
    </row>
    <row r="4" spans="1:22" ht="14.4" x14ac:dyDescent="0.3">
      <c r="A4" s="582"/>
      <c r="B4" s="585"/>
      <c r="C4" s="492" t="s">
        <v>651</v>
      </c>
      <c r="D4" s="493">
        <v>82.8</v>
      </c>
      <c r="E4" s="494">
        <v>28.282237204235166</v>
      </c>
      <c r="F4" s="495">
        <v>3991.6851800554014</v>
      </c>
      <c r="G4" s="496">
        <f t="shared" si="0"/>
        <v>3.0698184309383665</v>
      </c>
      <c r="H4" s="497">
        <f t="shared" si="1"/>
        <v>0.34157291309462762</v>
      </c>
      <c r="I4" s="498">
        <v>3288.6322330506009</v>
      </c>
      <c r="J4" s="499" t="e">
        <f>I4*#REF!/1000</f>
        <v>#REF!</v>
      </c>
      <c r="K4" s="499" t="e">
        <f t="shared" si="2"/>
        <v>#REF!</v>
      </c>
      <c r="L4" s="499" t="e">
        <f>K4*#REF!</f>
        <v>#REF!</v>
      </c>
      <c r="M4" s="492">
        <v>15</v>
      </c>
      <c r="N4" s="499" t="e">
        <f t="shared" si="3"/>
        <v>#REF!</v>
      </c>
      <c r="O4" s="499" t="e">
        <f>N4*#REF!</f>
        <v>#REF!</v>
      </c>
      <c r="P4" s="500" t="e">
        <f t="shared" si="4"/>
        <v>#REF!</v>
      </c>
      <c r="Q4" s="501" t="e">
        <f>G4*M4*#REF!*60.78</f>
        <v>#REF!</v>
      </c>
      <c r="S4" s="503"/>
      <c r="T4" s="503"/>
      <c r="U4" s="503"/>
      <c r="V4" s="503"/>
    </row>
    <row r="5" spans="1:22" ht="14.4" x14ac:dyDescent="0.3">
      <c r="A5" s="582"/>
      <c r="B5" s="585"/>
      <c r="C5" s="492" t="s">
        <v>652</v>
      </c>
      <c r="D5" s="493">
        <v>82.8</v>
      </c>
      <c r="E5" s="494">
        <v>35.123496813461543</v>
      </c>
      <c r="F5" s="495">
        <v>3754.1466666666665</v>
      </c>
      <c r="G5" s="496">
        <f t="shared" si="0"/>
        <v>3.8123843279563165</v>
      </c>
      <c r="H5" s="497">
        <f t="shared" si="1"/>
        <v>0.4241968214186177</v>
      </c>
      <c r="I5" s="498">
        <v>4084.1275364490166</v>
      </c>
      <c r="J5" s="499" t="e">
        <f>I5*#REF!/1000</f>
        <v>#REF!</v>
      </c>
      <c r="K5" s="499" t="e">
        <f t="shared" si="2"/>
        <v>#REF!</v>
      </c>
      <c r="L5" s="499" t="e">
        <f>K5*#REF!</f>
        <v>#REF!</v>
      </c>
      <c r="M5" s="492">
        <v>15</v>
      </c>
      <c r="N5" s="499" t="e">
        <f t="shared" si="3"/>
        <v>#REF!</v>
      </c>
      <c r="O5" s="499" t="e">
        <f>N5*#REF!</f>
        <v>#REF!</v>
      </c>
      <c r="P5" s="500" t="e">
        <f t="shared" si="4"/>
        <v>#REF!</v>
      </c>
      <c r="Q5" s="501" t="e">
        <f>G5*M5*#REF!*60.78</f>
        <v>#REF!</v>
      </c>
      <c r="S5" s="503"/>
      <c r="T5" s="503"/>
      <c r="U5" s="503"/>
      <c r="V5" s="503"/>
    </row>
    <row r="6" spans="1:22" ht="14.4" x14ac:dyDescent="0.3">
      <c r="A6" s="582"/>
      <c r="B6" s="585"/>
      <c r="C6" s="492" t="s">
        <v>653</v>
      </c>
      <c r="D6" s="493">
        <v>82.8</v>
      </c>
      <c r="E6" s="494">
        <v>49.55582941120322</v>
      </c>
      <c r="F6" s="495">
        <v>4342.6274193548397</v>
      </c>
      <c r="G6" s="496">
        <f t="shared" si="0"/>
        <v>5.3789025736679932</v>
      </c>
      <c r="H6" s="497">
        <f t="shared" si="1"/>
        <v>0.59850035520776834</v>
      </c>
      <c r="I6" s="498">
        <v>5762.3057454887476</v>
      </c>
      <c r="J6" s="499" t="e">
        <f>I6*#REF!/1000</f>
        <v>#REF!</v>
      </c>
      <c r="K6" s="499" t="e">
        <f t="shared" si="2"/>
        <v>#REF!</v>
      </c>
      <c r="L6" s="499" t="e">
        <f>K6*#REF!</f>
        <v>#REF!</v>
      </c>
      <c r="M6" s="492">
        <v>15</v>
      </c>
      <c r="N6" s="499" t="e">
        <f t="shared" si="3"/>
        <v>#REF!</v>
      </c>
      <c r="O6" s="499" t="e">
        <f>N6*#REF!</f>
        <v>#REF!</v>
      </c>
      <c r="P6" s="500" t="e">
        <f t="shared" si="4"/>
        <v>#REF!</v>
      </c>
      <c r="Q6" s="501" t="e">
        <f>G6*M6*#REF!*60.78</f>
        <v>#REF!</v>
      </c>
      <c r="S6" s="503"/>
      <c r="T6" s="503"/>
      <c r="U6" s="503"/>
      <c r="V6" s="503"/>
    </row>
    <row r="7" spans="1:22" ht="14.4" x14ac:dyDescent="0.3">
      <c r="A7" s="582"/>
      <c r="B7" s="585"/>
      <c r="C7" s="492" t="s">
        <v>654</v>
      </c>
      <c r="D7" s="493">
        <v>82.8</v>
      </c>
      <c r="E7" s="494">
        <v>65.030340962812474</v>
      </c>
      <c r="F7" s="495">
        <v>5036.2559999999994</v>
      </c>
      <c r="G7" s="496">
        <f t="shared" si="0"/>
        <v>7.0585412963000627</v>
      </c>
      <c r="H7" s="497">
        <f t="shared" si="1"/>
        <v>0.7853905913383149</v>
      </c>
      <c r="I7" s="498">
        <v>7561.6675538154041</v>
      </c>
      <c r="J7" s="499" t="e">
        <f>I7*#REF!/1000</f>
        <v>#REF!</v>
      </c>
      <c r="K7" s="499" t="e">
        <f t="shared" si="2"/>
        <v>#REF!</v>
      </c>
      <c r="L7" s="499" t="e">
        <f>K7*#REF!</f>
        <v>#REF!</v>
      </c>
      <c r="M7" s="492">
        <v>15</v>
      </c>
      <c r="N7" s="499" t="e">
        <f t="shared" si="3"/>
        <v>#REF!</v>
      </c>
      <c r="O7" s="499" t="e">
        <f>N7*#REF!</f>
        <v>#REF!</v>
      </c>
      <c r="P7" s="500" t="e">
        <f t="shared" si="4"/>
        <v>#REF!</v>
      </c>
      <c r="Q7" s="501" t="e">
        <f>G7*M7*#REF!*60.78</f>
        <v>#REF!</v>
      </c>
      <c r="S7" s="503"/>
      <c r="T7" s="503"/>
      <c r="U7" s="503"/>
      <c r="V7" s="503"/>
    </row>
    <row r="8" spans="1:22" ht="14.4" x14ac:dyDescent="0.3">
      <c r="A8" s="582"/>
      <c r="B8" s="585"/>
      <c r="C8" s="492" t="s">
        <v>655</v>
      </c>
      <c r="D8" s="493">
        <v>82.8</v>
      </c>
      <c r="E8" s="494">
        <v>45.961548274237771</v>
      </c>
      <c r="F8" s="495">
        <v>5481.4246666666677</v>
      </c>
      <c r="G8" s="496">
        <f t="shared" si="0"/>
        <v>4.9887711141037423</v>
      </c>
      <c r="H8" s="497">
        <f t="shared" si="1"/>
        <v>0.55509116273234027</v>
      </c>
      <c r="I8" s="498">
        <v>5344.3660783997411</v>
      </c>
      <c r="J8" s="499" t="e">
        <f>I8*#REF!/1000</f>
        <v>#REF!</v>
      </c>
      <c r="K8" s="499" t="e">
        <f t="shared" si="2"/>
        <v>#REF!</v>
      </c>
      <c r="L8" s="499" t="e">
        <f>K8*#REF!</f>
        <v>#REF!</v>
      </c>
      <c r="M8" s="492">
        <v>15</v>
      </c>
      <c r="N8" s="499" t="e">
        <f t="shared" si="3"/>
        <v>#REF!</v>
      </c>
      <c r="O8" s="499" t="e">
        <f>N8*#REF!</f>
        <v>#REF!</v>
      </c>
      <c r="P8" s="500" t="e">
        <f>O8*60.78</f>
        <v>#REF!</v>
      </c>
      <c r="Q8" s="501" t="e">
        <f>G8*M8*#REF!*60.78</f>
        <v>#REF!</v>
      </c>
      <c r="R8" s="504"/>
    </row>
    <row r="9" spans="1:22" ht="14.4" x14ac:dyDescent="0.3">
      <c r="A9" s="581" t="s">
        <v>222</v>
      </c>
      <c r="B9" s="584" t="s">
        <v>649</v>
      </c>
      <c r="C9" s="492" t="s">
        <v>650</v>
      </c>
      <c r="D9" s="493">
        <v>82.8</v>
      </c>
      <c r="E9" s="494">
        <v>15.936967369973054</v>
      </c>
      <c r="F9" s="495">
        <v>3494.932571428571</v>
      </c>
      <c r="G9" s="496">
        <f t="shared" si="0"/>
        <v>1.7298347302695165</v>
      </c>
      <c r="H9" s="497">
        <f t="shared" si="1"/>
        <v>0.19247545132817698</v>
      </c>
      <c r="I9" s="498">
        <v>1853.1357406945415</v>
      </c>
      <c r="J9" s="499" t="e">
        <f>I9*#REF!/1000</f>
        <v>#REF!</v>
      </c>
      <c r="K9" s="499" t="e">
        <f t="shared" si="2"/>
        <v>#REF!</v>
      </c>
      <c r="L9" s="499" t="e">
        <f>K9*#REF!</f>
        <v>#REF!</v>
      </c>
      <c r="M9" s="492">
        <v>15</v>
      </c>
      <c r="N9" s="499" t="e">
        <f t="shared" si="3"/>
        <v>#REF!</v>
      </c>
      <c r="O9" s="499" t="e">
        <f>N9*#REF!</f>
        <v>#REF!</v>
      </c>
      <c r="P9" s="500" t="e">
        <f t="shared" ref="P9:P74" si="5">O9*60.78</f>
        <v>#REF!</v>
      </c>
      <c r="Q9" s="501" t="e">
        <f>G9*M9*#REF!*60.78</f>
        <v>#REF!</v>
      </c>
      <c r="R9" s="505"/>
    </row>
    <row r="10" spans="1:22" ht="14.4" x14ac:dyDescent="0.3">
      <c r="A10" s="582"/>
      <c r="B10" s="585"/>
      <c r="C10" s="492" t="s">
        <v>651</v>
      </c>
      <c r="D10" s="493">
        <v>82.8</v>
      </c>
      <c r="E10" s="494">
        <v>21.763181528658961</v>
      </c>
      <c r="F10" s="495">
        <v>3991.6851800554014</v>
      </c>
      <c r="G10" s="496">
        <f t="shared" si="0"/>
        <v>2.3622252826070729</v>
      </c>
      <c r="H10" s="497">
        <f t="shared" si="1"/>
        <v>0.26284035662631594</v>
      </c>
      <c r="I10" s="498">
        <v>2530.6025033324377</v>
      </c>
      <c r="J10" s="499" t="e">
        <f>I10*#REF!/1000</f>
        <v>#REF!</v>
      </c>
      <c r="K10" s="499" t="e">
        <f t="shared" si="2"/>
        <v>#REF!</v>
      </c>
      <c r="L10" s="499" t="e">
        <f>K10*#REF!</f>
        <v>#REF!</v>
      </c>
      <c r="M10" s="492">
        <v>15</v>
      </c>
      <c r="N10" s="499" t="e">
        <f t="shared" si="3"/>
        <v>#REF!</v>
      </c>
      <c r="O10" s="499" t="e">
        <f>N10*#REF!</f>
        <v>#REF!</v>
      </c>
      <c r="P10" s="500" t="e">
        <f t="shared" si="5"/>
        <v>#REF!</v>
      </c>
      <c r="Q10" s="501" t="e">
        <f>G10*M10*#REF!*60.78</f>
        <v>#REF!</v>
      </c>
      <c r="R10" s="505"/>
    </row>
    <row r="11" spans="1:22" ht="14.4" x14ac:dyDescent="0.3">
      <c r="A11" s="582"/>
      <c r="B11" s="585"/>
      <c r="C11" s="492" t="s">
        <v>652</v>
      </c>
      <c r="D11" s="493">
        <v>82.8</v>
      </c>
      <c r="E11" s="494">
        <v>27.027530797958661</v>
      </c>
      <c r="F11" s="495">
        <v>3754.1466666666665</v>
      </c>
      <c r="G11" s="496">
        <f t="shared" si="0"/>
        <v>2.9336297403623863</v>
      </c>
      <c r="H11" s="497">
        <f t="shared" si="1"/>
        <v>0.32641945408162637</v>
      </c>
      <c r="I11" s="498">
        <v>3142.7361392975181</v>
      </c>
      <c r="J11" s="499" t="e">
        <f>I11*#REF!/1000</f>
        <v>#REF!</v>
      </c>
      <c r="K11" s="499" t="e">
        <f t="shared" si="2"/>
        <v>#REF!</v>
      </c>
      <c r="L11" s="499" t="e">
        <f>K11*#REF!</f>
        <v>#REF!</v>
      </c>
      <c r="M11" s="492">
        <v>15</v>
      </c>
      <c r="N11" s="499" t="e">
        <f t="shared" si="3"/>
        <v>#REF!</v>
      </c>
      <c r="O11" s="499" t="e">
        <f>N11*#REF!</f>
        <v>#REF!</v>
      </c>
      <c r="P11" s="500" t="e">
        <f t="shared" si="5"/>
        <v>#REF!</v>
      </c>
      <c r="Q11" s="501" t="e">
        <f>G11*M11*#REF!*60.78</f>
        <v>#REF!</v>
      </c>
      <c r="R11" s="505"/>
    </row>
    <row r="12" spans="1:22" ht="14.4" x14ac:dyDescent="0.3">
      <c r="A12" s="582"/>
      <c r="B12" s="585"/>
      <c r="C12" s="492" t="s">
        <v>653</v>
      </c>
      <c r="D12" s="493">
        <v>82.8</v>
      </c>
      <c r="E12" s="494">
        <v>38.133210731920876</v>
      </c>
      <c r="F12" s="495">
        <v>4342.6274193548397</v>
      </c>
      <c r="G12" s="496">
        <f t="shared" si="0"/>
        <v>4.139065530437521</v>
      </c>
      <c r="H12" s="497">
        <f t="shared" si="1"/>
        <v>0.46054602333237776</v>
      </c>
      <c r="I12" s="498">
        <v>4434.0942711535909</v>
      </c>
      <c r="J12" s="499" t="e">
        <f>I12*#REF!/1000</f>
        <v>#REF!</v>
      </c>
      <c r="K12" s="499" t="e">
        <f t="shared" si="2"/>
        <v>#REF!</v>
      </c>
      <c r="L12" s="499" t="e">
        <f>K12*#REF!</f>
        <v>#REF!</v>
      </c>
      <c r="M12" s="492">
        <v>15</v>
      </c>
      <c r="N12" s="499" t="e">
        <f t="shared" si="3"/>
        <v>#REF!</v>
      </c>
      <c r="O12" s="499" t="e">
        <f>N12*#REF!</f>
        <v>#REF!</v>
      </c>
      <c r="P12" s="500" t="e">
        <f t="shared" si="5"/>
        <v>#REF!</v>
      </c>
      <c r="Q12" s="501" t="e">
        <f>G12*M12*#REF!*60.78</f>
        <v>#REF!</v>
      </c>
      <c r="R12" s="505"/>
    </row>
    <row r="13" spans="1:22" ht="14.4" x14ac:dyDescent="0.3">
      <c r="A13" s="582"/>
      <c r="B13" s="585"/>
      <c r="C13" s="492" t="s">
        <v>654</v>
      </c>
      <c r="D13" s="493">
        <v>82.8</v>
      </c>
      <c r="E13" s="494">
        <v>50.040847370884201</v>
      </c>
      <c r="F13" s="495">
        <v>5036.2559999999994</v>
      </c>
      <c r="G13" s="496">
        <f t="shared" si="0"/>
        <v>5.4315475275028984</v>
      </c>
      <c r="H13" s="497">
        <f t="shared" si="1"/>
        <v>0.60435806003483339</v>
      </c>
      <c r="I13" s="498">
        <v>5818.7031826609536</v>
      </c>
      <c r="J13" s="499" t="e">
        <f>I13*#REF!/1000</f>
        <v>#REF!</v>
      </c>
      <c r="K13" s="499" t="e">
        <f t="shared" si="2"/>
        <v>#REF!</v>
      </c>
      <c r="L13" s="499" t="e">
        <f>K13*#REF!</f>
        <v>#REF!</v>
      </c>
      <c r="M13" s="492">
        <v>15</v>
      </c>
      <c r="N13" s="499" t="e">
        <f t="shared" si="3"/>
        <v>#REF!</v>
      </c>
      <c r="O13" s="499" t="e">
        <f>N13*#REF!</f>
        <v>#REF!</v>
      </c>
      <c r="P13" s="500" t="e">
        <f t="shared" si="5"/>
        <v>#REF!</v>
      </c>
      <c r="Q13" s="501" t="e">
        <f>G13*M13*#REF!*60.78</f>
        <v>#REF!</v>
      </c>
      <c r="R13" s="505"/>
    </row>
    <row r="14" spans="1:22" ht="14.4" x14ac:dyDescent="0.3">
      <c r="A14" s="583"/>
      <c r="B14" s="586"/>
      <c r="C14" s="492" t="s">
        <v>655</v>
      </c>
      <c r="D14" s="493">
        <v>82.8</v>
      </c>
      <c r="E14" s="494">
        <v>35.367411397025968</v>
      </c>
      <c r="F14" s="495">
        <v>5481.4246666666677</v>
      </c>
      <c r="G14" s="496">
        <f t="shared" si="0"/>
        <v>3.8388593723028297</v>
      </c>
      <c r="H14" s="497">
        <f t="shared" si="1"/>
        <v>0.42714264972253585</v>
      </c>
      <c r="I14" s="498">
        <v>4112.4896973286013</v>
      </c>
      <c r="J14" s="499" t="e">
        <f>I14*#REF!/1000</f>
        <v>#REF!</v>
      </c>
      <c r="K14" s="499" t="e">
        <f t="shared" si="2"/>
        <v>#REF!</v>
      </c>
      <c r="L14" s="499" t="e">
        <f>K14*#REF!</f>
        <v>#REF!</v>
      </c>
      <c r="M14" s="492">
        <v>15</v>
      </c>
      <c r="N14" s="499" t="e">
        <f t="shared" si="3"/>
        <v>#REF!</v>
      </c>
      <c r="O14" s="499" t="e">
        <f>N14*#REF!</f>
        <v>#REF!</v>
      </c>
      <c r="P14" s="500" t="e">
        <f t="shared" si="5"/>
        <v>#REF!</v>
      </c>
      <c r="Q14" s="501" t="e">
        <f>G14*M14*#REF!*60.78</f>
        <v>#REF!</v>
      </c>
      <c r="R14" s="505"/>
    </row>
    <row r="15" spans="1:22" ht="14.4" x14ac:dyDescent="0.3">
      <c r="A15" s="581" t="s">
        <v>223</v>
      </c>
      <c r="B15" s="584" t="s">
        <v>649</v>
      </c>
      <c r="C15" s="492" t="s">
        <v>650</v>
      </c>
      <c r="D15" s="493">
        <v>82.8</v>
      </c>
      <c r="E15" s="494">
        <v>16.775755126287429</v>
      </c>
      <c r="F15" s="495">
        <v>3494.932571428571</v>
      </c>
      <c r="G15" s="496">
        <f t="shared" si="0"/>
        <v>1.8208786634415968</v>
      </c>
      <c r="H15" s="497">
        <f t="shared" si="1"/>
        <v>0.20260573824018635</v>
      </c>
      <c r="I15" s="498">
        <v>1950.6692007310967</v>
      </c>
      <c r="J15" s="499" t="e">
        <f>I15*#REF!/1000</f>
        <v>#REF!</v>
      </c>
      <c r="K15" s="499" t="e">
        <f t="shared" si="2"/>
        <v>#REF!</v>
      </c>
      <c r="L15" s="499" t="e">
        <f>K15*#REF!</f>
        <v>#REF!</v>
      </c>
      <c r="M15" s="492">
        <v>15</v>
      </c>
      <c r="N15" s="499" t="e">
        <f t="shared" si="3"/>
        <v>#REF!</v>
      </c>
      <c r="O15" s="499" t="e">
        <f>N15*#REF!</f>
        <v>#REF!</v>
      </c>
      <c r="P15" s="500" t="e">
        <f t="shared" si="5"/>
        <v>#REF!</v>
      </c>
      <c r="Q15" s="501" t="e">
        <f>G15*M15*#REF!*60.78</f>
        <v>#REF!</v>
      </c>
      <c r="R15" s="505"/>
    </row>
    <row r="16" spans="1:22" ht="14.4" x14ac:dyDescent="0.3">
      <c r="A16" s="582"/>
      <c r="B16" s="585"/>
      <c r="C16" s="492" t="s">
        <v>651</v>
      </c>
      <c r="D16" s="493">
        <v>82.8</v>
      </c>
      <c r="E16" s="494">
        <v>22.908612135430484</v>
      </c>
      <c r="F16" s="495">
        <v>3991.6851800554014</v>
      </c>
      <c r="G16" s="496">
        <f t="shared" si="0"/>
        <v>2.4865529290600765</v>
      </c>
      <c r="H16" s="497">
        <f t="shared" si="1"/>
        <v>0.27667405960664837</v>
      </c>
      <c r="I16" s="498">
        <v>2663.7921087709869</v>
      </c>
      <c r="J16" s="499" t="e">
        <f>I16*#REF!/1000</f>
        <v>#REF!</v>
      </c>
      <c r="K16" s="499" t="e">
        <f t="shared" si="2"/>
        <v>#REF!</v>
      </c>
      <c r="L16" s="499" t="e">
        <f>K16*#REF!</f>
        <v>#REF!</v>
      </c>
      <c r="M16" s="492">
        <v>15</v>
      </c>
      <c r="N16" s="499" t="e">
        <f t="shared" si="3"/>
        <v>#REF!</v>
      </c>
      <c r="O16" s="499" t="e">
        <f>N16*#REF!</f>
        <v>#REF!</v>
      </c>
      <c r="P16" s="500" t="e">
        <f t="shared" si="5"/>
        <v>#REF!</v>
      </c>
      <c r="Q16" s="501" t="e">
        <f>G16*M16*#REF!*60.78</f>
        <v>#REF!</v>
      </c>
      <c r="S16" s="503"/>
      <c r="T16" s="503"/>
      <c r="U16" s="503"/>
      <c r="V16" s="503"/>
    </row>
    <row r="17" spans="1:23" ht="14.4" x14ac:dyDescent="0.3">
      <c r="A17" s="582"/>
      <c r="B17" s="585"/>
      <c r="C17" s="492" t="s">
        <v>652</v>
      </c>
      <c r="D17" s="493">
        <v>82.8</v>
      </c>
      <c r="E17" s="494">
        <v>28.450032418903852</v>
      </c>
      <c r="F17" s="495">
        <v>3754.1466666666665</v>
      </c>
      <c r="G17" s="496">
        <f t="shared" si="0"/>
        <v>3.0880313056446167</v>
      </c>
      <c r="H17" s="497">
        <f t="shared" si="1"/>
        <v>0.34359942534908033</v>
      </c>
      <c r="I17" s="498">
        <v>3308.1433045237036</v>
      </c>
      <c r="J17" s="499" t="e">
        <f>I17*#REF!/1000</f>
        <v>#REF!</v>
      </c>
      <c r="K17" s="499" t="e">
        <f t="shared" si="2"/>
        <v>#REF!</v>
      </c>
      <c r="L17" s="499" t="e">
        <f>K17*#REF!</f>
        <v>#REF!</v>
      </c>
      <c r="M17" s="492">
        <v>15</v>
      </c>
      <c r="N17" s="499" t="e">
        <f t="shared" si="3"/>
        <v>#REF!</v>
      </c>
      <c r="O17" s="499" t="e">
        <f>N17*#REF!</f>
        <v>#REF!</v>
      </c>
      <c r="P17" s="500" t="e">
        <f t="shared" si="5"/>
        <v>#REF!</v>
      </c>
      <c r="Q17" s="501" t="e">
        <f>G17*M17*#REF!*60.78</f>
        <v>#REF!</v>
      </c>
      <c r="S17" s="503"/>
      <c r="T17" s="503"/>
      <c r="U17" s="503"/>
      <c r="V17" s="503"/>
    </row>
    <row r="18" spans="1:23" ht="14.4" x14ac:dyDescent="0.3">
      <c r="A18" s="582"/>
      <c r="B18" s="585"/>
      <c r="C18" s="492" t="s">
        <v>653</v>
      </c>
      <c r="D18" s="493">
        <v>82.8</v>
      </c>
      <c r="E18" s="494">
        <v>40.140221823074612</v>
      </c>
      <c r="F18" s="495">
        <v>4342.6274193548397</v>
      </c>
      <c r="G18" s="496">
        <f t="shared" si="0"/>
        <v>4.3569110846710748</v>
      </c>
      <c r="H18" s="497">
        <f t="shared" si="1"/>
        <v>0.48478528771829243</v>
      </c>
      <c r="I18" s="498">
        <v>4667.4676538458862</v>
      </c>
      <c r="J18" s="499" t="e">
        <f>I18*#REF!/1000</f>
        <v>#REF!</v>
      </c>
      <c r="K18" s="499" t="e">
        <f t="shared" si="2"/>
        <v>#REF!</v>
      </c>
      <c r="L18" s="499" t="e">
        <f>K18*#REF!</f>
        <v>#REF!</v>
      </c>
      <c r="M18" s="492">
        <v>15</v>
      </c>
      <c r="N18" s="499" t="e">
        <f t="shared" si="3"/>
        <v>#REF!</v>
      </c>
      <c r="O18" s="499" t="e">
        <f>N18*#REF!</f>
        <v>#REF!</v>
      </c>
      <c r="P18" s="500" t="e">
        <f t="shared" si="5"/>
        <v>#REF!</v>
      </c>
      <c r="Q18" s="501" t="e">
        <f>G18*M18*#REF!*60.78</f>
        <v>#REF!</v>
      </c>
      <c r="S18" s="503"/>
      <c r="T18" s="503"/>
      <c r="U18" s="503"/>
      <c r="V18" s="503"/>
    </row>
    <row r="19" spans="1:23" ht="14.4" x14ac:dyDescent="0.3">
      <c r="A19" s="582"/>
      <c r="B19" s="585"/>
      <c r="C19" s="492" t="s">
        <v>654</v>
      </c>
      <c r="D19" s="493">
        <v>82.8</v>
      </c>
      <c r="E19" s="494">
        <v>52.674576179878109</v>
      </c>
      <c r="F19" s="495">
        <v>5036.2559999999994</v>
      </c>
      <c r="G19" s="496">
        <f t="shared" si="0"/>
        <v>5.7174184500030512</v>
      </c>
      <c r="H19" s="497">
        <f t="shared" si="1"/>
        <v>0.63616637898403516</v>
      </c>
      <c r="I19" s="498">
        <v>6124.9507185904777</v>
      </c>
      <c r="J19" s="499" t="e">
        <f>I19*#REF!/1000</f>
        <v>#REF!</v>
      </c>
      <c r="K19" s="499" t="e">
        <f t="shared" si="2"/>
        <v>#REF!</v>
      </c>
      <c r="L19" s="499" t="e">
        <f>K19*#REF!</f>
        <v>#REF!</v>
      </c>
      <c r="M19" s="492">
        <v>15</v>
      </c>
      <c r="N19" s="499" t="e">
        <f t="shared" si="3"/>
        <v>#REF!</v>
      </c>
      <c r="O19" s="499" t="e">
        <f>N19*#REF!</f>
        <v>#REF!</v>
      </c>
      <c r="P19" s="500" t="e">
        <f t="shared" si="5"/>
        <v>#REF!</v>
      </c>
      <c r="Q19" s="501" t="e">
        <f>G19*M19*#REF!*60.78</f>
        <v>#REF!</v>
      </c>
      <c r="S19" s="503"/>
      <c r="T19" s="503"/>
      <c r="U19" s="503"/>
      <c r="V19" s="503"/>
    </row>
    <row r="20" spans="1:23" ht="14.4" x14ac:dyDescent="0.3">
      <c r="A20" s="582"/>
      <c r="B20" s="585"/>
      <c r="C20" s="492" t="s">
        <v>655</v>
      </c>
      <c r="D20" s="493">
        <v>82.8</v>
      </c>
      <c r="E20" s="494">
        <v>37.228854102132594</v>
      </c>
      <c r="F20" s="495">
        <v>5481.4246666666677</v>
      </c>
      <c r="G20" s="496">
        <f t="shared" si="0"/>
        <v>4.0409046024240309</v>
      </c>
      <c r="H20" s="497">
        <f t="shared" si="1"/>
        <v>0.44962384181319559</v>
      </c>
      <c r="I20" s="498">
        <v>4328.9365235037903</v>
      </c>
      <c r="J20" s="499" t="e">
        <f>I20*#REF!/1000</f>
        <v>#REF!</v>
      </c>
      <c r="K20" s="499" t="e">
        <f t="shared" si="2"/>
        <v>#REF!</v>
      </c>
      <c r="L20" s="499" t="e">
        <f>K20*#REF!</f>
        <v>#REF!</v>
      </c>
      <c r="M20" s="492">
        <v>15</v>
      </c>
      <c r="N20" s="499" t="e">
        <f t="shared" si="3"/>
        <v>#REF!</v>
      </c>
      <c r="O20" s="499" t="e">
        <f>N20*#REF!</f>
        <v>#REF!</v>
      </c>
      <c r="P20" s="500" t="e">
        <f t="shared" si="5"/>
        <v>#REF!</v>
      </c>
      <c r="Q20" s="501" t="e">
        <f>G20*M20*#REF!*60.78</f>
        <v>#REF!</v>
      </c>
      <c r="R20" s="505"/>
    </row>
    <row r="21" spans="1:23" ht="14.4" x14ac:dyDescent="0.3">
      <c r="A21" s="581" t="s">
        <v>224</v>
      </c>
      <c r="B21" s="584" t="s">
        <v>649</v>
      </c>
      <c r="C21" s="492" t="s">
        <v>650</v>
      </c>
      <c r="D21" s="493">
        <v>82.8</v>
      </c>
      <c r="E21" s="494">
        <v>19.675268357991424</v>
      </c>
      <c r="F21" s="495">
        <v>3494.932571428571</v>
      </c>
      <c r="G21" s="496">
        <f t="shared" si="0"/>
        <v>2.1355984324315016</v>
      </c>
      <c r="H21" s="497">
        <f t="shared" si="1"/>
        <v>0.23762401398540367</v>
      </c>
      <c r="I21" s="498">
        <v>2287.8219020920264</v>
      </c>
      <c r="J21" s="499" t="e">
        <f>I21*#REF!/1000</f>
        <v>#REF!</v>
      </c>
      <c r="K21" s="499" t="e">
        <f t="shared" si="2"/>
        <v>#REF!</v>
      </c>
      <c r="L21" s="499" t="e">
        <f>K21*#REF!</f>
        <v>#REF!</v>
      </c>
      <c r="M21" s="492">
        <v>15</v>
      </c>
      <c r="N21" s="499" t="e">
        <f t="shared" si="3"/>
        <v>#REF!</v>
      </c>
      <c r="O21" s="499" t="e">
        <f>N21*#REF!</f>
        <v>#REF!</v>
      </c>
      <c r="P21" s="500" t="e">
        <f t="shared" si="5"/>
        <v>#REF!</v>
      </c>
      <c r="Q21" s="501" t="e">
        <f>G21*M21*#REF!*60.78</f>
        <v>#REF!</v>
      </c>
      <c r="R21" s="505"/>
    </row>
    <row r="22" spans="1:23" ht="14.4" x14ac:dyDescent="0.3">
      <c r="A22" s="582"/>
      <c r="B22" s="585"/>
      <c r="C22" s="492" t="s">
        <v>651</v>
      </c>
      <c r="D22" s="493">
        <v>82.8</v>
      </c>
      <c r="E22" s="494">
        <v>26.868125344023408</v>
      </c>
      <c r="F22" s="495">
        <v>3991.6851800554014</v>
      </c>
      <c r="G22" s="496">
        <f t="shared" si="0"/>
        <v>2.916327509391448</v>
      </c>
      <c r="H22" s="497">
        <f t="shared" si="1"/>
        <v>0.32449426743989623</v>
      </c>
      <c r="I22" s="498">
        <v>3124.2006213980708</v>
      </c>
      <c r="J22" s="499" t="e">
        <f>I22*#REF!/1000</f>
        <v>#REF!</v>
      </c>
      <c r="K22" s="499" t="e">
        <f t="shared" si="2"/>
        <v>#REF!</v>
      </c>
      <c r="L22" s="499" t="e">
        <f>K22*#REF!</f>
        <v>#REF!</v>
      </c>
      <c r="M22" s="492">
        <v>15</v>
      </c>
      <c r="N22" s="499" t="e">
        <f t="shared" si="3"/>
        <v>#REF!</v>
      </c>
      <c r="O22" s="499" t="e">
        <f>N22*#REF!</f>
        <v>#REF!</v>
      </c>
      <c r="P22" s="500" t="e">
        <f t="shared" si="5"/>
        <v>#REF!</v>
      </c>
      <c r="Q22" s="501" t="e">
        <f>G22*M22*#REF!*60.78</f>
        <v>#REF!</v>
      </c>
      <c r="R22" s="505"/>
    </row>
    <row r="23" spans="1:23" ht="14.4" x14ac:dyDescent="0.3">
      <c r="A23" s="582"/>
      <c r="B23" s="585"/>
      <c r="C23" s="492" t="s">
        <v>652</v>
      </c>
      <c r="D23" s="493">
        <v>82.8</v>
      </c>
      <c r="E23" s="494">
        <v>33.367321972788467</v>
      </c>
      <c r="F23" s="495">
        <v>3754.1466666666665</v>
      </c>
      <c r="G23" s="496">
        <f t="shared" si="0"/>
        <v>3.621765111558501</v>
      </c>
      <c r="H23" s="497">
        <f t="shared" si="1"/>
        <v>0.40298698034768682</v>
      </c>
      <c r="I23" s="498">
        <v>3879.9211596265654</v>
      </c>
      <c r="J23" s="499" t="e">
        <f>I23*#REF!/1000</f>
        <v>#REF!</v>
      </c>
      <c r="K23" s="499" t="e">
        <f t="shared" si="2"/>
        <v>#REF!</v>
      </c>
      <c r="L23" s="499" t="e">
        <f>K23*#REF!</f>
        <v>#REF!</v>
      </c>
      <c r="M23" s="492">
        <v>15</v>
      </c>
      <c r="N23" s="499" t="e">
        <f t="shared" si="3"/>
        <v>#REF!</v>
      </c>
      <c r="O23" s="499" t="e">
        <f>N23*#REF!</f>
        <v>#REF!</v>
      </c>
      <c r="P23" s="500" t="e">
        <f t="shared" si="5"/>
        <v>#REF!</v>
      </c>
      <c r="Q23" s="501" t="e">
        <f>G23*M23*#REF!*60.78</f>
        <v>#REF!</v>
      </c>
      <c r="R23" s="505"/>
    </row>
    <row r="24" spans="1:23" ht="14.4" x14ac:dyDescent="0.3">
      <c r="A24" s="582"/>
      <c r="B24" s="585"/>
      <c r="C24" s="492" t="s">
        <v>653</v>
      </c>
      <c r="D24" s="493">
        <v>82.8</v>
      </c>
      <c r="E24" s="494">
        <v>47.078037940643057</v>
      </c>
      <c r="F24" s="495">
        <v>4342.6274193548397</v>
      </c>
      <c r="G24" s="496">
        <f t="shared" si="0"/>
        <v>5.1099574449845937</v>
      </c>
      <c r="H24" s="497">
        <f t="shared" si="1"/>
        <v>0.56857533744737998</v>
      </c>
      <c r="I24" s="498">
        <v>5474.1904582143097</v>
      </c>
      <c r="J24" s="499" t="e">
        <f>I24*#REF!/1000</f>
        <v>#REF!</v>
      </c>
      <c r="K24" s="499" t="e">
        <f t="shared" si="2"/>
        <v>#REF!</v>
      </c>
      <c r="L24" s="499" t="e">
        <f>K24*#REF!</f>
        <v>#REF!</v>
      </c>
      <c r="M24" s="492">
        <v>15</v>
      </c>
      <c r="N24" s="499" t="e">
        <f t="shared" si="3"/>
        <v>#REF!</v>
      </c>
      <c r="O24" s="499" t="e">
        <f>N24*#REF!</f>
        <v>#REF!</v>
      </c>
      <c r="P24" s="500" t="e">
        <f t="shared" si="5"/>
        <v>#REF!</v>
      </c>
      <c r="Q24" s="501" t="e">
        <f>G24*M24*#REF!*60.78</f>
        <v>#REF!</v>
      </c>
      <c r="R24" s="505"/>
    </row>
    <row r="25" spans="1:23" ht="14.4" x14ac:dyDescent="0.3">
      <c r="A25" s="582"/>
      <c r="B25" s="585"/>
      <c r="C25" s="492" t="s">
        <v>654</v>
      </c>
      <c r="D25" s="493">
        <v>82.8</v>
      </c>
      <c r="E25" s="494">
        <v>61.778823914671847</v>
      </c>
      <c r="F25" s="495">
        <v>5036.2559999999994</v>
      </c>
      <c r="G25" s="496">
        <f t="shared" si="0"/>
        <v>6.7056142314850593</v>
      </c>
      <c r="H25" s="497">
        <f t="shared" si="1"/>
        <v>0.74612106177139914</v>
      </c>
      <c r="I25" s="498">
        <v>7183.5841761246338</v>
      </c>
      <c r="J25" s="499" t="e">
        <f>I25*#REF!/1000</f>
        <v>#REF!</v>
      </c>
      <c r="K25" s="499" t="e">
        <f t="shared" si="2"/>
        <v>#REF!</v>
      </c>
      <c r="L25" s="499" t="e">
        <f>K25*#REF!</f>
        <v>#REF!</v>
      </c>
      <c r="M25" s="492">
        <v>15</v>
      </c>
      <c r="N25" s="499" t="e">
        <f t="shared" si="3"/>
        <v>#REF!</v>
      </c>
      <c r="O25" s="499" t="e">
        <f>N25*#REF!</f>
        <v>#REF!</v>
      </c>
      <c r="P25" s="500" t="e">
        <f t="shared" si="5"/>
        <v>#REF!</v>
      </c>
      <c r="Q25" s="501" t="e">
        <f>G25*M25*#REF!*60.78</f>
        <v>#REF!</v>
      </c>
      <c r="R25" s="505"/>
    </row>
    <row r="26" spans="1:23" ht="14.4" x14ac:dyDescent="0.3">
      <c r="A26" s="583"/>
      <c r="B26" s="586"/>
      <c r="C26" s="492" t="s">
        <v>655</v>
      </c>
      <c r="D26" s="493">
        <v>82.8</v>
      </c>
      <c r="E26" s="494">
        <v>43.663470860525884</v>
      </c>
      <c r="F26" s="495">
        <v>5481.4246666666677</v>
      </c>
      <c r="G26" s="496">
        <f t="shared" si="0"/>
        <v>4.7393325583985551</v>
      </c>
      <c r="H26" s="497">
        <f t="shared" si="1"/>
        <v>0.52733660459572329</v>
      </c>
      <c r="I26" s="498">
        <v>5077.1477744797539</v>
      </c>
      <c r="J26" s="499" t="e">
        <f>I26*#REF!/1000</f>
        <v>#REF!</v>
      </c>
      <c r="K26" s="499" t="e">
        <f t="shared" si="2"/>
        <v>#REF!</v>
      </c>
      <c r="L26" s="499" t="e">
        <f>K26*#REF!</f>
        <v>#REF!</v>
      </c>
      <c r="M26" s="492">
        <v>15</v>
      </c>
      <c r="N26" s="499" t="e">
        <f t="shared" si="3"/>
        <v>#REF!</v>
      </c>
      <c r="O26" s="499" t="e">
        <f>N26*#REF!</f>
        <v>#REF!</v>
      </c>
      <c r="P26" s="500" t="e">
        <f t="shared" si="5"/>
        <v>#REF!</v>
      </c>
      <c r="Q26" s="501" t="e">
        <f>G26*M26*#REF!*60.78</f>
        <v>#REF!</v>
      </c>
      <c r="R26" s="505"/>
    </row>
    <row r="27" spans="1:23" ht="14.4" x14ac:dyDescent="0.3">
      <c r="A27" s="582" t="s">
        <v>225</v>
      </c>
      <c r="B27" s="585" t="s">
        <v>649</v>
      </c>
      <c r="C27" s="492" t="s">
        <v>656</v>
      </c>
      <c r="D27" s="493">
        <v>82.8</v>
      </c>
      <c r="E27" s="494">
        <v>11.78674929950976</v>
      </c>
      <c r="F27" s="495">
        <v>2759.8</v>
      </c>
      <c r="G27" s="496">
        <f t="shared" si="0"/>
        <v>1.2793606099543862</v>
      </c>
      <c r="H27" s="497">
        <f t="shared" si="1"/>
        <v>0.14235204468006957</v>
      </c>
      <c r="I27" s="498">
        <v>1370.552244129042</v>
      </c>
      <c r="J27" s="499" t="e">
        <f>I27*#REF!/1000</f>
        <v>#REF!</v>
      </c>
      <c r="K27" s="499" t="e">
        <f t="shared" si="2"/>
        <v>#REF!</v>
      </c>
      <c r="L27" s="499" t="e">
        <f>K27*#REF!</f>
        <v>#REF!</v>
      </c>
      <c r="M27" s="492">
        <v>15</v>
      </c>
      <c r="N27" s="499" t="e">
        <f t="shared" si="3"/>
        <v>#REF!</v>
      </c>
      <c r="O27" s="499" t="e">
        <f>N27*#REF!</f>
        <v>#REF!</v>
      </c>
      <c r="P27" s="500" t="e">
        <f t="shared" si="5"/>
        <v>#REF!</v>
      </c>
      <c r="Q27" s="506" t="e">
        <f>G27*M27*#REF!*60.78</f>
        <v>#REF!</v>
      </c>
      <c r="R27" s="505"/>
    </row>
    <row r="28" spans="1:23" ht="14.4" x14ac:dyDescent="0.3">
      <c r="A28" s="582"/>
      <c r="B28" s="585"/>
      <c r="C28" s="492" t="s">
        <v>657</v>
      </c>
      <c r="D28" s="493">
        <v>82.8</v>
      </c>
      <c r="E28" s="494">
        <v>14.02565136094344</v>
      </c>
      <c r="F28" s="495">
        <v>2763.7148469387757</v>
      </c>
      <c r="G28" s="496">
        <f t="shared" si="0"/>
        <v>1.52237613816818</v>
      </c>
      <c r="H28" s="497">
        <f t="shared" si="1"/>
        <v>0.16939192464907538</v>
      </c>
      <c r="I28" s="498">
        <v>1630.8896931329584</v>
      </c>
      <c r="J28" s="499" t="e">
        <f>I28*#REF!/1000</f>
        <v>#REF!</v>
      </c>
      <c r="K28" s="499" t="e">
        <f t="shared" si="2"/>
        <v>#REF!</v>
      </c>
      <c r="L28" s="499" t="e">
        <f>K28*#REF!</f>
        <v>#REF!</v>
      </c>
      <c r="M28" s="492">
        <v>15</v>
      </c>
      <c r="N28" s="499" t="e">
        <f t="shared" si="3"/>
        <v>#REF!</v>
      </c>
      <c r="O28" s="499" t="e">
        <f>N28*#REF!</f>
        <v>#REF!</v>
      </c>
      <c r="P28" s="500" t="e">
        <f t="shared" si="5"/>
        <v>#REF!</v>
      </c>
      <c r="Q28" s="506" t="e">
        <f>G28*M28*#REF!*60.78</f>
        <v>#REF!</v>
      </c>
      <c r="R28" s="505"/>
    </row>
    <row r="29" spans="1:23" ht="14.4" x14ac:dyDescent="0.3">
      <c r="A29" s="582"/>
      <c r="B29" s="585"/>
      <c r="C29" s="492" t="s">
        <v>658</v>
      </c>
      <c r="D29" s="493">
        <v>82.8</v>
      </c>
      <c r="E29" s="494">
        <v>15.704198164785319</v>
      </c>
      <c r="F29" s="495">
        <v>2761.0533464566915</v>
      </c>
      <c r="G29" s="496">
        <f t="shared" si="0"/>
        <v>1.7045694306724541</v>
      </c>
      <c r="H29" s="497">
        <f t="shared" si="1"/>
        <v>0.18966422904330096</v>
      </c>
      <c r="I29" s="498">
        <v>1826.0695540448048</v>
      </c>
      <c r="J29" s="499" t="e">
        <f>I29*#REF!/1000</f>
        <v>#REF!</v>
      </c>
      <c r="K29" s="499" t="e">
        <f t="shared" si="2"/>
        <v>#REF!</v>
      </c>
      <c r="L29" s="499" t="e">
        <f>K29*#REF!</f>
        <v>#REF!</v>
      </c>
      <c r="M29" s="492">
        <v>15</v>
      </c>
      <c r="N29" s="499" t="e">
        <f t="shared" si="3"/>
        <v>#REF!</v>
      </c>
      <c r="O29" s="499" t="e">
        <f>N29*#REF!</f>
        <v>#REF!</v>
      </c>
      <c r="P29" s="500" t="e">
        <f t="shared" si="5"/>
        <v>#REF!</v>
      </c>
      <c r="Q29" s="506" t="e">
        <f>G29*M29*#REF!*60.78</f>
        <v>#REF!</v>
      </c>
      <c r="R29" s="505"/>
    </row>
    <row r="30" spans="1:23" ht="14.4" x14ac:dyDescent="0.3">
      <c r="A30" s="582"/>
      <c r="B30" s="585"/>
      <c r="C30" s="492" t="s">
        <v>659</v>
      </c>
      <c r="D30" s="493">
        <v>82.8</v>
      </c>
      <c r="E30" s="494">
        <v>22.383672633038064</v>
      </c>
      <c r="F30" s="495">
        <v>2894.4784401114207</v>
      </c>
      <c r="G30" s="496">
        <f t="shared" si="0"/>
        <v>2.4295748000692572</v>
      </c>
      <c r="H30" s="497">
        <f t="shared" si="1"/>
        <v>0.27033421054393797</v>
      </c>
      <c r="I30" s="498">
        <v>2602.7526317486117</v>
      </c>
      <c r="J30" s="499" t="e">
        <f>I30*#REF!/1000</f>
        <v>#REF!</v>
      </c>
      <c r="K30" s="499" t="e">
        <f t="shared" si="2"/>
        <v>#REF!</v>
      </c>
      <c r="L30" s="499" t="e">
        <f>K30*#REF!</f>
        <v>#REF!</v>
      </c>
      <c r="M30" s="492">
        <v>15</v>
      </c>
      <c r="N30" s="499" t="e">
        <f t="shared" si="3"/>
        <v>#REF!</v>
      </c>
      <c r="O30" s="499" t="e">
        <f>N30*#REF!</f>
        <v>#REF!</v>
      </c>
      <c r="P30" s="500" t="e">
        <f t="shared" si="5"/>
        <v>#REF!</v>
      </c>
      <c r="Q30" s="506" t="e">
        <f>G30*M30*#REF!*60.78</f>
        <v>#REF!</v>
      </c>
      <c r="R30" s="505"/>
      <c r="T30" s="507"/>
      <c r="U30" s="507"/>
      <c r="V30" s="507"/>
      <c r="W30" s="507"/>
    </row>
    <row r="31" spans="1:23" ht="14.4" x14ac:dyDescent="0.3">
      <c r="A31" s="582"/>
      <c r="B31" s="585"/>
      <c r="C31" s="492" t="s">
        <v>650</v>
      </c>
      <c r="D31" s="493">
        <v>82.8</v>
      </c>
      <c r="E31" s="494">
        <v>22.832077841585114</v>
      </c>
      <c r="F31" s="495">
        <v>3132.3553684210528</v>
      </c>
      <c r="G31" s="496">
        <f t="shared" si="0"/>
        <v>2.4782457225209069</v>
      </c>
      <c r="H31" s="497">
        <f t="shared" si="1"/>
        <v>0.27574973238629369</v>
      </c>
      <c r="I31" s="498">
        <v>2654.8927722773392</v>
      </c>
      <c r="J31" s="499" t="e">
        <f>I31*#REF!/1000</f>
        <v>#REF!</v>
      </c>
      <c r="K31" s="499" t="e">
        <f t="shared" si="2"/>
        <v>#REF!</v>
      </c>
      <c r="L31" s="499" t="e">
        <f>K31*#REF!</f>
        <v>#REF!</v>
      </c>
      <c r="M31" s="492">
        <v>15</v>
      </c>
      <c r="N31" s="499" t="e">
        <f t="shared" si="3"/>
        <v>#REF!</v>
      </c>
      <c r="O31" s="499" t="e">
        <f>N31*#REF!</f>
        <v>#REF!</v>
      </c>
      <c r="P31" s="500" t="e">
        <f t="shared" si="5"/>
        <v>#REF!</v>
      </c>
      <c r="Q31" s="506" t="e">
        <f>G31*M31*#REF!*60.78</f>
        <v>#REF!</v>
      </c>
      <c r="R31" s="505"/>
      <c r="T31" s="503"/>
      <c r="U31" s="503"/>
      <c r="V31" s="503"/>
      <c r="W31" s="503"/>
    </row>
    <row r="32" spans="1:23" ht="14.4" x14ac:dyDescent="0.3">
      <c r="A32" s="582"/>
      <c r="B32" s="585"/>
      <c r="C32" s="492" t="s">
        <v>651</v>
      </c>
      <c r="D32" s="493">
        <v>82.8</v>
      </c>
      <c r="E32" s="494">
        <v>28.473280505259833</v>
      </c>
      <c r="F32" s="495">
        <v>3426.4881818181802</v>
      </c>
      <c r="G32" s="496">
        <f t="shared" si="0"/>
        <v>3.090554705878632</v>
      </c>
      <c r="H32" s="497">
        <f>E32/D32</f>
        <v>0.34388019933888686</v>
      </c>
      <c r="I32" s="498">
        <v>3310.8465703790507</v>
      </c>
      <c r="J32" s="499" t="e">
        <f>I32*#REF!/1000</f>
        <v>#REF!</v>
      </c>
      <c r="K32" s="499" t="e">
        <f t="shared" si="2"/>
        <v>#REF!</v>
      </c>
      <c r="L32" s="499" t="e">
        <f>K32*#REF!</f>
        <v>#REF!</v>
      </c>
      <c r="M32" s="492">
        <v>15</v>
      </c>
      <c r="N32" s="499" t="e">
        <f t="shared" si="3"/>
        <v>#REF!</v>
      </c>
      <c r="O32" s="499" t="e">
        <f>N32*#REF!</f>
        <v>#REF!</v>
      </c>
      <c r="P32" s="500" t="e">
        <f t="shared" si="5"/>
        <v>#REF!</v>
      </c>
      <c r="Q32" s="506" t="e">
        <f>G32*M32*#REF!*60.78</f>
        <v>#REF!</v>
      </c>
      <c r="R32" s="505"/>
      <c r="T32" s="503"/>
      <c r="U32" s="503"/>
      <c r="V32" s="503"/>
      <c r="W32" s="503"/>
    </row>
    <row r="33" spans="1:23" ht="14.4" x14ac:dyDescent="0.3">
      <c r="A33" s="582" t="s">
        <v>226</v>
      </c>
      <c r="B33" s="585" t="s">
        <v>649</v>
      </c>
      <c r="C33" s="492" t="s">
        <v>656</v>
      </c>
      <c r="D33" s="493">
        <v>82.8</v>
      </c>
      <c r="E33" s="494">
        <v>9.0699035859727601</v>
      </c>
      <c r="F33" s="495">
        <v>2759.8</v>
      </c>
      <c r="G33" s="496">
        <f t="shared" si="0"/>
        <v>0.98446798935990021</v>
      </c>
      <c r="H33" s="497">
        <f t="shared" ref="H33:H38" si="6">E33/D33</f>
        <v>0.10953989838131353</v>
      </c>
      <c r="I33" s="498">
        <v>1054.6399518572978</v>
      </c>
      <c r="J33" s="499" t="e">
        <f>I33*#REF!/1000</f>
        <v>#REF!</v>
      </c>
      <c r="K33" s="499" t="e">
        <f t="shared" si="2"/>
        <v>#REF!</v>
      </c>
      <c r="L33" s="499" t="e">
        <f>K33*#REF!</f>
        <v>#REF!</v>
      </c>
      <c r="M33" s="492">
        <v>15</v>
      </c>
      <c r="N33" s="499" t="e">
        <f t="shared" si="3"/>
        <v>#REF!</v>
      </c>
      <c r="O33" s="499" t="e">
        <f>N33*#REF!</f>
        <v>#REF!</v>
      </c>
      <c r="P33" s="500" t="e">
        <f t="shared" si="5"/>
        <v>#REF!</v>
      </c>
      <c r="Q33" s="506" t="e">
        <f>G33*M33*#REF!*60.78</f>
        <v>#REF!</v>
      </c>
      <c r="R33" s="505"/>
      <c r="T33" s="508"/>
      <c r="U33" s="508"/>
      <c r="V33" s="508"/>
      <c r="W33" s="508"/>
    </row>
    <row r="34" spans="1:23" ht="14.4" x14ac:dyDescent="0.3">
      <c r="A34" s="582"/>
      <c r="B34" s="585"/>
      <c r="C34" s="492" t="s">
        <v>657</v>
      </c>
      <c r="D34" s="493">
        <v>82.8</v>
      </c>
      <c r="E34" s="494">
        <v>10.792738722245977</v>
      </c>
      <c r="F34" s="495">
        <v>2763.7148469387757</v>
      </c>
      <c r="G34" s="496">
        <f t="shared" si="0"/>
        <v>1.1714684383204144</v>
      </c>
      <c r="H34" s="497">
        <f t="shared" si="6"/>
        <v>0.1303470860174635</v>
      </c>
      <c r="I34" s="498">
        <v>1254.9696188658115</v>
      </c>
      <c r="J34" s="499" t="e">
        <f>I34*#REF!/1000</f>
        <v>#REF!</v>
      </c>
      <c r="K34" s="499" t="e">
        <f t="shared" si="2"/>
        <v>#REF!</v>
      </c>
      <c r="L34" s="499" t="e">
        <f>K34*#REF!</f>
        <v>#REF!</v>
      </c>
      <c r="M34" s="492">
        <v>15</v>
      </c>
      <c r="N34" s="499" t="e">
        <f t="shared" si="3"/>
        <v>#REF!</v>
      </c>
      <c r="O34" s="499" t="e">
        <f>N34*#REF!</f>
        <v>#REF!</v>
      </c>
      <c r="P34" s="500" t="e">
        <f t="shared" si="5"/>
        <v>#REF!</v>
      </c>
      <c r="Q34" s="506" t="e">
        <f>G34*M34*#REF!*60.78</f>
        <v>#REF!</v>
      </c>
      <c r="R34" s="505"/>
      <c r="S34" s="509"/>
    </row>
    <row r="35" spans="1:23" ht="14.4" x14ac:dyDescent="0.3">
      <c r="A35" s="582"/>
      <c r="B35" s="585"/>
      <c r="C35" s="492" t="s">
        <v>658</v>
      </c>
      <c r="D35" s="493">
        <v>82.8</v>
      </c>
      <c r="E35" s="494">
        <v>12.084380487802303</v>
      </c>
      <c r="F35" s="495">
        <v>2761.0533464566915</v>
      </c>
      <c r="G35" s="496">
        <f t="shared" si="0"/>
        <v>1.3116661769024536</v>
      </c>
      <c r="H35" s="497">
        <f t="shared" si="6"/>
        <v>0.1459466242488201</v>
      </c>
      <c r="I35" s="498">
        <v>1405.1605218374773</v>
      </c>
      <c r="J35" s="499" t="e">
        <f>I35*#REF!/1000</f>
        <v>#REF!</v>
      </c>
      <c r="K35" s="499" t="e">
        <f t="shared" si="2"/>
        <v>#REF!</v>
      </c>
      <c r="L35" s="499" t="e">
        <f>K35*#REF!</f>
        <v>#REF!</v>
      </c>
      <c r="M35" s="492">
        <v>15</v>
      </c>
      <c r="N35" s="499" t="e">
        <f t="shared" si="3"/>
        <v>#REF!</v>
      </c>
      <c r="O35" s="499" t="e">
        <f>N35*#REF!</f>
        <v>#REF!</v>
      </c>
      <c r="P35" s="500" t="e">
        <f t="shared" si="5"/>
        <v>#REF!</v>
      </c>
      <c r="Q35" s="506" t="e">
        <f>G35*M35*#REF!*60.78</f>
        <v>#REF!</v>
      </c>
      <c r="R35" s="505"/>
      <c r="S35" s="509"/>
    </row>
    <row r="36" spans="1:23" ht="14.4" x14ac:dyDescent="0.3">
      <c r="A36" s="582"/>
      <c r="B36" s="585"/>
      <c r="C36" s="492" t="s">
        <v>659</v>
      </c>
      <c r="D36" s="493">
        <v>82.8</v>
      </c>
      <c r="E36" s="494">
        <v>17.224236091122791</v>
      </c>
      <c r="F36" s="495">
        <v>2894.4784401114207</v>
      </c>
      <c r="G36" s="496">
        <f t="shared" si="0"/>
        <v>1.8695578086532934</v>
      </c>
      <c r="H36" s="497">
        <f t="shared" si="6"/>
        <v>0.20802217501356027</v>
      </c>
      <c r="I36" s="498">
        <v>2002.8181501305567</v>
      </c>
      <c r="J36" s="499" t="e">
        <f>I36*#REF!/1000</f>
        <v>#REF!</v>
      </c>
      <c r="K36" s="499" t="e">
        <f t="shared" si="2"/>
        <v>#REF!</v>
      </c>
      <c r="L36" s="499" t="e">
        <f>K36*#REF!</f>
        <v>#REF!</v>
      </c>
      <c r="M36" s="492">
        <v>15</v>
      </c>
      <c r="N36" s="499" t="e">
        <f t="shared" si="3"/>
        <v>#REF!</v>
      </c>
      <c r="O36" s="499" t="e">
        <f>N36*#REF!</f>
        <v>#REF!</v>
      </c>
      <c r="P36" s="500" t="e">
        <f t="shared" si="5"/>
        <v>#REF!</v>
      </c>
      <c r="Q36" s="506" t="e">
        <f>G36*M36*#REF!*60.78</f>
        <v>#REF!</v>
      </c>
      <c r="R36" s="505"/>
      <c r="S36" s="509"/>
    </row>
    <row r="37" spans="1:23" ht="14.4" x14ac:dyDescent="0.3">
      <c r="A37" s="582"/>
      <c r="B37" s="585"/>
      <c r="C37" s="492" t="s">
        <v>650</v>
      </c>
      <c r="D37" s="493">
        <v>82.8</v>
      </c>
      <c r="E37" s="494">
        <v>17.569283899099744</v>
      </c>
      <c r="F37" s="495">
        <v>3132.3553684210528</v>
      </c>
      <c r="G37" s="496">
        <f t="shared" si="0"/>
        <v>1.9070100834798378</v>
      </c>
      <c r="H37" s="497">
        <f t="shared" si="6"/>
        <v>0.21218941907125297</v>
      </c>
      <c r="I37" s="498">
        <v>2042.9399882674124</v>
      </c>
      <c r="J37" s="499" t="e">
        <f>I37*#REF!/1000</f>
        <v>#REF!</v>
      </c>
      <c r="K37" s="499" t="e">
        <f t="shared" si="2"/>
        <v>#REF!</v>
      </c>
      <c r="L37" s="499" t="e">
        <f>K37*#REF!</f>
        <v>#REF!</v>
      </c>
      <c r="M37" s="492">
        <v>15</v>
      </c>
      <c r="N37" s="499" t="e">
        <f t="shared" si="3"/>
        <v>#REF!</v>
      </c>
      <c r="O37" s="499" t="e">
        <f>N37*#REF!</f>
        <v>#REF!</v>
      </c>
      <c r="P37" s="500" t="e">
        <f t="shared" si="5"/>
        <v>#REF!</v>
      </c>
      <c r="Q37" s="506" t="e">
        <f>G37*M37*#REF!*60.78</f>
        <v>#REF!</v>
      </c>
      <c r="R37" s="505"/>
      <c r="S37" s="509"/>
    </row>
    <row r="38" spans="1:23" ht="14.4" x14ac:dyDescent="0.3">
      <c r="A38" s="582"/>
      <c r="B38" s="585"/>
      <c r="C38" s="492" t="s">
        <v>651</v>
      </c>
      <c r="D38" s="493">
        <v>82.8</v>
      </c>
      <c r="E38" s="494">
        <v>21.910189348797442</v>
      </c>
      <c r="F38" s="495">
        <v>3426.4881818181802</v>
      </c>
      <c r="G38" s="496">
        <f t="shared" si="0"/>
        <v>2.3781818461736073</v>
      </c>
      <c r="H38" s="497">
        <f t="shared" si="6"/>
        <v>0.26461581339127344</v>
      </c>
      <c r="I38" s="498">
        <v>2547.6964359066797</v>
      </c>
      <c r="J38" s="499" t="e">
        <f>I38*#REF!/1000</f>
        <v>#REF!</v>
      </c>
      <c r="K38" s="499" t="e">
        <f t="shared" si="2"/>
        <v>#REF!</v>
      </c>
      <c r="L38" s="499" t="e">
        <f>K38*#REF!</f>
        <v>#REF!</v>
      </c>
      <c r="M38" s="492">
        <v>15</v>
      </c>
      <c r="N38" s="499" t="e">
        <f t="shared" si="3"/>
        <v>#REF!</v>
      </c>
      <c r="O38" s="499" t="e">
        <f>N38*#REF!</f>
        <v>#REF!</v>
      </c>
      <c r="P38" s="500" t="e">
        <f t="shared" si="5"/>
        <v>#REF!</v>
      </c>
      <c r="Q38" s="506" t="e">
        <f>G38*M38*#REF!*60.78</f>
        <v>#REF!</v>
      </c>
      <c r="R38" s="505"/>
      <c r="S38" s="509"/>
    </row>
    <row r="39" spans="1:23" ht="14.4" x14ac:dyDescent="0.3">
      <c r="A39" s="582" t="s">
        <v>227</v>
      </c>
      <c r="B39" s="585" t="s">
        <v>649</v>
      </c>
      <c r="C39" s="492" t="s">
        <v>656</v>
      </c>
      <c r="D39" s="493">
        <v>82.8</v>
      </c>
      <c r="E39" s="494">
        <v>9.5472669326029056</v>
      </c>
      <c r="F39" s="495">
        <v>2759.8</v>
      </c>
      <c r="G39" s="496">
        <f t="shared" si="0"/>
        <v>1.0362820940630528</v>
      </c>
      <c r="H39" s="497">
        <f>E39/D39</f>
        <v>0.11530515619085635</v>
      </c>
      <c r="I39" s="498">
        <v>1110.1473177445241</v>
      </c>
      <c r="J39" s="499" t="e">
        <f>I39*#REF!/1000</f>
        <v>#REF!</v>
      </c>
      <c r="K39" s="499" t="e">
        <f t="shared" si="2"/>
        <v>#REF!</v>
      </c>
      <c r="L39" s="499" t="e">
        <f>K39*#REF!</f>
        <v>#REF!</v>
      </c>
      <c r="M39" s="492">
        <v>15</v>
      </c>
      <c r="N39" s="499" t="e">
        <f t="shared" si="3"/>
        <v>#REF!</v>
      </c>
      <c r="O39" s="499" t="e">
        <f>N39*#REF!</f>
        <v>#REF!</v>
      </c>
      <c r="P39" s="500" t="e">
        <f t="shared" si="5"/>
        <v>#REF!</v>
      </c>
      <c r="Q39" s="506" t="e">
        <f>G39*M39*#REF!*60.78</f>
        <v>#REF!</v>
      </c>
      <c r="R39" s="505"/>
    </row>
    <row r="40" spans="1:23" ht="14.4" x14ac:dyDescent="0.3">
      <c r="A40" s="582"/>
      <c r="B40" s="585"/>
      <c r="C40" s="492" t="s">
        <v>657</v>
      </c>
      <c r="D40" s="493">
        <v>82.8</v>
      </c>
      <c r="E40" s="494">
        <v>11.360777602364188</v>
      </c>
      <c r="F40" s="495">
        <v>2763.7148469387757</v>
      </c>
      <c r="G40" s="496">
        <f t="shared" si="0"/>
        <v>1.2331246719162259</v>
      </c>
      <c r="H40" s="497">
        <f t="shared" ref="H40:H43" si="7">E40/D40</f>
        <v>0.13720745896575107</v>
      </c>
      <c r="I40" s="498">
        <v>1321.0206514376964</v>
      </c>
      <c r="J40" s="499" t="e">
        <f>I40*#REF!/1000</f>
        <v>#REF!</v>
      </c>
      <c r="K40" s="499" t="e">
        <f t="shared" si="2"/>
        <v>#REF!</v>
      </c>
      <c r="L40" s="499" t="e">
        <f>K40*#REF!</f>
        <v>#REF!</v>
      </c>
      <c r="M40" s="492">
        <v>15</v>
      </c>
      <c r="N40" s="499" t="e">
        <f t="shared" si="3"/>
        <v>#REF!</v>
      </c>
      <c r="O40" s="499" t="e">
        <f>N40*#REF!</f>
        <v>#REF!</v>
      </c>
      <c r="P40" s="500" t="e">
        <f t="shared" si="5"/>
        <v>#REF!</v>
      </c>
      <c r="Q40" s="506" t="e">
        <f>G40*M40*#REF!*60.78</f>
        <v>#REF!</v>
      </c>
      <c r="R40" s="505"/>
    </row>
    <row r="41" spans="1:23" ht="14.4" x14ac:dyDescent="0.3">
      <c r="A41" s="582"/>
      <c r="B41" s="585"/>
      <c r="C41" s="492" t="s">
        <v>658</v>
      </c>
      <c r="D41" s="493">
        <v>82.8</v>
      </c>
      <c r="E41" s="494">
        <v>12.720400513476109</v>
      </c>
      <c r="F41" s="495">
        <v>2761.0533464566915</v>
      </c>
      <c r="G41" s="496">
        <f t="shared" si="0"/>
        <v>1.380701238844688</v>
      </c>
      <c r="H41" s="497">
        <f t="shared" si="7"/>
        <v>0.15362802552507379</v>
      </c>
      <c r="I41" s="498">
        <v>1479.116338776292</v>
      </c>
      <c r="J41" s="499" t="e">
        <f>I41*#REF!/1000</f>
        <v>#REF!</v>
      </c>
      <c r="K41" s="499" t="e">
        <f t="shared" si="2"/>
        <v>#REF!</v>
      </c>
      <c r="L41" s="499" t="e">
        <f>K41*#REF!</f>
        <v>#REF!</v>
      </c>
      <c r="M41" s="492">
        <v>15</v>
      </c>
      <c r="N41" s="499" t="e">
        <f t="shared" si="3"/>
        <v>#REF!</v>
      </c>
      <c r="O41" s="499" t="e">
        <f>N41*#REF!</f>
        <v>#REF!</v>
      </c>
      <c r="P41" s="500" t="e">
        <f t="shared" si="5"/>
        <v>#REF!</v>
      </c>
      <c r="Q41" s="506" t="e">
        <f>G41*M41*#REF!*60.78</f>
        <v>#REF!</v>
      </c>
      <c r="R41" s="505"/>
    </row>
    <row r="42" spans="1:23" ht="14.4" x14ac:dyDescent="0.3">
      <c r="A42" s="582"/>
      <c r="B42" s="585"/>
      <c r="C42" s="492" t="s">
        <v>659</v>
      </c>
      <c r="D42" s="493">
        <v>82.8</v>
      </c>
      <c r="E42" s="494">
        <v>18.130774832760832</v>
      </c>
      <c r="F42" s="495">
        <v>2894.4784401114207</v>
      </c>
      <c r="G42" s="496">
        <f t="shared" si="0"/>
        <v>1.9679555880560982</v>
      </c>
      <c r="H42" s="497">
        <f t="shared" si="7"/>
        <v>0.21897071054058975</v>
      </c>
      <c r="I42" s="498">
        <v>2108.2296317163755</v>
      </c>
      <c r="J42" s="499" t="e">
        <f>I42*#REF!/1000</f>
        <v>#REF!</v>
      </c>
      <c r="K42" s="499" t="e">
        <f t="shared" si="2"/>
        <v>#REF!</v>
      </c>
      <c r="L42" s="499" t="e">
        <f>K42*#REF!</f>
        <v>#REF!</v>
      </c>
      <c r="M42" s="492">
        <v>15</v>
      </c>
      <c r="N42" s="499" t="e">
        <f t="shared" si="3"/>
        <v>#REF!</v>
      </c>
      <c r="O42" s="499" t="e">
        <f>N42*#REF!</f>
        <v>#REF!</v>
      </c>
      <c r="P42" s="500" t="e">
        <f t="shared" si="5"/>
        <v>#REF!</v>
      </c>
      <c r="Q42" s="506" t="e">
        <f>G42*M42*#REF!*60.78</f>
        <v>#REF!</v>
      </c>
      <c r="R42" s="505"/>
      <c r="T42" s="507"/>
      <c r="U42" s="507"/>
      <c r="V42" s="507"/>
      <c r="W42" s="507"/>
    </row>
    <row r="43" spans="1:23" ht="14.4" x14ac:dyDescent="0.3">
      <c r="A43" s="582"/>
      <c r="B43" s="585"/>
      <c r="C43" s="492" t="s">
        <v>650</v>
      </c>
      <c r="D43" s="493">
        <v>82.8</v>
      </c>
      <c r="E43" s="494">
        <v>18.493983051683944</v>
      </c>
      <c r="F43" s="495">
        <v>3132.3553684210528</v>
      </c>
      <c r="G43" s="496">
        <f t="shared" si="0"/>
        <v>2.007379035241935</v>
      </c>
      <c r="H43" s="497">
        <f t="shared" si="7"/>
        <v>0.22335728323289789</v>
      </c>
      <c r="I43" s="498">
        <v>2150.4631455446447</v>
      </c>
      <c r="J43" s="499" t="e">
        <f>I43*#REF!/1000</f>
        <v>#REF!</v>
      </c>
      <c r="K43" s="499" t="e">
        <f t="shared" si="2"/>
        <v>#REF!</v>
      </c>
      <c r="L43" s="499" t="e">
        <f>K43*#REF!</f>
        <v>#REF!</v>
      </c>
      <c r="M43" s="492">
        <v>15</v>
      </c>
      <c r="N43" s="499" t="e">
        <f t="shared" si="3"/>
        <v>#REF!</v>
      </c>
      <c r="O43" s="499" t="e">
        <f>N43*#REF!</f>
        <v>#REF!</v>
      </c>
      <c r="P43" s="500" t="e">
        <f t="shared" si="5"/>
        <v>#REF!</v>
      </c>
      <c r="Q43" s="506" t="e">
        <f>G43*M43*#REF!*60.78</f>
        <v>#REF!</v>
      </c>
      <c r="R43" s="505"/>
      <c r="T43" s="503"/>
      <c r="U43" s="503"/>
      <c r="V43" s="503"/>
      <c r="W43" s="503"/>
    </row>
    <row r="44" spans="1:23" ht="14.4" x14ac:dyDescent="0.3">
      <c r="A44" s="582"/>
      <c r="B44" s="585"/>
      <c r="C44" s="492" t="s">
        <v>651</v>
      </c>
      <c r="D44" s="493">
        <v>82.8</v>
      </c>
      <c r="E44" s="494">
        <v>23.063357209260467</v>
      </c>
      <c r="F44" s="495">
        <v>3426.4881818181802</v>
      </c>
      <c r="G44" s="496">
        <f t="shared" si="0"/>
        <v>2.5033493117616921</v>
      </c>
      <c r="H44" s="497">
        <f>E44/D44</f>
        <v>0.27854296146449842</v>
      </c>
      <c r="I44" s="498">
        <v>2681.7857220070314</v>
      </c>
      <c r="J44" s="499" t="e">
        <f>I44*#REF!/1000</f>
        <v>#REF!</v>
      </c>
      <c r="K44" s="499" t="e">
        <f t="shared" si="2"/>
        <v>#REF!</v>
      </c>
      <c r="L44" s="499" t="e">
        <f>K44*#REF!</f>
        <v>#REF!</v>
      </c>
      <c r="M44" s="492">
        <v>15</v>
      </c>
      <c r="N44" s="499" t="e">
        <f t="shared" si="3"/>
        <v>#REF!</v>
      </c>
      <c r="O44" s="499" t="e">
        <f>N44*#REF!</f>
        <v>#REF!</v>
      </c>
      <c r="P44" s="500" t="e">
        <f t="shared" si="5"/>
        <v>#REF!</v>
      </c>
      <c r="Q44" s="506" t="e">
        <f>G44*M44*#REF!*60.78</f>
        <v>#REF!</v>
      </c>
      <c r="R44" s="505"/>
      <c r="T44" s="503"/>
      <c r="U44" s="503"/>
      <c r="V44" s="503"/>
      <c r="W44" s="503"/>
    </row>
    <row r="45" spans="1:23" ht="14.4" x14ac:dyDescent="0.3">
      <c r="A45" s="582" t="s">
        <v>228</v>
      </c>
      <c r="B45" s="585" t="s">
        <v>649</v>
      </c>
      <c r="C45" s="492" t="s">
        <v>656</v>
      </c>
      <c r="D45" s="493">
        <v>82.8</v>
      </c>
      <c r="E45" s="494">
        <v>11.197411834534272</v>
      </c>
      <c r="F45" s="495">
        <v>2759.8</v>
      </c>
      <c r="G45" s="496">
        <f t="shared" si="0"/>
        <v>1.2153925794566669</v>
      </c>
      <c r="H45" s="497">
        <f t="shared" ref="H45:H68" si="8">E45/D45</f>
        <v>0.13523444244606608</v>
      </c>
      <c r="I45" s="498">
        <v>1302.0246319225898</v>
      </c>
      <c r="J45" s="499" t="e">
        <f>I45*#REF!/1000</f>
        <v>#REF!</v>
      </c>
      <c r="K45" s="499" t="e">
        <f t="shared" si="2"/>
        <v>#REF!</v>
      </c>
      <c r="L45" s="499" t="e">
        <f>K45*#REF!</f>
        <v>#REF!</v>
      </c>
      <c r="M45" s="492">
        <v>15</v>
      </c>
      <c r="N45" s="499" t="e">
        <f t="shared" si="3"/>
        <v>#REF!</v>
      </c>
      <c r="O45" s="499" t="e">
        <f>N45*#REF!</f>
        <v>#REF!</v>
      </c>
      <c r="P45" s="500" t="e">
        <f t="shared" si="5"/>
        <v>#REF!</v>
      </c>
      <c r="Q45" s="506" t="e">
        <f>G45*M45*#REF!*60.78</f>
        <v>#REF!</v>
      </c>
      <c r="R45" s="505"/>
      <c r="T45" s="508"/>
      <c r="U45" s="508"/>
      <c r="V45" s="508"/>
      <c r="W45" s="508"/>
    </row>
    <row r="46" spans="1:23" ht="14.4" x14ac:dyDescent="0.3">
      <c r="A46" s="582"/>
      <c r="B46" s="585"/>
      <c r="C46" s="492" t="s">
        <v>657</v>
      </c>
      <c r="D46" s="493">
        <v>82.8</v>
      </c>
      <c r="E46" s="494">
        <v>13.324368792896268</v>
      </c>
      <c r="F46" s="495">
        <v>2763.7148469387757</v>
      </c>
      <c r="G46" s="496">
        <f t="shared" si="0"/>
        <v>1.4462573312597709</v>
      </c>
      <c r="H46" s="497">
        <f t="shared" si="8"/>
        <v>0.1609223284166216</v>
      </c>
      <c r="I46" s="498">
        <v>1549.3452084763105</v>
      </c>
      <c r="J46" s="499" t="e">
        <f>I46*#REF!/1000</f>
        <v>#REF!</v>
      </c>
      <c r="K46" s="499" t="e">
        <f t="shared" si="2"/>
        <v>#REF!</v>
      </c>
      <c r="L46" s="499" t="e">
        <f>K46*#REF!</f>
        <v>#REF!</v>
      </c>
      <c r="M46" s="492">
        <v>15</v>
      </c>
      <c r="N46" s="499" t="e">
        <f t="shared" si="3"/>
        <v>#REF!</v>
      </c>
      <c r="O46" s="499" t="e">
        <f>N46*#REF!</f>
        <v>#REF!</v>
      </c>
      <c r="P46" s="500" t="e">
        <f t="shared" si="5"/>
        <v>#REF!</v>
      </c>
      <c r="Q46" s="506" t="e">
        <f>G46*M46*#REF!*60.78</f>
        <v>#REF!</v>
      </c>
      <c r="R46" s="505"/>
      <c r="S46" s="509"/>
    </row>
    <row r="47" spans="1:23" ht="14.4" x14ac:dyDescent="0.3">
      <c r="A47" s="582"/>
      <c r="B47" s="585"/>
      <c r="C47" s="492" t="s">
        <v>658</v>
      </c>
      <c r="D47" s="493">
        <v>82.8</v>
      </c>
      <c r="E47" s="494">
        <v>14.918988256546053</v>
      </c>
      <c r="F47" s="495">
        <v>2761.0533464566915</v>
      </c>
      <c r="G47" s="496">
        <f t="shared" si="0"/>
        <v>1.6193409591388315</v>
      </c>
      <c r="H47" s="497">
        <f t="shared" si="8"/>
        <v>0.18018101759113592</v>
      </c>
      <c r="I47" s="498">
        <v>1734.7660763425645</v>
      </c>
      <c r="J47" s="499" t="e">
        <f>I47*#REF!/1000</f>
        <v>#REF!</v>
      </c>
      <c r="K47" s="499" t="e">
        <f t="shared" si="2"/>
        <v>#REF!</v>
      </c>
      <c r="L47" s="499" t="e">
        <f>K47*#REF!</f>
        <v>#REF!</v>
      </c>
      <c r="M47" s="492">
        <v>15</v>
      </c>
      <c r="N47" s="499" t="e">
        <f t="shared" si="3"/>
        <v>#REF!</v>
      </c>
      <c r="O47" s="499" t="e">
        <f>N47*#REF!</f>
        <v>#REF!</v>
      </c>
      <c r="P47" s="500" t="e">
        <f t="shared" si="5"/>
        <v>#REF!</v>
      </c>
      <c r="Q47" s="506" t="e">
        <f>G47*M47*#REF!*60.78</f>
        <v>#REF!</v>
      </c>
      <c r="R47" s="505"/>
      <c r="S47" s="509"/>
    </row>
    <row r="48" spans="1:23" ht="14.4" x14ac:dyDescent="0.3">
      <c r="A48" s="582"/>
      <c r="B48" s="585"/>
      <c r="C48" s="492" t="s">
        <v>659</v>
      </c>
      <c r="D48" s="493">
        <v>82.8</v>
      </c>
      <c r="E48" s="494">
        <v>21.26448900138616</v>
      </c>
      <c r="F48" s="495">
        <v>2894.4784401114207</v>
      </c>
      <c r="G48" s="496">
        <f t="shared" si="0"/>
        <v>2.308096060065794</v>
      </c>
      <c r="H48" s="497">
        <f t="shared" si="8"/>
        <v>0.25681750001674108</v>
      </c>
      <c r="I48" s="498">
        <v>2472.6150001611809</v>
      </c>
      <c r="J48" s="499" t="e">
        <f>I48*#REF!/1000</f>
        <v>#REF!</v>
      </c>
      <c r="K48" s="499" t="e">
        <f t="shared" si="2"/>
        <v>#REF!</v>
      </c>
      <c r="L48" s="499" t="e">
        <f>K48*#REF!</f>
        <v>#REF!</v>
      </c>
      <c r="M48" s="492">
        <v>15</v>
      </c>
      <c r="N48" s="499" t="e">
        <f t="shared" si="3"/>
        <v>#REF!</v>
      </c>
      <c r="O48" s="499" t="e">
        <f>N48*#REF!</f>
        <v>#REF!</v>
      </c>
      <c r="P48" s="500" t="e">
        <f t="shared" si="5"/>
        <v>#REF!</v>
      </c>
      <c r="Q48" s="506" t="e">
        <f>G48*M48*#REF!*60.78</f>
        <v>#REF!</v>
      </c>
      <c r="R48" s="505"/>
      <c r="S48" s="509"/>
    </row>
    <row r="49" spans="1:19" ht="14.4" x14ac:dyDescent="0.3">
      <c r="A49" s="582"/>
      <c r="B49" s="585"/>
      <c r="C49" s="492" t="s">
        <v>650</v>
      </c>
      <c r="D49" s="493">
        <v>82.8</v>
      </c>
      <c r="E49" s="494">
        <v>21.690473949505858</v>
      </c>
      <c r="F49" s="495">
        <v>3132.3553684210528</v>
      </c>
      <c r="G49" s="496">
        <f t="shared" si="0"/>
        <v>2.3543334363948616</v>
      </c>
      <c r="H49" s="497">
        <f t="shared" si="8"/>
        <v>0.26196224576697896</v>
      </c>
      <c r="I49" s="498">
        <v>2522.148133663472</v>
      </c>
      <c r="J49" s="499" t="e">
        <f>I49*#REF!/1000</f>
        <v>#REF!</v>
      </c>
      <c r="K49" s="499" t="e">
        <f t="shared" si="2"/>
        <v>#REF!</v>
      </c>
      <c r="L49" s="499" t="e">
        <f>K49*#REF!</f>
        <v>#REF!</v>
      </c>
      <c r="M49" s="492">
        <v>15</v>
      </c>
      <c r="N49" s="499" t="e">
        <f t="shared" si="3"/>
        <v>#REF!</v>
      </c>
      <c r="O49" s="499" t="e">
        <f>N49*#REF!</f>
        <v>#REF!</v>
      </c>
      <c r="P49" s="500" t="e">
        <f t="shared" si="5"/>
        <v>#REF!</v>
      </c>
      <c r="Q49" s="506" t="e">
        <f>G49*M49*#REF!*60.78</f>
        <v>#REF!</v>
      </c>
      <c r="R49" s="505"/>
      <c r="S49" s="509"/>
    </row>
    <row r="50" spans="1:19" ht="14.4" x14ac:dyDescent="0.3">
      <c r="A50" s="582"/>
      <c r="B50" s="585"/>
      <c r="C50" s="492" t="s">
        <v>651</v>
      </c>
      <c r="D50" s="493">
        <v>82.8</v>
      </c>
      <c r="E50" s="494">
        <v>27.049616479996839</v>
      </c>
      <c r="F50" s="495">
        <v>3426.4881818181802</v>
      </c>
      <c r="G50" s="496">
        <f t="shared" si="0"/>
        <v>2.9360269705847002</v>
      </c>
      <c r="H50" s="497">
        <f t="shared" si="8"/>
        <v>0.32668618937194249</v>
      </c>
      <c r="I50" s="498">
        <v>3145.304241860098</v>
      </c>
      <c r="J50" s="499" t="e">
        <f>I50*#REF!/1000</f>
        <v>#REF!</v>
      </c>
      <c r="K50" s="499" t="e">
        <f t="shared" si="2"/>
        <v>#REF!</v>
      </c>
      <c r="L50" s="499" t="e">
        <f>K50*#REF!</f>
        <v>#REF!</v>
      </c>
      <c r="M50" s="492">
        <v>15</v>
      </c>
      <c r="N50" s="499" t="e">
        <f t="shared" si="3"/>
        <v>#REF!</v>
      </c>
      <c r="O50" s="499" t="e">
        <f>N50*#REF!</f>
        <v>#REF!</v>
      </c>
      <c r="P50" s="500" t="e">
        <f t="shared" si="5"/>
        <v>#REF!</v>
      </c>
      <c r="Q50" s="506" t="e">
        <f>G50*M50*#REF!*60.78</f>
        <v>#REF!</v>
      </c>
      <c r="R50" s="505"/>
      <c r="S50" s="509"/>
    </row>
    <row r="51" spans="1:19" ht="13.2" customHeight="1" x14ac:dyDescent="0.3">
      <c r="A51" s="581" t="s">
        <v>229</v>
      </c>
      <c r="B51" s="594" t="s">
        <v>649</v>
      </c>
      <c r="C51" s="492" t="s">
        <v>660</v>
      </c>
      <c r="D51" s="494">
        <v>11.6</v>
      </c>
      <c r="E51" s="494">
        <v>11.6</v>
      </c>
      <c r="F51" s="495">
        <v>1575</v>
      </c>
      <c r="G51" s="496">
        <f t="shared" si="0"/>
        <v>1.2590904157169218</v>
      </c>
      <c r="H51" s="497">
        <f t="shared" si="8"/>
        <v>1</v>
      </c>
      <c r="I51" s="498">
        <v>1565.9424891866013</v>
      </c>
      <c r="J51" s="499" t="e">
        <f>I51*#REF!/1000</f>
        <v>#REF!</v>
      </c>
      <c r="K51" s="499" t="e">
        <f t="shared" si="2"/>
        <v>#REF!</v>
      </c>
      <c r="L51" s="499" t="e">
        <f>K51*#REF!</f>
        <v>#REF!</v>
      </c>
      <c r="M51" s="492">
        <v>13</v>
      </c>
      <c r="N51" s="499" t="e">
        <f t="shared" si="3"/>
        <v>#REF!</v>
      </c>
      <c r="O51" s="499" t="e">
        <f>N51*#REF!</f>
        <v>#REF!</v>
      </c>
      <c r="P51" s="500" t="e">
        <f t="shared" si="5"/>
        <v>#REF!</v>
      </c>
      <c r="Q51" s="501" t="e">
        <f>G51*M51*#REF!*60.78</f>
        <v>#REF!</v>
      </c>
      <c r="R51" s="504"/>
    </row>
    <row r="52" spans="1:19" ht="14.4" x14ac:dyDescent="0.3">
      <c r="A52" s="582"/>
      <c r="B52" s="595"/>
      <c r="C52" s="492" t="s">
        <v>661</v>
      </c>
      <c r="D52" s="494">
        <v>11.76</v>
      </c>
      <c r="E52" s="494">
        <v>11.76</v>
      </c>
      <c r="F52" s="495">
        <v>1703</v>
      </c>
      <c r="G52" s="496">
        <f t="shared" si="0"/>
        <v>1.276457180071638</v>
      </c>
      <c r="H52" s="497">
        <f t="shared" si="8"/>
        <v>1</v>
      </c>
      <c r="I52" s="498">
        <v>1493.7863156652577</v>
      </c>
      <c r="J52" s="499" t="e">
        <f>I52*#REF!/1000</f>
        <v>#REF!</v>
      </c>
      <c r="K52" s="499" t="e">
        <f t="shared" si="2"/>
        <v>#REF!</v>
      </c>
      <c r="L52" s="499" t="e">
        <f>K52*#REF!</f>
        <v>#REF!</v>
      </c>
      <c r="M52" s="492">
        <v>13</v>
      </c>
      <c r="N52" s="499" t="e">
        <f t="shared" si="3"/>
        <v>#REF!</v>
      </c>
      <c r="O52" s="499" t="e">
        <f>N52*#REF!</f>
        <v>#REF!</v>
      </c>
      <c r="P52" s="500" t="e">
        <f t="shared" si="5"/>
        <v>#REF!</v>
      </c>
      <c r="Q52" s="501" t="e">
        <f>G52*M52*#REF!*60.78</f>
        <v>#REF!</v>
      </c>
      <c r="R52" s="504"/>
    </row>
    <row r="53" spans="1:19" ht="14.4" x14ac:dyDescent="0.3">
      <c r="A53" s="582"/>
      <c r="B53" s="595"/>
      <c r="C53" s="492" t="s">
        <v>662</v>
      </c>
      <c r="D53" s="494">
        <v>12.24</v>
      </c>
      <c r="E53" s="494">
        <v>12.24</v>
      </c>
      <c r="F53" s="495">
        <v>1703</v>
      </c>
      <c r="G53" s="496">
        <f t="shared" si="0"/>
        <v>1.3285574731357865</v>
      </c>
      <c r="H53" s="497">
        <f t="shared" si="8"/>
        <v>1</v>
      </c>
      <c r="I53" s="498">
        <v>1275.9487991538906</v>
      </c>
      <c r="J53" s="499" t="e">
        <f>I53*#REF!/1000</f>
        <v>#REF!</v>
      </c>
      <c r="K53" s="499" t="e">
        <f t="shared" si="2"/>
        <v>#REF!</v>
      </c>
      <c r="L53" s="499" t="e">
        <f>K53*#REF!</f>
        <v>#REF!</v>
      </c>
      <c r="M53" s="492">
        <v>13</v>
      </c>
      <c r="N53" s="499" t="e">
        <f t="shared" si="3"/>
        <v>#REF!</v>
      </c>
      <c r="O53" s="499" t="e">
        <f>N53*#REF!</f>
        <v>#REF!</v>
      </c>
      <c r="P53" s="500" t="e">
        <f t="shared" si="5"/>
        <v>#REF!</v>
      </c>
      <c r="Q53" s="501" t="e">
        <f>G53*M53*#REF!*60.78</f>
        <v>#REF!</v>
      </c>
      <c r="R53" s="504"/>
    </row>
    <row r="54" spans="1:19" ht="14.4" x14ac:dyDescent="0.3">
      <c r="A54" s="582"/>
      <c r="B54" s="595"/>
      <c r="C54" s="492" t="s">
        <v>663</v>
      </c>
      <c r="D54" s="494">
        <v>12.18</v>
      </c>
      <c r="E54" s="494">
        <v>12.18</v>
      </c>
      <c r="F54" s="495">
        <v>1575</v>
      </c>
      <c r="G54" s="496">
        <f t="shared" si="0"/>
        <v>1.322044936502768</v>
      </c>
      <c r="H54" s="497">
        <f t="shared" si="8"/>
        <v>1</v>
      </c>
      <c r="I54" s="498">
        <v>1302.0195977506571</v>
      </c>
      <c r="J54" s="499" t="e">
        <f>I54*#REF!/1000</f>
        <v>#REF!</v>
      </c>
      <c r="K54" s="499" t="e">
        <f t="shared" si="2"/>
        <v>#REF!</v>
      </c>
      <c r="L54" s="499" t="e">
        <f>K54*#REF!</f>
        <v>#REF!</v>
      </c>
      <c r="M54" s="492">
        <v>13</v>
      </c>
      <c r="N54" s="499" t="e">
        <f t="shared" si="3"/>
        <v>#REF!</v>
      </c>
      <c r="O54" s="499" t="e">
        <f>N54*#REF!</f>
        <v>#REF!</v>
      </c>
      <c r="P54" s="500" t="e">
        <f t="shared" si="5"/>
        <v>#REF!</v>
      </c>
      <c r="Q54" s="501" t="e">
        <f>G54*M54*#REF!*60.78</f>
        <v>#REF!</v>
      </c>
      <c r="R54" s="504"/>
    </row>
    <row r="55" spans="1:19" ht="14.4" x14ac:dyDescent="0.3">
      <c r="A55" s="582"/>
      <c r="B55" s="595"/>
      <c r="C55" s="492" t="s">
        <v>664</v>
      </c>
      <c r="D55" s="494">
        <v>12.31</v>
      </c>
      <c r="E55" s="494">
        <v>12.31</v>
      </c>
      <c r="F55" s="495">
        <v>1703</v>
      </c>
      <c r="G55" s="496">
        <f t="shared" si="0"/>
        <v>1.3361554325409748</v>
      </c>
      <c r="H55" s="497">
        <f t="shared" si="8"/>
        <v>1</v>
      </c>
      <c r="I55" s="498">
        <v>1242.0245770699892</v>
      </c>
      <c r="J55" s="499" t="e">
        <f>I55*#REF!/1000</f>
        <v>#REF!</v>
      </c>
      <c r="K55" s="499" t="e">
        <f t="shared" si="2"/>
        <v>#REF!</v>
      </c>
      <c r="L55" s="499" t="e">
        <f>K55*#REF!</f>
        <v>#REF!</v>
      </c>
      <c r="M55" s="492">
        <v>13</v>
      </c>
      <c r="N55" s="499" t="e">
        <f t="shared" si="3"/>
        <v>#REF!</v>
      </c>
      <c r="O55" s="499" t="e">
        <f>N55*#REF!</f>
        <v>#REF!</v>
      </c>
      <c r="P55" s="500" t="e">
        <f t="shared" si="5"/>
        <v>#REF!</v>
      </c>
      <c r="Q55" s="501" t="e">
        <f>G55*M55*#REF!*60.78</f>
        <v>#REF!</v>
      </c>
      <c r="R55" s="504"/>
    </row>
    <row r="56" spans="1:19" ht="14.4" x14ac:dyDescent="0.3">
      <c r="A56" s="583"/>
      <c r="B56" s="596"/>
      <c r="C56" s="492" t="s">
        <v>665</v>
      </c>
      <c r="D56" s="494">
        <v>12.71</v>
      </c>
      <c r="E56" s="494">
        <v>12.71</v>
      </c>
      <c r="F56" s="495">
        <v>1703</v>
      </c>
      <c r="G56" s="496">
        <f t="shared" si="0"/>
        <v>1.3795723434277654</v>
      </c>
      <c r="H56" s="497">
        <f t="shared" si="8"/>
        <v>1</v>
      </c>
      <c r="I56" s="498">
        <v>1060.9012487346956</v>
      </c>
      <c r="J56" s="499" t="e">
        <f>I56*#REF!/1000</f>
        <v>#REF!</v>
      </c>
      <c r="K56" s="499" t="e">
        <f t="shared" si="2"/>
        <v>#REF!</v>
      </c>
      <c r="L56" s="499" t="e">
        <f>K56*#REF!</f>
        <v>#REF!</v>
      </c>
      <c r="M56" s="492">
        <v>13</v>
      </c>
      <c r="N56" s="499" t="e">
        <f t="shared" si="3"/>
        <v>#REF!</v>
      </c>
      <c r="O56" s="499" t="e">
        <f>N56*#REF!</f>
        <v>#REF!</v>
      </c>
      <c r="P56" s="500" t="e">
        <f t="shared" si="5"/>
        <v>#REF!</v>
      </c>
      <c r="Q56" s="501" t="e">
        <f>G56*M56*#REF!*60.78</f>
        <v>#REF!</v>
      </c>
      <c r="R56" s="504"/>
    </row>
    <row r="57" spans="1:19" ht="13.2" customHeight="1" x14ac:dyDescent="0.3">
      <c r="A57" s="581" t="s">
        <v>666</v>
      </c>
      <c r="B57" s="594" t="s">
        <v>649</v>
      </c>
      <c r="C57" s="492" t="s">
        <v>667</v>
      </c>
      <c r="D57" s="493">
        <f>138480/1000000</f>
        <v>0.13847999999999999</v>
      </c>
      <c r="E57" s="493">
        <v>4.15E-3</v>
      </c>
      <c r="F57" s="495">
        <v>0.03</v>
      </c>
      <c r="G57" s="496">
        <f t="shared" si="0"/>
        <v>4.5045045045045051E-4</v>
      </c>
      <c r="H57" s="497">
        <f t="shared" si="8"/>
        <v>2.9968226458694399E-2</v>
      </c>
      <c r="I57" s="498">
        <v>0</v>
      </c>
      <c r="J57" s="499">
        <v>0</v>
      </c>
      <c r="K57" s="499">
        <f>G57-J57</f>
        <v>4.5045045045045051E-4</v>
      </c>
      <c r="L57" s="499" t="e">
        <f>K57*#REF!</f>
        <v>#REF!</v>
      </c>
      <c r="M57" s="492">
        <v>1</v>
      </c>
      <c r="N57" s="499">
        <f t="shared" si="3"/>
        <v>4.5045045045045051E-4</v>
      </c>
      <c r="O57" s="499" t="e">
        <f>N57*#REF!</f>
        <v>#REF!</v>
      </c>
      <c r="P57" s="500" t="e">
        <f t="shared" si="5"/>
        <v>#REF!</v>
      </c>
      <c r="Q57" s="501" t="e">
        <f>G57*M57*#REF!*60.78</f>
        <v>#REF!</v>
      </c>
      <c r="R57" s="504"/>
    </row>
    <row r="58" spans="1:19" ht="14.4" x14ac:dyDescent="0.3">
      <c r="A58" s="582"/>
      <c r="B58" s="595"/>
      <c r="C58" s="492" t="s">
        <v>668</v>
      </c>
      <c r="D58" s="493">
        <f t="shared" ref="D58:D60" si="9">138480/1000000</f>
        <v>0.13847999999999999</v>
      </c>
      <c r="E58" s="493">
        <v>1.11E-2</v>
      </c>
      <c r="F58" s="495">
        <v>0.08</v>
      </c>
      <c r="G58" s="496">
        <f t="shared" si="0"/>
        <v>1.2048192771084338E-3</v>
      </c>
      <c r="H58" s="497">
        <f t="shared" si="8"/>
        <v>8.0155979202772967E-2</v>
      </c>
      <c r="I58" s="498">
        <v>0</v>
      </c>
      <c r="J58" s="499">
        <v>0</v>
      </c>
      <c r="K58" s="499">
        <f t="shared" si="2"/>
        <v>1.2048192771084338E-3</v>
      </c>
      <c r="L58" s="499" t="e">
        <f>K58*#REF!</f>
        <v>#REF!</v>
      </c>
      <c r="M58" s="492">
        <v>1</v>
      </c>
      <c r="N58" s="499">
        <f t="shared" si="3"/>
        <v>1.2048192771084338E-3</v>
      </c>
      <c r="O58" s="499" t="e">
        <f>N58*#REF!</f>
        <v>#REF!</v>
      </c>
      <c r="P58" s="500" t="e">
        <f t="shared" si="5"/>
        <v>#REF!</v>
      </c>
      <c r="Q58" s="501" t="e">
        <f>G58*M58*#REF!*60.78</f>
        <v>#REF!</v>
      </c>
      <c r="R58" s="504"/>
    </row>
    <row r="59" spans="1:19" ht="14.4" x14ac:dyDescent="0.3">
      <c r="A59" s="582"/>
      <c r="B59" s="595"/>
      <c r="C59" s="492" t="s">
        <v>669</v>
      </c>
      <c r="D59" s="493">
        <f t="shared" si="9"/>
        <v>0.13847999999999999</v>
      </c>
      <c r="E59" s="493">
        <v>2.4899999999999999E-2</v>
      </c>
      <c r="F59" s="495">
        <f>0.18</f>
        <v>0.18</v>
      </c>
      <c r="G59" s="496">
        <f t="shared" si="0"/>
        <v>2.7027027027027029E-3</v>
      </c>
      <c r="H59" s="497">
        <f t="shared" si="8"/>
        <v>0.17980935875216639</v>
      </c>
      <c r="I59" s="498">
        <v>0</v>
      </c>
      <c r="J59" s="499">
        <v>0</v>
      </c>
      <c r="K59" s="499">
        <f t="shared" si="2"/>
        <v>2.7027027027027029E-3</v>
      </c>
      <c r="L59" s="499" t="e">
        <f>K59*#REF!</f>
        <v>#REF!</v>
      </c>
      <c r="M59" s="492">
        <v>1</v>
      </c>
      <c r="N59" s="499">
        <f t="shared" si="3"/>
        <v>2.7027027027027029E-3</v>
      </c>
      <c r="O59" s="499" t="e">
        <f>N59*#REF!</f>
        <v>#REF!</v>
      </c>
      <c r="P59" s="500" t="e">
        <f t="shared" si="5"/>
        <v>#REF!</v>
      </c>
      <c r="Q59" s="501" t="e">
        <f>G59*M59*#REF!*60.78</f>
        <v>#REF!</v>
      </c>
      <c r="R59" s="504"/>
    </row>
    <row r="60" spans="1:19" ht="14.4" x14ac:dyDescent="0.3">
      <c r="A60" s="582"/>
      <c r="B60" s="596"/>
      <c r="C60" s="492" t="s">
        <v>670</v>
      </c>
      <c r="D60" s="493">
        <f t="shared" si="9"/>
        <v>0.13847999999999999</v>
      </c>
      <c r="E60" s="493">
        <v>0.13600000000000001</v>
      </c>
      <c r="F60" s="495">
        <f>0.98</f>
        <v>0.98</v>
      </c>
      <c r="G60" s="496">
        <f t="shared" si="0"/>
        <v>1.4761749701508739E-2</v>
      </c>
      <c r="H60" s="497">
        <f t="shared" si="8"/>
        <v>0.98209127671865981</v>
      </c>
      <c r="I60" s="498">
        <v>0</v>
      </c>
      <c r="J60" s="499">
        <v>0</v>
      </c>
      <c r="K60" s="499">
        <f t="shared" si="2"/>
        <v>1.4761749701508739E-2</v>
      </c>
      <c r="L60" s="499" t="e">
        <f>K60*#REF!</f>
        <v>#REF!</v>
      </c>
      <c r="M60" s="492">
        <v>1</v>
      </c>
      <c r="N60" s="499">
        <f t="shared" si="3"/>
        <v>1.4761749701508739E-2</v>
      </c>
      <c r="O60" s="499" t="e">
        <f>N60*#REF!</f>
        <v>#REF!</v>
      </c>
      <c r="P60" s="500" t="e">
        <f t="shared" si="5"/>
        <v>#REF!</v>
      </c>
      <c r="Q60" s="501" t="e">
        <f>G60*M60*#REF!*60.78</f>
        <v>#REF!</v>
      </c>
      <c r="R60" s="504"/>
    </row>
    <row r="61" spans="1:19" ht="14.4" x14ac:dyDescent="0.3">
      <c r="A61" s="597" t="s">
        <v>671</v>
      </c>
      <c r="B61" s="594" t="s">
        <v>649</v>
      </c>
      <c r="C61" s="492" t="s">
        <v>672</v>
      </c>
      <c r="D61" s="494">
        <f>E61/90%</f>
        <v>109.74666666666667</v>
      </c>
      <c r="E61" s="493">
        <v>98.772000000000006</v>
      </c>
      <c r="F61" s="495">
        <v>20000</v>
      </c>
      <c r="G61" s="496">
        <f t="shared" si="0"/>
        <v>10.720937805275156</v>
      </c>
      <c r="H61" s="497">
        <f t="shared" si="8"/>
        <v>0.9</v>
      </c>
      <c r="I61" s="498">
        <v>0</v>
      </c>
      <c r="J61" s="499" t="e">
        <f>I61*#REF!/1000</f>
        <v>#REF!</v>
      </c>
      <c r="K61" s="499" t="e">
        <f t="shared" si="2"/>
        <v>#REF!</v>
      </c>
      <c r="L61" s="499" t="e">
        <f>K61*#REF!</f>
        <v>#REF!</v>
      </c>
      <c r="M61" s="492">
        <v>20</v>
      </c>
      <c r="N61" s="499" t="e">
        <f t="shared" si="3"/>
        <v>#REF!</v>
      </c>
      <c r="O61" s="499" t="e">
        <f>N61*#REF!</f>
        <v>#REF!</v>
      </c>
      <c r="P61" s="500" t="e">
        <f t="shared" si="5"/>
        <v>#REF!</v>
      </c>
      <c r="Q61" s="501" t="e">
        <f>G61*M61*#REF!*60.78</f>
        <v>#REF!</v>
      </c>
      <c r="R61" s="504"/>
    </row>
    <row r="62" spans="1:19" ht="14.4" x14ac:dyDescent="0.3">
      <c r="A62" s="598"/>
      <c r="B62" s="595"/>
      <c r="C62" s="492" t="s">
        <v>673</v>
      </c>
      <c r="D62" s="494">
        <f t="shared" ref="D62" si="10">E62/90%</f>
        <v>80.183333333333337</v>
      </c>
      <c r="E62" s="493">
        <v>72.165000000000006</v>
      </c>
      <c r="F62" s="495">
        <v>20000</v>
      </c>
      <c r="G62" s="496">
        <f t="shared" si="0"/>
        <v>7.8329534353630752</v>
      </c>
      <c r="H62" s="497">
        <f t="shared" si="8"/>
        <v>0.9</v>
      </c>
      <c r="I62" s="498">
        <v>0</v>
      </c>
      <c r="J62" s="499" t="e">
        <f>I62*#REF!/1000</f>
        <v>#REF!</v>
      </c>
      <c r="K62" s="499" t="e">
        <f t="shared" si="2"/>
        <v>#REF!</v>
      </c>
      <c r="L62" s="499" t="e">
        <f>K62*#REF!</f>
        <v>#REF!</v>
      </c>
      <c r="M62" s="492">
        <v>20</v>
      </c>
      <c r="N62" s="499" t="e">
        <f t="shared" si="3"/>
        <v>#REF!</v>
      </c>
      <c r="O62" s="499" t="e">
        <f>N62*#REF!</f>
        <v>#REF!</v>
      </c>
      <c r="P62" s="500" t="e">
        <f t="shared" si="5"/>
        <v>#REF!</v>
      </c>
      <c r="Q62" s="501" t="e">
        <f>G62*M62*#REF!*60.78</f>
        <v>#REF!</v>
      </c>
      <c r="R62" s="504"/>
    </row>
    <row r="63" spans="1:19" ht="14.4" x14ac:dyDescent="0.3">
      <c r="A63" s="598"/>
      <c r="B63" s="595"/>
      <c r="C63" s="492" t="s">
        <v>674</v>
      </c>
      <c r="D63" s="494">
        <f>E63/60%</f>
        <v>109.74666666666667</v>
      </c>
      <c r="E63" s="493">
        <v>65.847999999999999</v>
      </c>
      <c r="F63" s="495">
        <v>4700</v>
      </c>
      <c r="G63" s="496">
        <f t="shared" si="0"/>
        <v>7.1472918701834374</v>
      </c>
      <c r="H63" s="497">
        <f t="shared" si="8"/>
        <v>0.6</v>
      </c>
      <c r="I63" s="498">
        <v>1066</v>
      </c>
      <c r="J63" s="499" t="e">
        <f>I63*#REF!/1000</f>
        <v>#REF!</v>
      </c>
      <c r="K63" s="499" t="e">
        <f>G63-J63</f>
        <v>#REF!</v>
      </c>
      <c r="L63" s="499" t="e">
        <f>K63*#REF!</f>
        <v>#REF!</v>
      </c>
      <c r="M63" s="492">
        <v>12</v>
      </c>
      <c r="N63" s="499" t="e">
        <f t="shared" si="3"/>
        <v>#REF!</v>
      </c>
      <c r="O63" s="499" t="e">
        <f>N63*#REF!</f>
        <v>#REF!</v>
      </c>
      <c r="P63" s="500" t="e">
        <f t="shared" si="5"/>
        <v>#REF!</v>
      </c>
      <c r="Q63" s="501" t="e">
        <f>G63*M63*#REF!*60.78</f>
        <v>#REF!</v>
      </c>
      <c r="R63" s="504"/>
    </row>
    <row r="64" spans="1:19" ht="14.4" x14ac:dyDescent="0.3">
      <c r="A64" s="599"/>
      <c r="B64" s="596"/>
      <c r="C64" s="492" t="s">
        <v>675</v>
      </c>
      <c r="D64" s="494">
        <f>E64/60%</f>
        <v>80.183333333333337</v>
      </c>
      <c r="E64" s="493">
        <v>48.11</v>
      </c>
      <c r="F64" s="495">
        <v>4700</v>
      </c>
      <c r="G64" s="496">
        <f t="shared" si="0"/>
        <v>5.2219689569087162</v>
      </c>
      <c r="H64" s="497">
        <f t="shared" si="8"/>
        <v>0.6</v>
      </c>
      <c r="I64" s="498">
        <v>963</v>
      </c>
      <c r="J64" s="499" t="e">
        <f>I64*#REF!/1000</f>
        <v>#REF!</v>
      </c>
      <c r="K64" s="499" t="e">
        <f t="shared" si="2"/>
        <v>#REF!</v>
      </c>
      <c r="L64" s="499" t="e">
        <f>K64*#REF!</f>
        <v>#REF!</v>
      </c>
      <c r="M64" s="492">
        <v>12</v>
      </c>
      <c r="N64" s="499" t="e">
        <f t="shared" si="3"/>
        <v>#REF!</v>
      </c>
      <c r="O64" s="499" t="e">
        <f>N64*#REF!</f>
        <v>#REF!</v>
      </c>
      <c r="P64" s="500" t="e">
        <f t="shared" si="5"/>
        <v>#REF!</v>
      </c>
      <c r="Q64" s="501" t="e">
        <f>G64*M64*#REF!*60.78</f>
        <v>#REF!</v>
      </c>
      <c r="R64" s="504"/>
    </row>
    <row r="65" spans="1:21" ht="14.4" x14ac:dyDescent="0.3">
      <c r="A65" s="597" t="s">
        <v>483</v>
      </c>
      <c r="B65" s="594" t="s">
        <v>649</v>
      </c>
      <c r="C65" s="492" t="s">
        <v>676</v>
      </c>
      <c r="D65" s="494">
        <v>43.5</v>
      </c>
      <c r="E65" s="510">
        <v>43.498209301364632</v>
      </c>
      <c r="F65" s="511">
        <v>15708</v>
      </c>
      <c r="G65" s="496">
        <f t="shared" si="0"/>
        <v>4.7213946924307644</v>
      </c>
      <c r="H65" s="497">
        <f t="shared" si="8"/>
        <v>0.99995883451412948</v>
      </c>
      <c r="I65" s="512">
        <v>2757.84</v>
      </c>
      <c r="J65" s="499" t="e">
        <f>I65*#REF!/1000</f>
        <v>#REF!</v>
      </c>
      <c r="K65" s="499" t="e">
        <f t="shared" si="2"/>
        <v>#REF!</v>
      </c>
      <c r="L65" s="499" t="e">
        <f>K65*#REF!</f>
        <v>#REF!</v>
      </c>
      <c r="M65" s="492">
        <v>8</v>
      </c>
      <c r="N65" s="499" t="e">
        <f t="shared" si="3"/>
        <v>#REF!</v>
      </c>
      <c r="O65" s="499" t="e">
        <f>N65*#REF!</f>
        <v>#REF!</v>
      </c>
      <c r="P65" s="500" t="e">
        <f t="shared" si="5"/>
        <v>#REF!</v>
      </c>
      <c r="Q65" s="501" t="e">
        <f>G65*M65*#REF!*60.78</f>
        <v>#REF!</v>
      </c>
      <c r="R65" s="504"/>
    </row>
    <row r="66" spans="1:21" ht="14.4" x14ac:dyDescent="0.3">
      <c r="A66" s="598"/>
      <c r="B66" s="595"/>
      <c r="C66" s="492" t="s">
        <v>677</v>
      </c>
      <c r="D66" s="494">
        <v>43.5</v>
      </c>
      <c r="E66" s="510">
        <v>32.445634741366938</v>
      </c>
      <c r="F66" s="511">
        <v>7301</v>
      </c>
      <c r="G66" s="496">
        <f t="shared" si="0"/>
        <v>3.5217230805781981</v>
      </c>
      <c r="H66" s="497">
        <f t="shared" si="8"/>
        <v>0.74587666072107905</v>
      </c>
      <c r="I66" s="512">
        <v>1697.81</v>
      </c>
      <c r="J66" s="499" t="e">
        <f>I66*#REF!/1000</f>
        <v>#REF!</v>
      </c>
      <c r="K66" s="499" t="e">
        <f t="shared" si="2"/>
        <v>#REF!</v>
      </c>
      <c r="L66" s="499" t="e">
        <f>K66*#REF!</f>
        <v>#REF!</v>
      </c>
      <c r="M66" s="492">
        <v>8</v>
      </c>
      <c r="N66" s="499" t="e">
        <f t="shared" si="3"/>
        <v>#REF!</v>
      </c>
      <c r="O66" s="499" t="e">
        <f>N66*#REF!</f>
        <v>#REF!</v>
      </c>
      <c r="P66" s="500" t="e">
        <f t="shared" si="5"/>
        <v>#REF!</v>
      </c>
      <c r="Q66" s="501" t="e">
        <f>G66*M66*#REF!*60.78</f>
        <v>#REF!</v>
      </c>
      <c r="R66" s="504"/>
    </row>
    <row r="67" spans="1:21" ht="14.4" x14ac:dyDescent="0.3">
      <c r="A67" s="598"/>
      <c r="B67" s="595"/>
      <c r="C67" s="492" t="s">
        <v>678</v>
      </c>
      <c r="D67" s="494">
        <v>43.5</v>
      </c>
      <c r="E67" s="510">
        <v>43.498209301364632</v>
      </c>
      <c r="F67" s="511">
        <v>15708</v>
      </c>
      <c r="G67" s="496">
        <f t="shared" ref="G67:G110" si="11">E67/$G$120</f>
        <v>4.7213946924307644</v>
      </c>
      <c r="H67" s="497">
        <f t="shared" si="8"/>
        <v>0.99995883451412948</v>
      </c>
      <c r="I67" s="512">
        <v>2757.84</v>
      </c>
      <c r="J67" s="499" t="e">
        <f>I67*#REF!/1000</f>
        <v>#REF!</v>
      </c>
      <c r="K67" s="499" t="e">
        <f t="shared" ref="K67:K110" si="12">G67-J67</f>
        <v>#REF!</v>
      </c>
      <c r="L67" s="499" t="e">
        <f>K67*#REF!</f>
        <v>#REF!</v>
      </c>
      <c r="M67" s="492">
        <v>4</v>
      </c>
      <c r="N67" s="499" t="e">
        <f t="shared" ref="N67:N111" si="13">K67*M67</f>
        <v>#REF!</v>
      </c>
      <c r="O67" s="499" t="e">
        <f>N67*#REF!</f>
        <v>#REF!</v>
      </c>
      <c r="P67" s="500"/>
      <c r="Q67" s="501"/>
      <c r="R67" s="504"/>
    </row>
    <row r="68" spans="1:21" ht="14.4" x14ac:dyDescent="0.3">
      <c r="A68" s="599"/>
      <c r="B68" s="596"/>
      <c r="C68" s="492" t="s">
        <v>679</v>
      </c>
      <c r="D68" s="494">
        <v>43.5</v>
      </c>
      <c r="E68" s="510">
        <v>32.445634741366938</v>
      </c>
      <c r="F68" s="511">
        <v>7301</v>
      </c>
      <c r="G68" s="496">
        <f t="shared" si="11"/>
        <v>3.5217230805781981</v>
      </c>
      <c r="H68" s="497">
        <f t="shared" si="8"/>
        <v>0.74587666072107905</v>
      </c>
      <c r="I68" s="512">
        <v>1697.81</v>
      </c>
      <c r="J68" s="499" t="e">
        <f>I68*#REF!/1000</f>
        <v>#REF!</v>
      </c>
      <c r="K68" s="499" t="e">
        <f t="shared" si="12"/>
        <v>#REF!</v>
      </c>
      <c r="L68" s="499" t="e">
        <f>K68*#REF!</f>
        <v>#REF!</v>
      </c>
      <c r="M68" s="492">
        <v>4</v>
      </c>
      <c r="N68" s="499" t="e">
        <f t="shared" si="13"/>
        <v>#REF!</v>
      </c>
      <c r="O68" s="499" t="e">
        <f>N68*#REF!</f>
        <v>#REF!</v>
      </c>
      <c r="P68" s="500"/>
      <c r="Q68" s="501"/>
      <c r="R68" s="504"/>
    </row>
    <row r="69" spans="1:21" ht="14.4" x14ac:dyDescent="0.3">
      <c r="A69" s="597" t="s">
        <v>680</v>
      </c>
      <c r="B69" s="594" t="s">
        <v>649</v>
      </c>
      <c r="C69" s="492" t="s">
        <v>681</v>
      </c>
      <c r="D69" s="494" t="s">
        <v>109</v>
      </c>
      <c r="E69" s="510">
        <v>15.09</v>
      </c>
      <c r="F69" s="495">
        <v>5900</v>
      </c>
      <c r="G69" s="496">
        <f t="shared" si="11"/>
        <v>1.6379029632041682</v>
      </c>
      <c r="H69" s="497" t="s">
        <v>109</v>
      </c>
      <c r="I69" s="512">
        <v>1185</v>
      </c>
      <c r="J69" s="499" t="e">
        <f>I69*#REF!/1000</f>
        <v>#REF!</v>
      </c>
      <c r="K69" s="499" t="e">
        <f t="shared" si="12"/>
        <v>#REF!</v>
      </c>
      <c r="L69" s="499" t="e">
        <f>K69*#REF!</f>
        <v>#REF!</v>
      </c>
      <c r="M69" s="492">
        <v>10</v>
      </c>
      <c r="N69" s="499" t="e">
        <f t="shared" si="13"/>
        <v>#REF!</v>
      </c>
      <c r="O69" s="499" t="e">
        <f>N69*#REF!</f>
        <v>#REF!</v>
      </c>
      <c r="P69" s="500" t="e">
        <f t="shared" si="5"/>
        <v>#REF!</v>
      </c>
      <c r="Q69" s="501" t="e">
        <f>G69*M69*#REF!*60.78</f>
        <v>#REF!</v>
      </c>
      <c r="R69" s="504"/>
    </row>
    <row r="70" spans="1:21" ht="14.4" x14ac:dyDescent="0.3">
      <c r="A70" s="598"/>
      <c r="B70" s="595"/>
      <c r="C70" s="492" t="s">
        <v>682</v>
      </c>
      <c r="D70" s="494" t="s">
        <v>109</v>
      </c>
      <c r="E70" s="510">
        <v>43.15</v>
      </c>
      <c r="F70" s="495">
        <v>55000</v>
      </c>
      <c r="G70" s="496">
        <f t="shared" si="11"/>
        <v>4.6835992619125149</v>
      </c>
      <c r="H70" s="497" t="s">
        <v>109</v>
      </c>
      <c r="I70" s="512">
        <v>3389</v>
      </c>
      <c r="J70" s="499" t="e">
        <f>I70*#REF!/1000</f>
        <v>#REF!</v>
      </c>
      <c r="K70" s="499" t="e">
        <f t="shared" si="12"/>
        <v>#REF!</v>
      </c>
      <c r="L70" s="499" t="e">
        <f>K70*#REF!</f>
        <v>#REF!</v>
      </c>
      <c r="M70" s="492">
        <v>10</v>
      </c>
      <c r="N70" s="499" t="e">
        <f t="shared" si="13"/>
        <v>#REF!</v>
      </c>
      <c r="O70" s="499" t="e">
        <f>N70*#REF!</f>
        <v>#REF!</v>
      </c>
      <c r="P70" s="500" t="e">
        <f t="shared" si="5"/>
        <v>#REF!</v>
      </c>
      <c r="Q70" s="501" t="e">
        <f>G70*M70*#REF!*60.78</f>
        <v>#REF!</v>
      </c>
      <c r="R70" s="504"/>
    </row>
    <row r="71" spans="1:21" ht="14.4" x14ac:dyDescent="0.3">
      <c r="A71" s="598"/>
      <c r="B71" s="595"/>
      <c r="C71" s="492" t="s">
        <v>683</v>
      </c>
      <c r="D71" s="494" t="s">
        <v>109</v>
      </c>
      <c r="E71" s="510">
        <v>23.03</v>
      </c>
      <c r="F71" s="495">
        <v>3200</v>
      </c>
      <c r="G71" s="496">
        <f t="shared" si="11"/>
        <v>2.4997286443069577</v>
      </c>
      <c r="H71" s="497" t="s">
        <v>109</v>
      </c>
      <c r="I71" s="512">
        <v>1809</v>
      </c>
      <c r="J71" s="499" t="e">
        <f>I71*#REF!/1000</f>
        <v>#REF!</v>
      </c>
      <c r="K71" s="499" t="e">
        <f t="shared" si="12"/>
        <v>#REF!</v>
      </c>
      <c r="L71" s="499" t="e">
        <f>K71*#REF!</f>
        <v>#REF!</v>
      </c>
      <c r="M71" s="492">
        <v>10</v>
      </c>
      <c r="N71" s="499" t="e">
        <f t="shared" si="13"/>
        <v>#REF!</v>
      </c>
      <c r="O71" s="499" t="e">
        <f>N71*#REF!</f>
        <v>#REF!</v>
      </c>
      <c r="P71" s="500" t="e">
        <f t="shared" si="5"/>
        <v>#REF!</v>
      </c>
      <c r="Q71" s="501" t="e">
        <f>G71*M71*#REF!*60.78</f>
        <v>#REF!</v>
      </c>
      <c r="R71" s="504"/>
    </row>
    <row r="72" spans="1:21" s="502" customFormat="1" ht="14.4" x14ac:dyDescent="0.3">
      <c r="A72" s="599"/>
      <c r="B72" s="596"/>
      <c r="C72" s="513" t="s">
        <v>684</v>
      </c>
      <c r="D72" s="514" t="s">
        <v>109</v>
      </c>
      <c r="E72" s="515">
        <v>1.03</v>
      </c>
      <c r="F72" s="516">
        <v>3200</v>
      </c>
      <c r="G72" s="517">
        <f t="shared" si="11"/>
        <v>0.11179854553348531</v>
      </c>
      <c r="H72" s="497" t="s">
        <v>109</v>
      </c>
      <c r="I72" s="512">
        <v>1141.43</v>
      </c>
      <c r="J72" s="499" t="e">
        <f>I72*#REF!/1000</f>
        <v>#REF!</v>
      </c>
      <c r="K72" s="499" t="e">
        <f t="shared" si="12"/>
        <v>#REF!</v>
      </c>
      <c r="L72" s="518" t="e">
        <f>K72*#REF!</f>
        <v>#REF!</v>
      </c>
      <c r="M72" s="513">
        <v>10</v>
      </c>
      <c r="N72" s="499" t="e">
        <f t="shared" si="13"/>
        <v>#REF!</v>
      </c>
      <c r="O72" s="499" t="e">
        <f>N72*#REF!</f>
        <v>#REF!</v>
      </c>
      <c r="P72" s="500" t="e">
        <f t="shared" si="5"/>
        <v>#REF!</v>
      </c>
      <c r="Q72" s="501" t="e">
        <f>G72*M72*#REF!*60.78</f>
        <v>#REF!</v>
      </c>
      <c r="R72" s="504"/>
      <c r="S72" s="480"/>
      <c r="U72" s="480"/>
    </row>
    <row r="73" spans="1:21" ht="14.4" x14ac:dyDescent="0.3">
      <c r="A73" s="519" t="s">
        <v>237</v>
      </c>
      <c r="B73" s="520" t="s">
        <v>649</v>
      </c>
      <c r="C73" s="521" t="s">
        <v>685</v>
      </c>
      <c r="D73" s="522">
        <v>82.8</v>
      </c>
      <c r="E73" s="523">
        <v>4.3600000000000003</v>
      </c>
      <c r="F73" s="524">
        <v>175</v>
      </c>
      <c r="G73" s="496">
        <f t="shared" si="11"/>
        <v>0.47324432866601551</v>
      </c>
      <c r="H73" s="497">
        <f t="shared" ref="H73:H110" si="14">E73/D73</f>
        <v>5.2657004830917883E-2</v>
      </c>
      <c r="I73" s="498">
        <v>0</v>
      </c>
      <c r="J73" s="499" t="e">
        <f>I73*#REF!/1000</f>
        <v>#REF!</v>
      </c>
      <c r="K73" s="499" t="e">
        <f t="shared" si="12"/>
        <v>#REF!</v>
      </c>
      <c r="L73" s="499" t="e">
        <f>K73*#REF!</f>
        <v>#REF!</v>
      </c>
      <c r="M73" s="521">
        <v>10</v>
      </c>
      <c r="N73" s="499" t="e">
        <f t="shared" si="13"/>
        <v>#REF!</v>
      </c>
      <c r="O73" s="499" t="e">
        <f>N73*#REF!</f>
        <v>#REF!</v>
      </c>
      <c r="P73" s="500" t="e">
        <f t="shared" si="5"/>
        <v>#REF!</v>
      </c>
      <c r="Q73" s="501" t="e">
        <f>G73*M73*#REF!*60.78</f>
        <v>#REF!</v>
      </c>
      <c r="R73" s="504"/>
    </row>
    <row r="74" spans="1:21" ht="14.4" x14ac:dyDescent="0.3">
      <c r="A74" s="519" t="s">
        <v>238</v>
      </c>
      <c r="B74" s="520" t="s">
        <v>649</v>
      </c>
      <c r="C74" s="492" t="s">
        <v>686</v>
      </c>
      <c r="D74" s="494">
        <v>38.299999999999997</v>
      </c>
      <c r="E74" s="493">
        <v>6.1589999999999998</v>
      </c>
      <c r="F74" s="495">
        <v>2825</v>
      </c>
      <c r="G74" s="496">
        <f t="shared" si="11"/>
        <v>0.66851188537935524</v>
      </c>
      <c r="H74" s="497">
        <f t="shared" si="14"/>
        <v>0.16080939947780679</v>
      </c>
      <c r="I74" s="498">
        <v>30</v>
      </c>
      <c r="J74" s="499" t="e">
        <f>I74*#REF!/1000</f>
        <v>#REF!</v>
      </c>
      <c r="K74" s="499" t="e">
        <f t="shared" si="12"/>
        <v>#REF!</v>
      </c>
      <c r="L74" s="499" t="e">
        <f>K74*#REF!</f>
        <v>#REF!</v>
      </c>
      <c r="M74" s="492">
        <v>8</v>
      </c>
      <c r="N74" s="499" t="e">
        <f t="shared" si="13"/>
        <v>#REF!</v>
      </c>
      <c r="O74" s="499" t="e">
        <f>N74*#REF!</f>
        <v>#REF!</v>
      </c>
      <c r="P74" s="500" t="e">
        <f t="shared" si="5"/>
        <v>#REF!</v>
      </c>
      <c r="Q74" s="501" t="e">
        <f>G74*M74*#REF!*60.78</f>
        <v>#REF!</v>
      </c>
      <c r="R74" s="504"/>
    </row>
    <row r="75" spans="1:21" ht="14.4" x14ac:dyDescent="0.3">
      <c r="A75" s="519" t="s">
        <v>687</v>
      </c>
      <c r="B75" s="520" t="s">
        <v>649</v>
      </c>
      <c r="C75" s="492" t="s">
        <v>688</v>
      </c>
      <c r="D75" s="494" t="s">
        <v>109</v>
      </c>
      <c r="E75" s="494" t="s">
        <v>109</v>
      </c>
      <c r="F75" s="495">
        <v>450000</v>
      </c>
      <c r="G75" s="499" t="s">
        <v>109</v>
      </c>
      <c r="H75" s="499" t="s">
        <v>109</v>
      </c>
      <c r="I75" s="498" t="s">
        <v>109</v>
      </c>
      <c r="J75" s="499" t="s">
        <v>109</v>
      </c>
      <c r="K75" s="499" t="e">
        <f t="shared" si="12"/>
        <v>#VALUE!</v>
      </c>
      <c r="L75" s="499" t="e">
        <f>K75*#REF!</f>
        <v>#VALUE!</v>
      </c>
      <c r="M75" s="492">
        <v>12</v>
      </c>
      <c r="N75" s="499" t="e">
        <f t="shared" si="13"/>
        <v>#VALUE!</v>
      </c>
      <c r="O75" s="499" t="e">
        <f>N75*#REF!</f>
        <v>#VALUE!</v>
      </c>
      <c r="P75" s="500" t="e">
        <f t="shared" ref="P75:P111" si="15">O75*60.78</f>
        <v>#VALUE!</v>
      </c>
      <c r="Q75" s="501" t="e">
        <f>G75*M75*#REF!*60.78</f>
        <v>#VALUE!</v>
      </c>
      <c r="R75" s="504"/>
    </row>
    <row r="76" spans="1:21" ht="14.4" x14ac:dyDescent="0.3">
      <c r="A76" s="519" t="s">
        <v>689</v>
      </c>
      <c r="B76" s="520" t="s">
        <v>649</v>
      </c>
      <c r="C76" s="492" t="s">
        <v>690</v>
      </c>
      <c r="D76" s="494" t="s">
        <v>109</v>
      </c>
      <c r="E76" s="494" t="s">
        <v>109</v>
      </c>
      <c r="F76" s="495">
        <v>128796</v>
      </c>
      <c r="G76" s="499" t="s">
        <v>109</v>
      </c>
      <c r="H76" s="499" t="s">
        <v>109</v>
      </c>
      <c r="I76" s="498" t="s">
        <v>109</v>
      </c>
      <c r="J76" s="499" t="s">
        <v>109</v>
      </c>
      <c r="K76" s="499" t="e">
        <f t="shared" si="12"/>
        <v>#VALUE!</v>
      </c>
      <c r="L76" s="499" t="e">
        <f>K76*#REF!</f>
        <v>#VALUE!</v>
      </c>
      <c r="M76" s="492">
        <v>12</v>
      </c>
      <c r="N76" s="499" t="e">
        <f t="shared" si="13"/>
        <v>#VALUE!</v>
      </c>
      <c r="O76" s="499" t="e">
        <f>N76*#REF!</f>
        <v>#VALUE!</v>
      </c>
      <c r="P76" s="500" t="e">
        <f t="shared" si="15"/>
        <v>#VALUE!</v>
      </c>
      <c r="Q76" s="501" t="e">
        <f>G76*M76*#REF!*60.78</f>
        <v>#VALUE!</v>
      </c>
      <c r="R76" s="504"/>
    </row>
    <row r="77" spans="1:21" ht="14.4" x14ac:dyDescent="0.3">
      <c r="A77" s="519" t="s">
        <v>691</v>
      </c>
      <c r="B77" s="520" t="s">
        <v>649</v>
      </c>
      <c r="C77" s="492" t="s">
        <v>692</v>
      </c>
      <c r="D77" s="494" t="s">
        <v>109</v>
      </c>
      <c r="E77" s="494" t="s">
        <v>109</v>
      </c>
      <c r="F77" s="495">
        <v>75000</v>
      </c>
      <c r="G77" s="499" t="s">
        <v>109</v>
      </c>
      <c r="H77" s="499" t="s">
        <v>109</v>
      </c>
      <c r="I77" s="498" t="s">
        <v>109</v>
      </c>
      <c r="J77" s="499" t="s">
        <v>109</v>
      </c>
      <c r="K77" s="499" t="e">
        <f t="shared" si="12"/>
        <v>#VALUE!</v>
      </c>
      <c r="L77" s="499" t="e">
        <f>K77*#REF!</f>
        <v>#VALUE!</v>
      </c>
      <c r="M77" s="492">
        <v>8</v>
      </c>
      <c r="N77" s="499" t="e">
        <f t="shared" si="13"/>
        <v>#VALUE!</v>
      </c>
      <c r="O77" s="499" t="e">
        <f>N77*#REF!</f>
        <v>#VALUE!</v>
      </c>
      <c r="P77" s="500" t="e">
        <f t="shared" si="15"/>
        <v>#VALUE!</v>
      </c>
      <c r="Q77" s="501" t="e">
        <f>G77*M77*#REF!*60.78</f>
        <v>#VALUE!</v>
      </c>
      <c r="R77" s="504"/>
    </row>
    <row r="78" spans="1:21" ht="14.4" x14ac:dyDescent="0.3">
      <c r="A78" s="600" t="s">
        <v>239</v>
      </c>
      <c r="B78" s="520" t="s">
        <v>649</v>
      </c>
      <c r="C78" s="521" t="s">
        <v>693</v>
      </c>
      <c r="D78" s="494">
        <v>12.1</v>
      </c>
      <c r="E78" s="493">
        <v>0.1386</v>
      </c>
      <c r="F78" s="495">
        <v>8</v>
      </c>
      <c r="G78" s="496">
        <f t="shared" si="11"/>
        <v>1.5043959622272876E-2</v>
      </c>
      <c r="H78" s="497">
        <f t="shared" si="14"/>
        <v>1.1454545454545455E-2</v>
      </c>
      <c r="I78" s="498">
        <v>0</v>
      </c>
      <c r="J78" s="499" t="e">
        <f>I78*#REF!/1000</f>
        <v>#REF!</v>
      </c>
      <c r="K78" s="499" t="e">
        <f t="shared" si="12"/>
        <v>#REF!</v>
      </c>
      <c r="L78" s="499" t="e">
        <f>K78*#REF!</f>
        <v>#REF!</v>
      </c>
      <c r="M78" s="492">
        <v>10</v>
      </c>
      <c r="N78" s="499" t="e">
        <f t="shared" si="13"/>
        <v>#REF!</v>
      </c>
      <c r="O78" s="499" t="e">
        <f>N78*#REF!</f>
        <v>#REF!</v>
      </c>
      <c r="P78" s="500" t="e">
        <f t="shared" si="15"/>
        <v>#REF!</v>
      </c>
      <c r="Q78" s="501" t="e">
        <f>G78*M78*#REF!*60.78</f>
        <v>#REF!</v>
      </c>
      <c r="R78" s="504"/>
    </row>
    <row r="79" spans="1:21" ht="14.4" x14ac:dyDescent="0.3">
      <c r="A79" s="601"/>
      <c r="B79" s="520" t="s">
        <v>649</v>
      </c>
      <c r="C79" s="521" t="s">
        <v>694</v>
      </c>
      <c r="D79" s="494">
        <v>12.1</v>
      </c>
      <c r="E79" s="493">
        <v>9.8400000000000001E-2</v>
      </c>
      <c r="F79" s="495">
        <v>8</v>
      </c>
      <c r="G79" s="496">
        <f t="shared" si="11"/>
        <v>1.0680560078150441E-2</v>
      </c>
      <c r="H79" s="497">
        <f t="shared" si="14"/>
        <v>8.1322314049586779E-3</v>
      </c>
      <c r="I79" s="498">
        <v>0</v>
      </c>
      <c r="J79" s="499" t="e">
        <f>I79*#REF!/1000</f>
        <v>#REF!</v>
      </c>
      <c r="K79" s="499" t="e">
        <f t="shared" si="12"/>
        <v>#REF!</v>
      </c>
      <c r="L79" s="499" t="e">
        <f>K79*#REF!</f>
        <v>#REF!</v>
      </c>
      <c r="M79" s="492">
        <v>10</v>
      </c>
      <c r="N79" s="499" t="e">
        <f t="shared" si="13"/>
        <v>#REF!</v>
      </c>
      <c r="O79" s="499" t="e">
        <f>N79*#REF!</f>
        <v>#REF!</v>
      </c>
      <c r="P79" s="500" t="e">
        <f t="shared" si="15"/>
        <v>#REF!</v>
      </c>
      <c r="Q79" s="501" t="e">
        <f>G79*M79*#REF!*60.78</f>
        <v>#REF!</v>
      </c>
      <c r="R79" s="504"/>
    </row>
    <row r="80" spans="1:21" ht="14.4" x14ac:dyDescent="0.3">
      <c r="A80" s="602"/>
      <c r="B80" s="520" t="s">
        <v>649</v>
      </c>
      <c r="C80" s="521" t="s">
        <v>695</v>
      </c>
      <c r="D80" s="494">
        <v>12.1</v>
      </c>
      <c r="E80" s="493">
        <v>5.7099999999999998E-2</v>
      </c>
      <c r="F80" s="495">
        <v>3</v>
      </c>
      <c r="G80" s="496">
        <f t="shared" si="11"/>
        <v>6.1977640290893305E-3</v>
      </c>
      <c r="H80" s="497">
        <f t="shared" si="14"/>
        <v>4.7190082644628095E-3</v>
      </c>
      <c r="I80" s="498">
        <v>0</v>
      </c>
      <c r="J80" s="499" t="e">
        <f>I80*#REF!/1000</f>
        <v>#REF!</v>
      </c>
      <c r="K80" s="499" t="e">
        <f t="shared" si="12"/>
        <v>#REF!</v>
      </c>
      <c r="L80" s="499" t="e">
        <f>K80*#REF!</f>
        <v>#REF!</v>
      </c>
      <c r="M80" s="492">
        <v>10</v>
      </c>
      <c r="N80" s="499" t="e">
        <f t="shared" si="13"/>
        <v>#REF!</v>
      </c>
      <c r="O80" s="499" t="e">
        <f>N80*#REF!</f>
        <v>#REF!</v>
      </c>
      <c r="P80" s="500" t="e">
        <f t="shared" si="15"/>
        <v>#REF!</v>
      </c>
      <c r="Q80" s="501" t="e">
        <f>G80*M80*#REF!*60.78</f>
        <v>#REF!</v>
      </c>
      <c r="R80" s="504"/>
    </row>
    <row r="81" spans="1:19" ht="14.4" x14ac:dyDescent="0.3">
      <c r="A81" s="525" t="s">
        <v>240</v>
      </c>
      <c r="B81" s="520" t="s">
        <v>649</v>
      </c>
      <c r="C81" s="492" t="s">
        <v>696</v>
      </c>
      <c r="D81" s="494">
        <v>12.1</v>
      </c>
      <c r="E81" s="493">
        <v>1.6</v>
      </c>
      <c r="F81" s="495">
        <v>15</v>
      </c>
      <c r="G81" s="496">
        <f t="shared" si="11"/>
        <v>0.17366764354716163</v>
      </c>
      <c r="H81" s="497">
        <f t="shared" si="14"/>
        <v>0.13223140495867769</v>
      </c>
      <c r="I81" s="498">
        <v>0</v>
      </c>
      <c r="J81" s="499" t="e">
        <f>I81*#REF!/1000</f>
        <v>#REF!</v>
      </c>
      <c r="K81" s="499" t="e">
        <f t="shared" si="12"/>
        <v>#REF!</v>
      </c>
      <c r="L81" s="499" t="e">
        <f>K81*#REF!</f>
        <v>#REF!</v>
      </c>
      <c r="M81" s="492">
        <v>10</v>
      </c>
      <c r="N81" s="499" t="e">
        <f t="shared" si="13"/>
        <v>#REF!</v>
      </c>
      <c r="O81" s="499" t="e">
        <f>N81*#REF!</f>
        <v>#REF!</v>
      </c>
      <c r="P81" s="500" t="e">
        <f t="shared" si="15"/>
        <v>#REF!</v>
      </c>
      <c r="Q81" s="501" t="e">
        <f>G81*M81*#REF!*60.78</f>
        <v>#REF!</v>
      </c>
      <c r="R81" s="504"/>
    </row>
    <row r="82" spans="1:19" ht="14.4" x14ac:dyDescent="0.3">
      <c r="A82" s="593" t="s">
        <v>241</v>
      </c>
      <c r="B82" s="520" t="s">
        <v>649</v>
      </c>
      <c r="C82" s="492" t="s">
        <v>697</v>
      </c>
      <c r="D82" s="494">
        <v>15.02</v>
      </c>
      <c r="E82" s="493">
        <v>7.69</v>
      </c>
      <c r="F82" s="495">
        <v>11200</v>
      </c>
      <c r="G82" s="496">
        <f t="shared" si="11"/>
        <v>0.83469011179854569</v>
      </c>
      <c r="H82" s="497">
        <f t="shared" si="14"/>
        <v>0.51198402130492682</v>
      </c>
      <c r="I82" s="498">
        <v>0</v>
      </c>
      <c r="J82" s="499" t="e">
        <f>I82*#REF!/1000</f>
        <v>#REF!</v>
      </c>
      <c r="K82" s="499" t="e">
        <f t="shared" si="12"/>
        <v>#REF!</v>
      </c>
      <c r="L82" s="499" t="e">
        <f>K82*#REF!</f>
        <v>#REF!</v>
      </c>
      <c r="M82" s="492">
        <v>20</v>
      </c>
      <c r="N82" s="499" t="e">
        <f t="shared" si="13"/>
        <v>#REF!</v>
      </c>
      <c r="O82" s="499" t="e">
        <f>N82*#REF!</f>
        <v>#REF!</v>
      </c>
      <c r="P82" s="500" t="e">
        <f t="shared" si="15"/>
        <v>#REF!</v>
      </c>
      <c r="Q82" s="501" t="e">
        <f>G82*M82*#REF!*60.78</f>
        <v>#REF!</v>
      </c>
      <c r="R82" s="504"/>
    </row>
    <row r="83" spans="1:19" ht="14.4" x14ac:dyDescent="0.3">
      <c r="A83" s="593"/>
      <c r="B83" s="520" t="s">
        <v>649</v>
      </c>
      <c r="C83" s="492" t="s">
        <v>698</v>
      </c>
      <c r="D83" s="494">
        <v>15.02</v>
      </c>
      <c r="E83" s="493">
        <v>9.7799999999999994</v>
      </c>
      <c r="F83" s="495">
        <v>11200</v>
      </c>
      <c r="G83" s="496">
        <f t="shared" si="11"/>
        <v>1.0615434711820255</v>
      </c>
      <c r="H83" s="497">
        <f t="shared" si="14"/>
        <v>0.65113182423435412</v>
      </c>
      <c r="I83" s="498">
        <v>0</v>
      </c>
      <c r="J83" s="499" t="e">
        <f>I83*#REF!/1000</f>
        <v>#REF!</v>
      </c>
      <c r="K83" s="499" t="e">
        <f t="shared" si="12"/>
        <v>#REF!</v>
      </c>
      <c r="L83" s="499" t="e">
        <f>K83*#REF!</f>
        <v>#REF!</v>
      </c>
      <c r="M83" s="492">
        <v>20</v>
      </c>
      <c r="N83" s="499" t="e">
        <f t="shared" si="13"/>
        <v>#REF!</v>
      </c>
      <c r="O83" s="499" t="e">
        <f>N83*#REF!</f>
        <v>#REF!</v>
      </c>
      <c r="P83" s="500" t="e">
        <f t="shared" si="15"/>
        <v>#REF!</v>
      </c>
      <c r="Q83" s="501" t="e">
        <f>G83*M83*#REF!*60.78</f>
        <v>#REF!</v>
      </c>
      <c r="R83" s="504"/>
    </row>
    <row r="84" spans="1:19" ht="14.4" x14ac:dyDescent="0.3">
      <c r="A84" s="593"/>
      <c r="B84" s="520" t="s">
        <v>649</v>
      </c>
      <c r="C84" s="492" t="s">
        <v>699</v>
      </c>
      <c r="D84" s="494">
        <v>15.02</v>
      </c>
      <c r="E84" s="493">
        <v>10.95</v>
      </c>
      <c r="F84" s="495">
        <v>11200</v>
      </c>
      <c r="G84" s="496">
        <f t="shared" si="11"/>
        <v>1.1885379355258874</v>
      </c>
      <c r="H84" s="497">
        <f t="shared" si="14"/>
        <v>0.72902796271637815</v>
      </c>
      <c r="I84" s="498">
        <v>0</v>
      </c>
      <c r="J84" s="499" t="e">
        <f>I84*#REF!/1000</f>
        <v>#REF!</v>
      </c>
      <c r="K84" s="499" t="e">
        <f t="shared" si="12"/>
        <v>#REF!</v>
      </c>
      <c r="L84" s="499" t="e">
        <f>K84*#REF!</f>
        <v>#REF!</v>
      </c>
      <c r="M84" s="492">
        <v>20</v>
      </c>
      <c r="N84" s="499" t="e">
        <f t="shared" si="13"/>
        <v>#REF!</v>
      </c>
      <c r="O84" s="499" t="e">
        <f>N84*#REF!</f>
        <v>#REF!</v>
      </c>
      <c r="P84" s="500" t="e">
        <f t="shared" si="15"/>
        <v>#REF!</v>
      </c>
      <c r="Q84" s="501" t="e">
        <f>G84*M84*#REF!*60.78</f>
        <v>#REF!</v>
      </c>
      <c r="R84" s="504"/>
    </row>
    <row r="85" spans="1:19" ht="14.4" x14ac:dyDescent="0.3">
      <c r="A85" s="593"/>
      <c r="B85" s="520" t="s">
        <v>649</v>
      </c>
      <c r="C85" s="492" t="s">
        <v>700</v>
      </c>
      <c r="D85" s="494">
        <v>15.02</v>
      </c>
      <c r="E85" s="493">
        <v>11.86</v>
      </c>
      <c r="F85" s="495">
        <v>11200</v>
      </c>
      <c r="G85" s="496">
        <f t="shared" si="11"/>
        <v>1.2873114077933356</v>
      </c>
      <c r="H85" s="497">
        <f t="shared" si="14"/>
        <v>0.78961384820239677</v>
      </c>
      <c r="I85" s="498">
        <v>0</v>
      </c>
      <c r="J85" s="499" t="e">
        <f>I85*#REF!/1000</f>
        <v>#REF!</v>
      </c>
      <c r="K85" s="499" t="e">
        <f t="shared" si="12"/>
        <v>#REF!</v>
      </c>
      <c r="L85" s="499" t="e">
        <f>K85*#REF!</f>
        <v>#REF!</v>
      </c>
      <c r="M85" s="492">
        <v>20</v>
      </c>
      <c r="N85" s="499" t="e">
        <f t="shared" si="13"/>
        <v>#REF!</v>
      </c>
      <c r="O85" s="499" t="e">
        <f>N85*#REF!</f>
        <v>#REF!</v>
      </c>
      <c r="P85" s="500" t="e">
        <f t="shared" si="15"/>
        <v>#REF!</v>
      </c>
      <c r="Q85" s="501" t="e">
        <f>G85*M85*#REF!*60.78</f>
        <v>#REF!</v>
      </c>
      <c r="R85" s="504"/>
    </row>
    <row r="86" spans="1:19" s="502" customFormat="1" ht="14.4" x14ac:dyDescent="0.3">
      <c r="A86" s="608" t="s">
        <v>701</v>
      </c>
      <c r="B86" s="604" t="s">
        <v>649</v>
      </c>
      <c r="C86" s="526" t="s">
        <v>702</v>
      </c>
      <c r="D86" s="527">
        <v>137.4</v>
      </c>
      <c r="E86" s="528">
        <v>137.4</v>
      </c>
      <c r="F86" s="511" t="s">
        <v>109</v>
      </c>
      <c r="G86" s="517">
        <f t="shared" si="11"/>
        <v>14.913708889612506</v>
      </c>
      <c r="H86" s="529">
        <f t="shared" si="14"/>
        <v>1</v>
      </c>
      <c r="I86" s="512">
        <v>13885.505186780467</v>
      </c>
      <c r="J86" s="499" t="e">
        <f>I86*#REF!/1000</f>
        <v>#REF!</v>
      </c>
      <c r="K86" s="518" t="e">
        <f t="shared" si="12"/>
        <v>#REF!</v>
      </c>
      <c r="L86" s="518" t="e">
        <f>K86*#REF!</f>
        <v>#REF!</v>
      </c>
      <c r="M86" s="526">
        <v>8</v>
      </c>
      <c r="N86" s="518" t="e">
        <f t="shared" si="13"/>
        <v>#REF!</v>
      </c>
      <c r="O86" s="518" t="e">
        <f>N86*#REF!</f>
        <v>#REF!</v>
      </c>
      <c r="P86" s="500" t="e">
        <f t="shared" si="15"/>
        <v>#REF!</v>
      </c>
      <c r="Q86" s="501" t="e">
        <f>G86*M86*#REF!*60.78</f>
        <v>#REF!</v>
      </c>
      <c r="R86" s="504"/>
      <c r="S86" s="480"/>
    </row>
    <row r="87" spans="1:19" s="502" customFormat="1" ht="14.4" x14ac:dyDescent="0.3">
      <c r="A87" s="608"/>
      <c r="B87" s="606"/>
      <c r="C87" s="526" t="s">
        <v>703</v>
      </c>
      <c r="D87" s="527">
        <v>137.4</v>
      </c>
      <c r="E87" s="528">
        <v>137.4</v>
      </c>
      <c r="F87" s="511" t="s">
        <v>109</v>
      </c>
      <c r="G87" s="517">
        <f t="shared" si="11"/>
        <v>14.913708889612506</v>
      </c>
      <c r="H87" s="529">
        <f t="shared" si="14"/>
        <v>1</v>
      </c>
      <c r="I87" s="512">
        <v>13885.505186780467</v>
      </c>
      <c r="J87" s="499" t="e">
        <f>I87*#REF!/1000</f>
        <v>#REF!</v>
      </c>
      <c r="K87" s="518" t="e">
        <f t="shared" si="12"/>
        <v>#REF!</v>
      </c>
      <c r="L87" s="518" t="e">
        <f>K87*#REF!</f>
        <v>#REF!</v>
      </c>
      <c r="M87" s="526">
        <v>4</v>
      </c>
      <c r="N87" s="518" t="e">
        <f t="shared" si="13"/>
        <v>#REF!</v>
      </c>
      <c r="O87" s="518" t="e">
        <f>N87*#REF!</f>
        <v>#REF!</v>
      </c>
      <c r="P87" s="500" t="e">
        <f t="shared" si="15"/>
        <v>#REF!</v>
      </c>
      <c r="Q87" s="501" t="e">
        <f>G87*M87*#REF!*60.78</f>
        <v>#REF!</v>
      </c>
      <c r="R87" s="504"/>
      <c r="S87" s="480"/>
    </row>
    <row r="88" spans="1:19" s="502" customFormat="1" ht="14.4" x14ac:dyDescent="0.3">
      <c r="A88" s="530" t="s">
        <v>704</v>
      </c>
      <c r="B88" s="531" t="s">
        <v>649</v>
      </c>
      <c r="C88" s="526" t="s">
        <v>705</v>
      </c>
      <c r="D88" s="527">
        <v>7.8324999999999996</v>
      </c>
      <c r="E88" s="510">
        <v>7.8324999999999996</v>
      </c>
      <c r="F88" s="511" t="s">
        <v>109</v>
      </c>
      <c r="G88" s="517">
        <f t="shared" si="11"/>
        <v>0.85015738630196469</v>
      </c>
      <c r="H88" s="529">
        <f t="shared" si="14"/>
        <v>1</v>
      </c>
      <c r="I88" s="512">
        <v>757.50812185089751</v>
      </c>
      <c r="J88" s="499" t="e">
        <f>I88*#REF!/1000</f>
        <v>#REF!</v>
      </c>
      <c r="K88" s="518" t="e">
        <f t="shared" si="12"/>
        <v>#REF!</v>
      </c>
      <c r="L88" s="518" t="e">
        <f>K88*#REF!</f>
        <v>#REF!</v>
      </c>
      <c r="M88" s="526">
        <v>5</v>
      </c>
      <c r="N88" s="518" t="e">
        <f t="shared" si="13"/>
        <v>#REF!</v>
      </c>
      <c r="O88" s="518" t="e">
        <f>N88*#REF!</f>
        <v>#REF!</v>
      </c>
      <c r="P88" s="500" t="e">
        <f t="shared" si="15"/>
        <v>#REF!</v>
      </c>
      <c r="Q88" s="501" t="e">
        <f>G88*M88*#REF!*60.78</f>
        <v>#REF!</v>
      </c>
      <c r="R88" s="504"/>
      <c r="S88" s="480"/>
    </row>
    <row r="89" spans="1:19" s="502" customFormat="1" ht="14.4" x14ac:dyDescent="0.3">
      <c r="A89" s="608" t="s">
        <v>706</v>
      </c>
      <c r="B89" s="609" t="s">
        <v>649</v>
      </c>
      <c r="C89" s="526" t="s">
        <v>707</v>
      </c>
      <c r="D89" s="527">
        <v>82.8</v>
      </c>
      <c r="E89" s="510">
        <v>47.8808842962261</v>
      </c>
      <c r="F89" s="511">
        <v>5746</v>
      </c>
      <c r="G89" s="517">
        <f t="shared" si="11"/>
        <v>5.1971002166749267</v>
      </c>
      <c r="H89" s="529">
        <f t="shared" si="14"/>
        <v>0.57827154947132975</v>
      </c>
      <c r="I89" s="512">
        <v>4472.34711132546</v>
      </c>
      <c r="J89" s="499" t="e">
        <f>I89*#REF!/1000</f>
        <v>#REF!</v>
      </c>
      <c r="K89" s="518" t="e">
        <f t="shared" si="12"/>
        <v>#REF!</v>
      </c>
      <c r="L89" s="518" t="e">
        <f>K89*#REF!</f>
        <v>#REF!</v>
      </c>
      <c r="M89" s="526">
        <v>18</v>
      </c>
      <c r="N89" s="518" t="e">
        <f t="shared" si="13"/>
        <v>#REF!</v>
      </c>
      <c r="O89" s="518" t="e">
        <f>N89*#REF!</f>
        <v>#REF!</v>
      </c>
      <c r="P89" s="500" t="e">
        <f t="shared" si="15"/>
        <v>#REF!</v>
      </c>
      <c r="Q89" s="506" t="e">
        <f>G89*M89*#REF!*60.78</f>
        <v>#REF!</v>
      </c>
      <c r="R89" s="532"/>
    </row>
    <row r="90" spans="1:19" s="502" customFormat="1" ht="14.4" x14ac:dyDescent="0.3">
      <c r="A90" s="608"/>
      <c r="B90" s="609"/>
      <c r="C90" s="526" t="s">
        <v>708</v>
      </c>
      <c r="D90" s="527">
        <v>82.8</v>
      </c>
      <c r="E90" s="510">
        <v>61.455281620035414</v>
      </c>
      <c r="F90" s="511">
        <v>7591</v>
      </c>
      <c r="G90" s="517">
        <f t="shared" si="11"/>
        <v>6.6704962140492148</v>
      </c>
      <c r="H90" s="529">
        <f t="shared" si="14"/>
        <v>0.74221354613569346</v>
      </c>
      <c r="I90" s="512">
        <v>5692.4423332767701</v>
      </c>
      <c r="J90" s="499" t="e">
        <f>I90*#REF!/1000</f>
        <v>#REF!</v>
      </c>
      <c r="K90" s="518" t="e">
        <f t="shared" si="12"/>
        <v>#REF!</v>
      </c>
      <c r="L90" s="518" t="e">
        <f>K90*#REF!</f>
        <v>#REF!</v>
      </c>
      <c r="M90" s="526">
        <v>18</v>
      </c>
      <c r="N90" s="518" t="e">
        <f t="shared" si="13"/>
        <v>#REF!</v>
      </c>
      <c r="O90" s="518" t="e">
        <f>N90*#REF!</f>
        <v>#REF!</v>
      </c>
      <c r="P90" s="500" t="e">
        <f t="shared" si="15"/>
        <v>#REF!</v>
      </c>
      <c r="Q90" s="506" t="e">
        <f>G90*M90*#REF!*60.78</f>
        <v>#REF!</v>
      </c>
      <c r="R90" s="532"/>
    </row>
    <row r="91" spans="1:19" s="502" customFormat="1" ht="14.4" x14ac:dyDescent="0.3">
      <c r="A91" s="608"/>
      <c r="B91" s="609"/>
      <c r="C91" s="526" t="s">
        <v>709</v>
      </c>
      <c r="D91" s="527">
        <v>82.8</v>
      </c>
      <c r="E91" s="510">
        <v>88.126943203513477</v>
      </c>
      <c r="F91" s="511">
        <v>9542</v>
      </c>
      <c r="G91" s="517">
        <f t="shared" si="11"/>
        <v>9.5654990994804603</v>
      </c>
      <c r="H91" s="529">
        <f t="shared" si="14"/>
        <v>1.0643350628443657</v>
      </c>
      <c r="I91" s="512">
        <v>7799.1790221964402</v>
      </c>
      <c r="J91" s="499" t="e">
        <f>I91*#REF!/1000</f>
        <v>#REF!</v>
      </c>
      <c r="K91" s="518" t="e">
        <f t="shared" si="12"/>
        <v>#REF!</v>
      </c>
      <c r="L91" s="518" t="e">
        <f>K91*#REF!</f>
        <v>#REF!</v>
      </c>
      <c r="M91" s="526">
        <v>18</v>
      </c>
      <c r="N91" s="518" t="e">
        <f t="shared" si="13"/>
        <v>#REF!</v>
      </c>
      <c r="O91" s="518" t="e">
        <f>N91*#REF!</f>
        <v>#REF!</v>
      </c>
      <c r="P91" s="500" t="e">
        <f t="shared" si="15"/>
        <v>#REF!</v>
      </c>
      <c r="Q91" s="506" t="e">
        <f>G91*M91*#REF!*60.78</f>
        <v>#REF!</v>
      </c>
      <c r="R91" s="532"/>
    </row>
    <row r="92" spans="1:19" s="502" customFormat="1" ht="14.4" x14ac:dyDescent="0.3">
      <c r="A92" s="608"/>
      <c r="B92" s="609"/>
      <c r="C92" s="526" t="s">
        <v>710</v>
      </c>
      <c r="D92" s="527" t="s">
        <v>109</v>
      </c>
      <c r="E92" s="510">
        <v>50.816373549601742</v>
      </c>
      <c r="F92" s="511">
        <v>5746</v>
      </c>
      <c r="G92" s="517">
        <f t="shared" si="11"/>
        <v>5.5157249049822799</v>
      </c>
      <c r="H92" s="529" t="e">
        <f t="shared" si="14"/>
        <v>#VALUE!</v>
      </c>
      <c r="I92" s="512">
        <v>2921.2185072621</v>
      </c>
      <c r="J92" s="499" t="e">
        <f>I92*#REF!/1000</f>
        <v>#REF!</v>
      </c>
      <c r="K92" s="518" t="e">
        <f t="shared" si="12"/>
        <v>#REF!</v>
      </c>
      <c r="L92" s="518" t="e">
        <f>K92*#REF!</f>
        <v>#REF!</v>
      </c>
      <c r="M92" s="526">
        <v>18</v>
      </c>
      <c r="N92" s="518" t="e">
        <f t="shared" si="13"/>
        <v>#REF!</v>
      </c>
      <c r="O92" s="518" t="e">
        <f>N92*#REF!</f>
        <v>#REF!</v>
      </c>
      <c r="P92" s="500" t="e">
        <f t="shared" si="15"/>
        <v>#REF!</v>
      </c>
      <c r="Q92" s="506" t="e">
        <f>G92*M92*#REF!*60.78</f>
        <v>#REF!</v>
      </c>
      <c r="R92" s="532"/>
    </row>
    <row r="93" spans="1:19" s="502" customFormat="1" ht="14.4" x14ac:dyDescent="0.3">
      <c r="A93" s="608"/>
      <c r="B93" s="609"/>
      <c r="C93" s="526" t="s">
        <v>711</v>
      </c>
      <c r="D93" s="527" t="s">
        <v>109</v>
      </c>
      <c r="E93" s="510">
        <v>65.222992292267207</v>
      </c>
      <c r="F93" s="511">
        <v>7591</v>
      </c>
      <c r="G93" s="517">
        <f t="shared" si="11"/>
        <v>7.0794521103079573</v>
      </c>
      <c r="H93" s="529" t="e">
        <f t="shared" si="14"/>
        <v>#VALUE!</v>
      </c>
      <c r="I93" s="512">
        <v>3718.1523440746701</v>
      </c>
      <c r="J93" s="499" t="e">
        <f>I93*#REF!/1000</f>
        <v>#REF!</v>
      </c>
      <c r="K93" s="518" t="e">
        <f t="shared" si="12"/>
        <v>#REF!</v>
      </c>
      <c r="L93" s="518" t="e">
        <f>K93*#REF!</f>
        <v>#REF!</v>
      </c>
      <c r="M93" s="526">
        <v>18</v>
      </c>
      <c r="N93" s="518" t="e">
        <f t="shared" si="13"/>
        <v>#REF!</v>
      </c>
      <c r="O93" s="518" t="e">
        <f>N93*#REF!</f>
        <v>#REF!</v>
      </c>
      <c r="P93" s="500" t="e">
        <f t="shared" si="15"/>
        <v>#REF!</v>
      </c>
      <c r="Q93" s="506" t="e">
        <f>G93*M93*#REF!*60.78</f>
        <v>#REF!</v>
      </c>
      <c r="R93" s="532"/>
    </row>
    <row r="94" spans="1:19" s="502" customFormat="1" ht="14.4" x14ac:dyDescent="0.3">
      <c r="A94" s="608"/>
      <c r="B94" s="609"/>
      <c r="C94" s="526" t="s">
        <v>712</v>
      </c>
      <c r="D94" s="527" t="s">
        <v>109</v>
      </c>
      <c r="E94" s="510">
        <v>93.529844559851782</v>
      </c>
      <c r="F94" s="511">
        <v>9542</v>
      </c>
      <c r="G94" s="517">
        <f t="shared" si="11"/>
        <v>10.151942316276109</v>
      </c>
      <c r="H94" s="529" t="e">
        <f t="shared" si="14"/>
        <v>#VALUE!</v>
      </c>
      <c r="I94" s="512">
        <v>5094.2168695708397</v>
      </c>
      <c r="J94" s="499" t="e">
        <f>I94*#REF!/1000</f>
        <v>#REF!</v>
      </c>
      <c r="K94" s="518" t="e">
        <f t="shared" si="12"/>
        <v>#REF!</v>
      </c>
      <c r="L94" s="518" t="e">
        <f>K94*#REF!</f>
        <v>#REF!</v>
      </c>
      <c r="M94" s="526">
        <v>18</v>
      </c>
      <c r="N94" s="518" t="e">
        <f t="shared" si="13"/>
        <v>#REF!</v>
      </c>
      <c r="O94" s="518" t="e">
        <f>N94*#REF!</f>
        <v>#REF!</v>
      </c>
      <c r="P94" s="500" t="e">
        <f t="shared" si="15"/>
        <v>#REF!</v>
      </c>
      <c r="Q94" s="506" t="e">
        <f>G94*M94*#REF!*60.78</f>
        <v>#REF!</v>
      </c>
      <c r="R94" s="532"/>
    </row>
    <row r="95" spans="1:19" s="502" customFormat="1" ht="14.4" x14ac:dyDescent="0.3">
      <c r="A95" s="608" t="s">
        <v>713</v>
      </c>
      <c r="B95" s="609" t="s">
        <v>649</v>
      </c>
      <c r="C95" s="526" t="s">
        <v>714</v>
      </c>
      <c r="D95" s="527">
        <v>108.43</v>
      </c>
      <c r="E95" s="527">
        <v>108.43</v>
      </c>
      <c r="F95" s="511" t="s">
        <v>109</v>
      </c>
      <c r="G95" s="517">
        <f t="shared" si="11"/>
        <v>11.76923911863671</v>
      </c>
      <c r="H95" s="529">
        <f t="shared" si="14"/>
        <v>1</v>
      </c>
      <c r="I95" s="512">
        <v>9533.6</v>
      </c>
      <c r="J95" s="499" t="e">
        <f>I95*#REF!/1000</f>
        <v>#REF!</v>
      </c>
      <c r="K95" s="518" t="e">
        <f t="shared" si="12"/>
        <v>#REF!</v>
      </c>
      <c r="L95" s="518" t="e">
        <f>K95*#REF!</f>
        <v>#REF!</v>
      </c>
      <c r="M95" s="526">
        <v>7</v>
      </c>
      <c r="N95" s="518" t="e">
        <f t="shared" si="13"/>
        <v>#REF!</v>
      </c>
      <c r="O95" s="518" t="e">
        <f>N95*#REF!</f>
        <v>#REF!</v>
      </c>
      <c r="P95" s="500" t="e">
        <f t="shared" si="15"/>
        <v>#REF!</v>
      </c>
      <c r="Q95" s="506" t="e">
        <f>G95*M95*#REF!*60.78</f>
        <v>#REF!</v>
      </c>
      <c r="R95" s="532"/>
    </row>
    <row r="96" spans="1:19" s="502" customFormat="1" ht="14.4" x14ac:dyDescent="0.3">
      <c r="A96" s="608"/>
      <c r="B96" s="609"/>
      <c r="C96" s="526" t="s">
        <v>715</v>
      </c>
      <c r="D96" s="527">
        <v>2.5299999999999998</v>
      </c>
      <c r="E96" s="527">
        <v>2.5299999999999998</v>
      </c>
      <c r="F96" s="511" t="s">
        <v>109</v>
      </c>
      <c r="G96" s="517">
        <f t="shared" si="11"/>
        <v>0.27461196135894933</v>
      </c>
      <c r="H96" s="529">
        <f t="shared" si="14"/>
        <v>1</v>
      </c>
      <c r="I96" s="512">
        <v>217.9</v>
      </c>
      <c r="J96" s="499" t="e">
        <f>I96*#REF!/1000</f>
        <v>#REF!</v>
      </c>
      <c r="K96" s="518" t="e">
        <f t="shared" si="12"/>
        <v>#REF!</v>
      </c>
      <c r="L96" s="518" t="e">
        <f>K96*#REF!</f>
        <v>#REF!</v>
      </c>
      <c r="M96" s="526">
        <v>7</v>
      </c>
      <c r="N96" s="518" t="e">
        <f t="shared" si="13"/>
        <v>#REF!</v>
      </c>
      <c r="O96" s="518" t="e">
        <f>N96*#REF!</f>
        <v>#REF!</v>
      </c>
      <c r="P96" s="500" t="e">
        <f t="shared" si="15"/>
        <v>#REF!</v>
      </c>
      <c r="Q96" s="506" t="e">
        <f>G96*M96*#REF!*60.78</f>
        <v>#REF!</v>
      </c>
      <c r="R96" s="532"/>
    </row>
    <row r="97" spans="1:18" s="502" customFormat="1" ht="14.4" x14ac:dyDescent="0.3">
      <c r="A97" s="530" t="s">
        <v>716</v>
      </c>
      <c r="B97" s="531" t="s">
        <v>649</v>
      </c>
      <c r="C97" s="526" t="s">
        <v>717</v>
      </c>
      <c r="D97" s="527">
        <v>16.989999999999998</v>
      </c>
      <c r="E97" s="527">
        <v>16.989999999999998</v>
      </c>
      <c r="F97" s="511" t="s">
        <v>109</v>
      </c>
      <c r="G97" s="517">
        <f t="shared" si="11"/>
        <v>1.8441332899164224</v>
      </c>
      <c r="H97" s="529">
        <f t="shared" si="14"/>
        <v>1</v>
      </c>
      <c r="I97" s="512">
        <v>335.298</v>
      </c>
      <c r="J97" s="499" t="e">
        <f>I97*#REF!/1000</f>
        <v>#REF!</v>
      </c>
      <c r="K97" s="518" t="e">
        <f t="shared" si="12"/>
        <v>#REF!</v>
      </c>
      <c r="L97" s="518" t="e">
        <f>K97*#REF!</f>
        <v>#REF!</v>
      </c>
      <c r="M97" s="526">
        <v>5</v>
      </c>
      <c r="N97" s="518" t="e">
        <f t="shared" si="13"/>
        <v>#REF!</v>
      </c>
      <c r="O97" s="518" t="e">
        <f>N97*#REF!</f>
        <v>#REF!</v>
      </c>
      <c r="P97" s="500" t="e">
        <f t="shared" si="15"/>
        <v>#REF!</v>
      </c>
      <c r="Q97" s="506" t="e">
        <f>G97*M97*#REF!*60.78</f>
        <v>#REF!</v>
      </c>
      <c r="R97" s="532"/>
    </row>
    <row r="98" spans="1:18" s="502" customFormat="1" ht="14.4" x14ac:dyDescent="0.3">
      <c r="A98" s="603" t="s">
        <v>718</v>
      </c>
      <c r="B98" s="604" t="s">
        <v>649</v>
      </c>
      <c r="C98" s="526" t="s">
        <v>719</v>
      </c>
      <c r="D98" s="527">
        <v>82.8</v>
      </c>
      <c r="E98" s="527">
        <v>16.470651735582265</v>
      </c>
      <c r="F98" s="511">
        <v>2892</v>
      </c>
      <c r="G98" s="517">
        <f t="shared" si="11"/>
        <v>1.7877620466278374</v>
      </c>
      <c r="H98" s="529">
        <f t="shared" si="14"/>
        <v>0.19892091468094525</v>
      </c>
      <c r="I98" s="512">
        <v>1721.3839679748785</v>
      </c>
      <c r="J98" s="499" t="e">
        <f>I98*#REF!/1000</f>
        <v>#REF!</v>
      </c>
      <c r="K98" s="518" t="e">
        <f t="shared" si="12"/>
        <v>#REF!</v>
      </c>
      <c r="L98" s="518" t="e">
        <f>K98*#REF!</f>
        <v>#REF!</v>
      </c>
      <c r="M98" s="526">
        <v>18</v>
      </c>
      <c r="N98" s="518" t="e">
        <f t="shared" si="13"/>
        <v>#REF!</v>
      </c>
      <c r="O98" s="518" t="e">
        <f>N98*#REF!</f>
        <v>#REF!</v>
      </c>
      <c r="P98" s="500" t="e">
        <f t="shared" si="15"/>
        <v>#REF!</v>
      </c>
      <c r="Q98" s="506" t="e">
        <f>G98*M98*#REF!*60.78</f>
        <v>#REF!</v>
      </c>
      <c r="R98" s="532"/>
    </row>
    <row r="99" spans="1:18" s="502" customFormat="1" ht="14.4" x14ac:dyDescent="0.3">
      <c r="A99" s="603"/>
      <c r="B99" s="605"/>
      <c r="C99" s="526" t="s">
        <v>720</v>
      </c>
      <c r="D99" s="527">
        <v>82.8</v>
      </c>
      <c r="E99" s="527">
        <v>33.328591460828008</v>
      </c>
      <c r="F99" s="511">
        <v>3085</v>
      </c>
      <c r="G99" s="517">
        <f t="shared" si="11"/>
        <v>3.6175612135925337</v>
      </c>
      <c r="H99" s="529">
        <f t="shared" si="14"/>
        <v>0.4025192205414011</v>
      </c>
      <c r="I99" s="512">
        <v>3483.244253893854</v>
      </c>
      <c r="J99" s="499" t="e">
        <f>I99*#REF!/1000</f>
        <v>#REF!</v>
      </c>
      <c r="K99" s="518" t="e">
        <f t="shared" si="12"/>
        <v>#REF!</v>
      </c>
      <c r="L99" s="518" t="e">
        <f>K99*#REF!</f>
        <v>#REF!</v>
      </c>
      <c r="M99" s="526">
        <v>18</v>
      </c>
      <c r="N99" s="518" t="e">
        <f t="shared" si="13"/>
        <v>#REF!</v>
      </c>
      <c r="O99" s="518" t="e">
        <f>N99*#REF!</f>
        <v>#REF!</v>
      </c>
      <c r="P99" s="500" t="e">
        <f t="shared" si="15"/>
        <v>#REF!</v>
      </c>
      <c r="Q99" s="506" t="e">
        <f>G99*M99*#REF!*60.78</f>
        <v>#REF!</v>
      </c>
      <c r="R99" s="532"/>
    </row>
    <row r="100" spans="1:18" s="502" customFormat="1" ht="14.4" x14ac:dyDescent="0.3">
      <c r="A100" s="603"/>
      <c r="B100" s="605"/>
      <c r="C100" s="526" t="s">
        <v>721</v>
      </c>
      <c r="D100" s="527">
        <v>82.8</v>
      </c>
      <c r="E100" s="527">
        <v>53.295855030217659</v>
      </c>
      <c r="F100" s="511">
        <v>3597</v>
      </c>
      <c r="G100" s="517">
        <f t="shared" si="11"/>
        <v>5.7848534712056514</v>
      </c>
      <c r="H100" s="529">
        <f t="shared" si="14"/>
        <v>0.64366974674175914</v>
      </c>
      <c r="I100" s="512">
        <v>5570.0668001093327</v>
      </c>
      <c r="J100" s="499" t="e">
        <f>I100*#REF!/1000</f>
        <v>#REF!</v>
      </c>
      <c r="K100" s="518" t="e">
        <f t="shared" si="12"/>
        <v>#REF!</v>
      </c>
      <c r="L100" s="518" t="e">
        <f>K100*#REF!</f>
        <v>#REF!</v>
      </c>
      <c r="M100" s="526">
        <v>18</v>
      </c>
      <c r="N100" s="518" t="e">
        <f t="shared" si="13"/>
        <v>#REF!</v>
      </c>
      <c r="O100" s="518" t="e">
        <f>N100*#REF!</f>
        <v>#REF!</v>
      </c>
      <c r="P100" s="500" t="e">
        <f t="shared" si="15"/>
        <v>#REF!</v>
      </c>
      <c r="Q100" s="506" t="e">
        <f>G100*M100*#REF!*60.78</f>
        <v>#REF!</v>
      </c>
      <c r="R100" s="532"/>
    </row>
    <row r="101" spans="1:18" s="502" customFormat="1" ht="14.4" x14ac:dyDescent="0.3">
      <c r="A101" s="603"/>
      <c r="B101" s="605"/>
      <c r="C101" s="526" t="s">
        <v>722</v>
      </c>
      <c r="D101" s="527">
        <v>82.8</v>
      </c>
      <c r="E101" s="527">
        <v>48.358805171024272</v>
      </c>
      <c r="F101" s="511">
        <v>4505</v>
      </c>
      <c r="G101" s="517">
        <f t="shared" si="11"/>
        <v>5.2489748367550497</v>
      </c>
      <c r="H101" s="529">
        <f t="shared" si="14"/>
        <v>0.58404354071285358</v>
      </c>
      <c r="I101" s="512">
        <v>5054.0848818985132</v>
      </c>
      <c r="J101" s="499" t="e">
        <f>I101*#REF!/1000</f>
        <v>#REF!</v>
      </c>
      <c r="K101" s="518" t="e">
        <f t="shared" si="12"/>
        <v>#REF!</v>
      </c>
      <c r="L101" s="518" t="e">
        <f>K101*#REF!</f>
        <v>#REF!</v>
      </c>
      <c r="M101" s="526">
        <v>18</v>
      </c>
      <c r="N101" s="518" t="e">
        <f t="shared" si="13"/>
        <v>#REF!</v>
      </c>
      <c r="O101" s="518" t="e">
        <f>N101*#REF!</f>
        <v>#REF!</v>
      </c>
      <c r="P101" s="500" t="e">
        <f t="shared" si="15"/>
        <v>#REF!</v>
      </c>
      <c r="Q101" s="506" t="e">
        <f>G101*M101*#REF!*60.78</f>
        <v>#REF!</v>
      </c>
      <c r="R101" s="532"/>
    </row>
    <row r="102" spans="1:18" s="502" customFormat="1" ht="14.4" x14ac:dyDescent="0.3">
      <c r="A102" s="603"/>
      <c r="B102" s="605"/>
      <c r="C102" s="526" t="s">
        <v>723</v>
      </c>
      <c r="D102" s="527">
        <v>82.8</v>
      </c>
      <c r="E102" s="527">
        <v>56.958205985997658</v>
      </c>
      <c r="F102" s="511">
        <v>5164</v>
      </c>
      <c r="G102" s="517">
        <f t="shared" si="11"/>
        <v>6.1823733839137809</v>
      </c>
      <c r="H102" s="529">
        <f t="shared" si="14"/>
        <v>0.68790103847823258</v>
      </c>
      <c r="I102" s="512">
        <v>5952.8271378048776</v>
      </c>
      <c r="J102" s="499" t="e">
        <f>I102*#REF!/1000</f>
        <v>#REF!</v>
      </c>
      <c r="K102" s="518" t="e">
        <f t="shared" si="12"/>
        <v>#REF!</v>
      </c>
      <c r="L102" s="518" t="e">
        <f>K102*#REF!</f>
        <v>#REF!</v>
      </c>
      <c r="M102" s="526">
        <v>18</v>
      </c>
      <c r="N102" s="518" t="e">
        <f t="shared" si="13"/>
        <v>#REF!</v>
      </c>
      <c r="O102" s="518" t="e">
        <f>N102*#REF!</f>
        <v>#REF!</v>
      </c>
      <c r="P102" s="500" t="e">
        <f t="shared" si="15"/>
        <v>#REF!</v>
      </c>
      <c r="Q102" s="506" t="e">
        <f>G102*M102*#REF!*60.78</f>
        <v>#REF!</v>
      </c>
      <c r="R102" s="532"/>
    </row>
    <row r="103" spans="1:18" s="502" customFormat="1" ht="14.4" x14ac:dyDescent="0.3">
      <c r="A103" s="603"/>
      <c r="B103" s="605"/>
      <c r="C103" s="526" t="s">
        <v>724</v>
      </c>
      <c r="D103" s="527">
        <v>82.8</v>
      </c>
      <c r="E103" s="527">
        <v>67.148164847407898</v>
      </c>
      <c r="F103" s="511">
        <v>5581</v>
      </c>
      <c r="G103" s="517">
        <f t="shared" si="11"/>
        <v>7.2884147234785521</v>
      </c>
      <c r="H103" s="529">
        <f t="shared" si="14"/>
        <v>0.81096817448560266</v>
      </c>
      <c r="I103" s="512">
        <v>7017.8021066132405</v>
      </c>
      <c r="J103" s="499" t="e">
        <f>I103*#REF!/1000</f>
        <v>#REF!</v>
      </c>
      <c r="K103" s="518" t="e">
        <f t="shared" si="12"/>
        <v>#REF!</v>
      </c>
      <c r="L103" s="518" t="e">
        <f>K103*#REF!</f>
        <v>#REF!</v>
      </c>
      <c r="M103" s="526">
        <v>18</v>
      </c>
      <c r="N103" s="518" t="e">
        <f t="shared" si="13"/>
        <v>#REF!</v>
      </c>
      <c r="O103" s="518" t="e">
        <f>N103*#REF!</f>
        <v>#REF!</v>
      </c>
      <c r="P103" s="500" t="e">
        <f t="shared" si="15"/>
        <v>#REF!</v>
      </c>
      <c r="Q103" s="506" t="e">
        <f>G103*M103*#REF!*60.78</f>
        <v>#REF!</v>
      </c>
      <c r="R103" s="532"/>
    </row>
    <row r="104" spans="1:18" s="502" customFormat="1" ht="14.4" x14ac:dyDescent="0.3">
      <c r="A104" s="603"/>
      <c r="B104" s="605"/>
      <c r="C104" s="526" t="s">
        <v>725</v>
      </c>
      <c r="D104" s="527" t="s">
        <v>109</v>
      </c>
      <c r="E104" s="527">
        <v>11.820341232458091</v>
      </c>
      <c r="F104" s="511">
        <v>2892</v>
      </c>
      <c r="G104" s="517">
        <f t="shared" si="11"/>
        <v>1.2830067548527182</v>
      </c>
      <c r="H104" s="529" t="e">
        <f t="shared" si="14"/>
        <v>#VALUE!</v>
      </c>
      <c r="I104" s="512">
        <v>1265.5053377616157</v>
      </c>
      <c r="J104" s="499" t="e">
        <f>I104*#REF!/1000</f>
        <v>#REF!</v>
      </c>
      <c r="K104" s="518" t="e">
        <f t="shared" si="12"/>
        <v>#REF!</v>
      </c>
      <c r="L104" s="518" t="e">
        <f>K104*#REF!</f>
        <v>#REF!</v>
      </c>
      <c r="M104" s="526">
        <v>18</v>
      </c>
      <c r="N104" s="518" t="e">
        <f t="shared" si="13"/>
        <v>#REF!</v>
      </c>
      <c r="O104" s="518" t="e">
        <f>N104*#REF!</f>
        <v>#REF!</v>
      </c>
      <c r="P104" s="500" t="e">
        <f t="shared" si="15"/>
        <v>#REF!</v>
      </c>
      <c r="Q104" s="506" t="e">
        <f>G104*M104*#REF!*60.78</f>
        <v>#REF!</v>
      </c>
      <c r="R104" s="532"/>
    </row>
    <row r="105" spans="1:18" s="502" customFormat="1" ht="14.4" x14ac:dyDescent="0.3">
      <c r="A105" s="603"/>
      <c r="B105" s="605"/>
      <c r="C105" s="526" t="s">
        <v>726</v>
      </c>
      <c r="D105" s="527" t="s">
        <v>109</v>
      </c>
      <c r="E105" s="527">
        <v>23.91862387649768</v>
      </c>
      <c r="F105" s="511">
        <v>3085</v>
      </c>
      <c r="G105" s="517">
        <f t="shared" si="11"/>
        <v>2.5961819034513929</v>
      </c>
      <c r="H105" s="529" t="e">
        <f t="shared" si="14"/>
        <v>#VALUE!</v>
      </c>
      <c r="I105" s="512">
        <v>2560.7675440453968</v>
      </c>
      <c r="J105" s="499" t="e">
        <f>I105*#REF!/1000</f>
        <v>#REF!</v>
      </c>
      <c r="K105" s="518" t="e">
        <f t="shared" si="12"/>
        <v>#REF!</v>
      </c>
      <c r="L105" s="518" t="e">
        <f>K105*#REF!</f>
        <v>#REF!</v>
      </c>
      <c r="M105" s="526">
        <v>18</v>
      </c>
      <c r="N105" s="518" t="e">
        <f t="shared" si="13"/>
        <v>#REF!</v>
      </c>
      <c r="O105" s="518" t="e">
        <f>N105*#REF!</f>
        <v>#REF!</v>
      </c>
      <c r="P105" s="500" t="e">
        <f t="shared" si="15"/>
        <v>#REF!</v>
      </c>
      <c r="Q105" s="506" t="e">
        <f>G105*M105*#REF!*60.78</f>
        <v>#REF!</v>
      </c>
      <c r="R105" s="532"/>
    </row>
    <row r="106" spans="1:18" s="502" customFormat="1" ht="14.4" x14ac:dyDescent="0.3">
      <c r="A106" s="603"/>
      <c r="B106" s="605"/>
      <c r="C106" s="526" t="s">
        <v>727</v>
      </c>
      <c r="D106" s="527" t="s">
        <v>109</v>
      </c>
      <c r="E106" s="527">
        <v>38.248346382786295</v>
      </c>
      <c r="F106" s="511">
        <v>3597</v>
      </c>
      <c r="G106" s="517">
        <f t="shared" si="11"/>
        <v>4.1515626161713124</v>
      </c>
      <c r="H106" s="529" t="e">
        <f t="shared" si="14"/>
        <v>#VALUE!</v>
      </c>
      <c r="I106" s="512">
        <v>4094.9314030848436</v>
      </c>
      <c r="J106" s="499" t="e">
        <f>I106*#REF!/1000</f>
        <v>#REF!</v>
      </c>
      <c r="K106" s="518" t="e">
        <f t="shared" si="12"/>
        <v>#REF!</v>
      </c>
      <c r="L106" s="518" t="e">
        <f>K106*#REF!</f>
        <v>#REF!</v>
      </c>
      <c r="M106" s="526">
        <v>18</v>
      </c>
      <c r="N106" s="518" t="e">
        <f t="shared" si="13"/>
        <v>#REF!</v>
      </c>
      <c r="O106" s="518" t="e">
        <f>N106*#REF!</f>
        <v>#REF!</v>
      </c>
      <c r="P106" s="500" t="e">
        <f t="shared" si="15"/>
        <v>#REF!</v>
      </c>
      <c r="Q106" s="506" t="e">
        <f>G106*M106*#REF!*60.78</f>
        <v>#REF!</v>
      </c>
      <c r="R106" s="532"/>
    </row>
    <row r="107" spans="1:18" s="502" customFormat="1" ht="14.4" x14ac:dyDescent="0.3">
      <c r="A107" s="603"/>
      <c r="B107" s="605"/>
      <c r="C107" s="526" t="s">
        <v>728</v>
      </c>
      <c r="D107" s="527" t="s">
        <v>109</v>
      </c>
      <c r="E107" s="527">
        <v>34.705219191817136</v>
      </c>
      <c r="F107" s="511">
        <v>4505</v>
      </c>
      <c r="G107" s="517">
        <f t="shared" si="11"/>
        <v>3.7669835223941321</v>
      </c>
      <c r="H107" s="529" t="e">
        <f t="shared" si="14"/>
        <v>#VALUE!</v>
      </c>
      <c r="I107" s="512">
        <v>3715.598329329971</v>
      </c>
      <c r="J107" s="499" t="e">
        <f>I107*#REF!/1000</f>
        <v>#REF!</v>
      </c>
      <c r="K107" s="518" t="e">
        <f t="shared" si="12"/>
        <v>#REF!</v>
      </c>
      <c r="L107" s="518" t="e">
        <f>K107*#REF!</f>
        <v>#REF!</v>
      </c>
      <c r="M107" s="526">
        <v>18</v>
      </c>
      <c r="N107" s="518" t="e">
        <f t="shared" si="13"/>
        <v>#REF!</v>
      </c>
      <c r="O107" s="518" t="e">
        <f>N107*#REF!</f>
        <v>#REF!</v>
      </c>
      <c r="P107" s="500" t="e">
        <f t="shared" si="15"/>
        <v>#REF!</v>
      </c>
      <c r="Q107" s="506" t="e">
        <f>G107*M107*#REF!*60.78</f>
        <v>#REF!</v>
      </c>
      <c r="R107" s="532"/>
    </row>
    <row r="108" spans="1:18" s="502" customFormat="1" ht="14.4" x14ac:dyDescent="0.3">
      <c r="A108" s="603"/>
      <c r="B108" s="605"/>
      <c r="C108" s="526" t="s">
        <v>729</v>
      </c>
      <c r="D108" s="527" t="s">
        <v>109</v>
      </c>
      <c r="E108" s="527">
        <v>40.876672128805005</v>
      </c>
      <c r="F108" s="511">
        <v>5164</v>
      </c>
      <c r="G108" s="517">
        <f t="shared" si="11"/>
        <v>4.4368470779121898</v>
      </c>
      <c r="H108" s="529" t="e">
        <f t="shared" si="14"/>
        <v>#VALUE!</v>
      </c>
      <c r="I108" s="512">
        <v>4376.3243168384233</v>
      </c>
      <c r="J108" s="499" t="e">
        <f>I108*#REF!/1000</f>
        <v>#REF!</v>
      </c>
      <c r="K108" s="518" t="e">
        <f t="shared" si="12"/>
        <v>#REF!</v>
      </c>
      <c r="L108" s="518" t="e">
        <f>K108*#REF!</f>
        <v>#REF!</v>
      </c>
      <c r="M108" s="526">
        <v>18</v>
      </c>
      <c r="N108" s="518" t="e">
        <f t="shared" si="13"/>
        <v>#REF!</v>
      </c>
      <c r="O108" s="518" t="e">
        <f>N108*#REF!</f>
        <v>#REF!</v>
      </c>
      <c r="P108" s="500" t="e">
        <f t="shared" si="15"/>
        <v>#REF!</v>
      </c>
      <c r="Q108" s="506" t="e">
        <f>G108*M108*#REF!*60.78</f>
        <v>#REF!</v>
      </c>
      <c r="R108" s="532"/>
    </row>
    <row r="109" spans="1:18" s="502" customFormat="1" ht="14.4" x14ac:dyDescent="0.3">
      <c r="A109" s="603"/>
      <c r="B109" s="606"/>
      <c r="C109" s="526" t="s">
        <v>730</v>
      </c>
      <c r="D109" s="527" t="s">
        <v>109</v>
      </c>
      <c r="E109" s="527">
        <v>48.189606238532335</v>
      </c>
      <c r="F109" s="511">
        <v>5581</v>
      </c>
      <c r="G109" s="517">
        <f t="shared" si="11"/>
        <v>5.2306095993196937</v>
      </c>
      <c r="H109" s="529" t="e">
        <f t="shared" si="14"/>
        <v>#VALUE!</v>
      </c>
      <c r="I109" s="512">
        <v>5159.2591719800294</v>
      </c>
      <c r="J109" s="499" t="e">
        <f>I109*#REF!/1000</f>
        <v>#REF!</v>
      </c>
      <c r="K109" s="518" t="e">
        <f t="shared" si="12"/>
        <v>#REF!</v>
      </c>
      <c r="L109" s="518" t="e">
        <f>K109*#REF!</f>
        <v>#REF!</v>
      </c>
      <c r="M109" s="526">
        <v>18</v>
      </c>
      <c r="N109" s="518" t="e">
        <f t="shared" si="13"/>
        <v>#REF!</v>
      </c>
      <c r="O109" s="518" t="e">
        <f>N109*#REF!</f>
        <v>#REF!</v>
      </c>
      <c r="P109" s="500" t="e">
        <f t="shared" si="15"/>
        <v>#REF!</v>
      </c>
      <c r="Q109" s="506" t="e">
        <f>G109*M109*#REF!*60.78</f>
        <v>#REF!</v>
      </c>
      <c r="R109" s="532"/>
    </row>
    <row r="110" spans="1:18" s="502" customFormat="1" ht="14.4" x14ac:dyDescent="0.3">
      <c r="A110" s="533" t="s">
        <v>731</v>
      </c>
      <c r="B110" s="531" t="s">
        <v>649</v>
      </c>
      <c r="C110" s="526" t="s">
        <v>732</v>
      </c>
      <c r="D110" s="527">
        <v>2.1190000000000002</v>
      </c>
      <c r="E110" s="527">
        <v>2.1190000000000002</v>
      </c>
      <c r="F110" s="511" t="s">
        <v>109</v>
      </c>
      <c r="G110" s="517">
        <f t="shared" si="11"/>
        <v>0.2300010854227722</v>
      </c>
      <c r="H110" s="529">
        <f t="shared" si="14"/>
        <v>1</v>
      </c>
      <c r="I110" s="512">
        <v>258.18</v>
      </c>
      <c r="J110" s="499" t="e">
        <f>I110*#REF!/1000</f>
        <v>#REF!</v>
      </c>
      <c r="K110" s="518" t="e">
        <f t="shared" si="12"/>
        <v>#REF!</v>
      </c>
      <c r="L110" s="518" t="e">
        <f>K110*#REF!</f>
        <v>#REF!</v>
      </c>
      <c r="M110" s="526">
        <v>15</v>
      </c>
      <c r="N110" s="518" t="e">
        <f t="shared" si="13"/>
        <v>#REF!</v>
      </c>
      <c r="O110" s="518" t="e">
        <f>N110*#REF!</f>
        <v>#REF!</v>
      </c>
      <c r="P110" s="500" t="e">
        <f t="shared" si="15"/>
        <v>#REF!</v>
      </c>
      <c r="Q110" s="506" t="e">
        <f>G110*M110*#REF!*60.78</f>
        <v>#REF!</v>
      </c>
      <c r="R110" s="532"/>
    </row>
    <row r="111" spans="1:18" s="502" customFormat="1" ht="14.4" x14ac:dyDescent="0.3">
      <c r="A111" s="533" t="s">
        <v>733</v>
      </c>
      <c r="B111" s="531" t="s">
        <v>649</v>
      </c>
      <c r="C111" s="526"/>
      <c r="D111" s="527" t="s">
        <v>109</v>
      </c>
      <c r="E111" s="527" t="s">
        <v>109</v>
      </c>
      <c r="F111" s="511" t="s">
        <v>109</v>
      </c>
      <c r="G111" s="534" t="s">
        <v>734</v>
      </c>
      <c r="H111" s="529" t="s">
        <v>109</v>
      </c>
      <c r="I111" s="535"/>
      <c r="J111" s="536"/>
      <c r="K111" s="537" t="str">
        <f>G111</f>
        <v>Custom Input from Tool</v>
      </c>
      <c r="L111" s="518" t="e">
        <f>K111*#REF!</f>
        <v>#VALUE!</v>
      </c>
      <c r="M111" s="526">
        <v>10</v>
      </c>
      <c r="N111" s="518" t="e">
        <f t="shared" si="13"/>
        <v>#VALUE!</v>
      </c>
      <c r="O111" s="518" t="e">
        <f>N111*#REF!</f>
        <v>#VALUE!</v>
      </c>
      <c r="P111" s="500" t="e">
        <f t="shared" si="15"/>
        <v>#VALUE!</v>
      </c>
      <c r="Q111" s="506" t="e">
        <f>G111*M111*#REF!*60.78</f>
        <v>#VALUE!</v>
      </c>
      <c r="R111" s="532"/>
    </row>
    <row r="112" spans="1:18" ht="14.4" x14ac:dyDescent="0.3">
      <c r="A112" s="480" t="s">
        <v>735</v>
      </c>
      <c r="B112" s="538"/>
      <c r="G112" s="539"/>
      <c r="H112" s="540"/>
      <c r="I112" s="541"/>
      <c r="J112" s="503"/>
      <c r="K112" s="503"/>
      <c r="L112" s="503"/>
      <c r="N112" s="503"/>
      <c r="O112" s="503"/>
      <c r="P112" s="542"/>
      <c r="Q112" s="505"/>
      <c r="R112" s="505"/>
    </row>
    <row r="113" spans="1:16" ht="14.4" x14ac:dyDescent="0.3">
      <c r="A113" s="480" t="s">
        <v>736</v>
      </c>
      <c r="G113" s="539"/>
      <c r="P113" s="542"/>
    </row>
    <row r="114" spans="1:16" ht="14.4" x14ac:dyDescent="0.3">
      <c r="A114" s="480" t="s">
        <v>737</v>
      </c>
      <c r="G114" s="539"/>
      <c r="P114" s="542"/>
    </row>
    <row r="115" spans="1:16" ht="14.4" x14ac:dyDescent="0.3">
      <c r="A115" s="480" t="s">
        <v>738</v>
      </c>
      <c r="G115" s="539"/>
      <c r="P115" s="542"/>
    </row>
    <row r="116" spans="1:16" ht="14.4" x14ac:dyDescent="0.3">
      <c r="A116" s="480" t="s">
        <v>739</v>
      </c>
      <c r="G116" s="539"/>
      <c r="P116" s="542"/>
    </row>
    <row r="117" spans="1:16" x14ac:dyDescent="0.25">
      <c r="I117" s="543"/>
      <c r="J117" s="543"/>
    </row>
    <row r="118" spans="1:16" x14ac:dyDescent="0.25">
      <c r="I118" s="544"/>
      <c r="J118" s="545"/>
    </row>
    <row r="119" spans="1:16" x14ac:dyDescent="0.25">
      <c r="B119" s="607" t="s">
        <v>740</v>
      </c>
      <c r="C119" s="607"/>
      <c r="G119" s="492" t="s">
        <v>741</v>
      </c>
      <c r="I119" s="544"/>
      <c r="J119" s="546"/>
    </row>
    <row r="120" spans="1:16" ht="14.4" x14ac:dyDescent="0.3">
      <c r="B120" s="547"/>
      <c r="C120" s="492" t="s">
        <v>742</v>
      </c>
      <c r="G120" s="548">
        <v>9.2129999999999992</v>
      </c>
      <c r="I120" s="544"/>
      <c r="J120" s="546"/>
    </row>
    <row r="121" spans="1:16" x14ac:dyDescent="0.25">
      <c r="B121" s="549"/>
      <c r="C121" s="492" t="s">
        <v>743</v>
      </c>
    </row>
    <row r="122" spans="1:16" x14ac:dyDescent="0.25">
      <c r="G122" s="502"/>
      <c r="I122" s="550"/>
      <c r="J122" s="551"/>
    </row>
    <row r="123" spans="1:16" x14ac:dyDescent="0.25">
      <c r="I123" s="551"/>
    </row>
    <row r="126" spans="1:16" x14ac:dyDescent="0.25">
      <c r="K126" s="552"/>
    </row>
    <row r="127" spans="1:16" x14ac:dyDescent="0.25">
      <c r="I127" s="551"/>
      <c r="K127" s="551"/>
    </row>
    <row r="128" spans="1:16" x14ac:dyDescent="0.25">
      <c r="K128" s="553"/>
    </row>
    <row r="129" spans="9:10" x14ac:dyDescent="0.25">
      <c r="I129" s="551"/>
      <c r="J129" s="553"/>
    </row>
    <row r="130" spans="9:10" x14ac:dyDescent="0.25">
      <c r="I130" s="551"/>
      <c r="J130" s="551"/>
    </row>
    <row r="131" spans="9:10" x14ac:dyDescent="0.25">
      <c r="I131" s="554"/>
    </row>
    <row r="132" spans="9:10" x14ac:dyDescent="0.25">
      <c r="I132" s="555"/>
    </row>
    <row r="134" spans="9:10" x14ac:dyDescent="0.25">
      <c r="I134" s="556"/>
    </row>
    <row r="135" spans="9:10" x14ac:dyDescent="0.25">
      <c r="I135" s="556"/>
    </row>
    <row r="136" spans="9:10" x14ac:dyDescent="0.25">
      <c r="I136" s="556"/>
      <c r="J136" s="557"/>
    </row>
    <row r="139" spans="9:10" x14ac:dyDescent="0.25">
      <c r="I139" s="558"/>
    </row>
    <row r="140" spans="9:10" x14ac:dyDescent="0.25">
      <c r="I140" s="558"/>
    </row>
    <row r="141" spans="9:10" x14ac:dyDescent="0.25">
      <c r="I141" s="558"/>
    </row>
    <row r="142" spans="9:10" ht="14.4" x14ac:dyDescent="0.25">
      <c r="I142" s="559"/>
    </row>
    <row r="143" spans="9:10" x14ac:dyDescent="0.25">
      <c r="I143" s="558"/>
    </row>
    <row r="145" spans="9:9" x14ac:dyDescent="0.25">
      <c r="I145" s="557"/>
    </row>
    <row r="147" spans="9:9" x14ac:dyDescent="0.25">
      <c r="I147" s="558"/>
    </row>
    <row r="148" spans="9:9" x14ac:dyDescent="0.25">
      <c r="I148" s="558"/>
    </row>
  </sheetData>
  <mergeCells count="40">
    <mergeCell ref="A98:A109"/>
    <mergeCell ref="B98:B109"/>
    <mergeCell ref="B119:C119"/>
    <mergeCell ref="A86:A87"/>
    <mergeCell ref="B86:B87"/>
    <mergeCell ref="A89:A94"/>
    <mergeCell ref="B89:B94"/>
    <mergeCell ref="A95:A96"/>
    <mergeCell ref="B95:B96"/>
    <mergeCell ref="A82:A85"/>
    <mergeCell ref="A51:A56"/>
    <mergeCell ref="B51:B56"/>
    <mergeCell ref="A57:A60"/>
    <mergeCell ref="B57:B60"/>
    <mergeCell ref="A61:A64"/>
    <mergeCell ref="B61:B64"/>
    <mergeCell ref="A65:A68"/>
    <mergeCell ref="B65:B68"/>
    <mergeCell ref="A69:A72"/>
    <mergeCell ref="B69:B72"/>
    <mergeCell ref="A78:A80"/>
    <mergeCell ref="A33:A38"/>
    <mergeCell ref="B33:B38"/>
    <mergeCell ref="A39:A44"/>
    <mergeCell ref="B39:B44"/>
    <mergeCell ref="A45:A50"/>
    <mergeCell ref="B45:B50"/>
    <mergeCell ref="A15:A20"/>
    <mergeCell ref="B15:B20"/>
    <mergeCell ref="A21:A26"/>
    <mergeCell ref="B21:B26"/>
    <mergeCell ref="A27:A32"/>
    <mergeCell ref="B27:B32"/>
    <mergeCell ref="A9:A14"/>
    <mergeCell ref="B9:B14"/>
    <mergeCell ref="E1:H1"/>
    <mergeCell ref="I1:J1"/>
    <mergeCell ref="K1:Q1"/>
    <mergeCell ref="A3:A8"/>
    <mergeCell ref="B3:B8"/>
  </mergeCells>
  <pageMargins left="0.7" right="0.7" top="0.75" bottom="0.75" header="0.3" footer="0.3"/>
  <pageSetup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118"/>
  <sheetViews>
    <sheetView zoomScale="80" zoomScaleNormal="80" workbookViewId="0">
      <pane xSplit="4" ySplit="6" topLeftCell="E7" activePane="bottomRight" state="frozen"/>
      <selection pane="topRight" activeCell="E1" sqref="E1"/>
      <selection pane="bottomLeft" activeCell="A7" sqref="A7"/>
      <selection pane="bottomRight" activeCell="C80" sqref="C80"/>
    </sheetView>
  </sheetViews>
  <sheetFormatPr defaultRowHeight="14.4" x14ac:dyDescent="0.3"/>
  <cols>
    <col min="1" max="1" width="27.33203125" customWidth="1"/>
    <col min="2" max="2" width="54.44140625" customWidth="1"/>
    <col min="3" max="3" width="32.88671875" bestFit="1" customWidth="1"/>
    <col min="4" max="4" width="15" bestFit="1" customWidth="1"/>
    <col min="5" max="6" width="14" customWidth="1"/>
    <col min="7" max="39" width="11.33203125" bestFit="1" customWidth="1"/>
    <col min="40" max="40" width="9.33203125" bestFit="1" customWidth="1"/>
  </cols>
  <sheetData>
    <row r="1" spans="1:42" x14ac:dyDescent="0.3">
      <c r="A1" t="s">
        <v>250</v>
      </c>
    </row>
    <row r="2" spans="1:42" x14ac:dyDescent="0.3">
      <c r="A2" s="438" t="s">
        <v>489</v>
      </c>
    </row>
    <row r="3" spans="1:42" x14ac:dyDescent="0.3">
      <c r="A3" t="s">
        <v>490</v>
      </c>
    </row>
    <row r="4" spans="1:42" x14ac:dyDescent="0.3">
      <c r="A4" t="s">
        <v>251</v>
      </c>
    </row>
    <row r="5" spans="1:42" x14ac:dyDescent="0.3">
      <c r="B5" t="s">
        <v>252</v>
      </c>
      <c r="C5" t="s">
        <v>253</v>
      </c>
      <c r="D5" t="s">
        <v>254</v>
      </c>
      <c r="F5">
        <v>2017</v>
      </c>
      <c r="G5">
        <v>2018</v>
      </c>
      <c r="H5">
        <v>2019</v>
      </c>
      <c r="I5">
        <v>2020</v>
      </c>
      <c r="J5">
        <v>2021</v>
      </c>
      <c r="K5">
        <v>2022</v>
      </c>
      <c r="L5">
        <v>2023</v>
      </c>
      <c r="M5">
        <v>2024</v>
      </c>
      <c r="N5">
        <v>2025</v>
      </c>
      <c r="O5">
        <v>2026</v>
      </c>
      <c r="P5">
        <v>2027</v>
      </c>
      <c r="Q5">
        <v>2028</v>
      </c>
      <c r="R5">
        <v>2029</v>
      </c>
      <c r="S5">
        <v>2030</v>
      </c>
      <c r="T5">
        <v>2031</v>
      </c>
      <c r="U5">
        <v>2032</v>
      </c>
      <c r="V5">
        <v>2033</v>
      </c>
      <c r="W5">
        <v>2034</v>
      </c>
      <c r="X5">
        <v>2035</v>
      </c>
      <c r="Y5">
        <v>2036</v>
      </c>
      <c r="Z5">
        <v>2037</v>
      </c>
      <c r="AA5">
        <v>2038</v>
      </c>
      <c r="AB5">
        <v>2039</v>
      </c>
      <c r="AC5">
        <v>2040</v>
      </c>
      <c r="AD5">
        <v>2041</v>
      </c>
      <c r="AE5">
        <v>2042</v>
      </c>
      <c r="AF5">
        <v>2043</v>
      </c>
      <c r="AG5">
        <v>2044</v>
      </c>
      <c r="AH5">
        <v>2045</v>
      </c>
      <c r="AI5">
        <v>2046</v>
      </c>
      <c r="AJ5">
        <v>2047</v>
      </c>
      <c r="AK5">
        <v>2048</v>
      </c>
      <c r="AL5">
        <v>2049</v>
      </c>
      <c r="AM5">
        <v>2050</v>
      </c>
      <c r="AN5" t="s">
        <v>491</v>
      </c>
    </row>
    <row r="6" spans="1:42" x14ac:dyDescent="0.3">
      <c r="A6" t="s">
        <v>255</v>
      </c>
      <c r="C6" t="s">
        <v>492</v>
      </c>
    </row>
    <row r="7" spans="1:42" hidden="1" x14ac:dyDescent="0.3">
      <c r="A7" t="s">
        <v>256</v>
      </c>
      <c r="B7" t="s">
        <v>257</v>
      </c>
      <c r="C7" t="s">
        <v>493</v>
      </c>
      <c r="D7" t="s">
        <v>494</v>
      </c>
      <c r="F7" s="439">
        <v>17.851991999999999</v>
      </c>
      <c r="G7" s="439">
        <v>21.003157000000002</v>
      </c>
      <c r="H7" s="439">
        <v>23.486315000000001</v>
      </c>
      <c r="I7" s="439">
        <v>25.020437000000001</v>
      </c>
      <c r="J7" s="439">
        <v>26.236104999999998</v>
      </c>
      <c r="K7" s="439">
        <v>27.399304999999998</v>
      </c>
      <c r="L7" s="439">
        <v>28.346443000000001</v>
      </c>
      <c r="M7" s="439">
        <v>29.307613</v>
      </c>
      <c r="N7" s="439">
        <v>30.273872000000001</v>
      </c>
      <c r="O7" s="439">
        <v>31.130103999999999</v>
      </c>
      <c r="P7" s="439">
        <v>31.824847999999999</v>
      </c>
      <c r="Q7" s="439">
        <v>32.370097999999999</v>
      </c>
      <c r="R7" s="439">
        <v>32.872039999999998</v>
      </c>
      <c r="S7" s="439">
        <v>33.119883999999999</v>
      </c>
      <c r="T7" s="439">
        <v>33.315376000000001</v>
      </c>
      <c r="U7" s="439">
        <v>33.559277000000002</v>
      </c>
      <c r="V7" s="439">
        <v>33.850318999999999</v>
      </c>
      <c r="W7" s="439">
        <v>34.150444</v>
      </c>
      <c r="X7" s="439">
        <v>34.432910999999997</v>
      </c>
      <c r="Y7" s="439">
        <v>34.72401</v>
      </c>
      <c r="Z7" s="439">
        <v>34.963481999999999</v>
      </c>
      <c r="AA7" s="439">
        <v>35.156421999999999</v>
      </c>
      <c r="AB7" s="439">
        <v>35.333565</v>
      </c>
      <c r="AC7" s="439">
        <v>35.494838999999999</v>
      </c>
      <c r="AD7" s="439">
        <v>35.608921000000002</v>
      </c>
      <c r="AE7" s="439">
        <v>35.731583000000001</v>
      </c>
      <c r="AF7" s="439">
        <v>35.861324000000003</v>
      </c>
      <c r="AG7" s="439">
        <v>35.987301000000002</v>
      </c>
      <c r="AH7" s="439">
        <v>36.083064999999998</v>
      </c>
      <c r="AI7" s="439">
        <v>36.142761</v>
      </c>
      <c r="AJ7" s="439">
        <v>36.17841</v>
      </c>
      <c r="AK7" s="439">
        <v>36.198005999999999</v>
      </c>
      <c r="AL7" s="439">
        <v>36.170653999999999</v>
      </c>
      <c r="AM7" s="439">
        <v>36.084465000000002</v>
      </c>
      <c r="AN7" s="439">
        <v>1.7000000000000001E-2</v>
      </c>
      <c r="AP7" s="4"/>
    </row>
    <row r="8" spans="1:42" hidden="1" x14ac:dyDescent="0.3">
      <c r="A8" t="s">
        <v>258</v>
      </c>
      <c r="B8" t="s">
        <v>259</v>
      </c>
      <c r="C8" t="s">
        <v>495</v>
      </c>
      <c r="D8" t="s">
        <v>494</v>
      </c>
      <c r="F8" s="439">
        <v>18.591125000000002</v>
      </c>
      <c r="G8" s="439">
        <v>22.209574</v>
      </c>
      <c r="H8" s="439">
        <v>22.61862</v>
      </c>
      <c r="I8" s="439">
        <v>23.15081</v>
      </c>
      <c r="J8" s="439">
        <v>23.445747000000001</v>
      </c>
      <c r="K8" s="439">
        <v>23.637277999999998</v>
      </c>
      <c r="L8" s="439">
        <v>24.200952999999998</v>
      </c>
      <c r="M8" s="439">
        <v>25.194348999999999</v>
      </c>
      <c r="N8" s="439">
        <v>25.720345999999999</v>
      </c>
      <c r="O8" s="439">
        <v>26.141515999999999</v>
      </c>
      <c r="P8" s="439">
        <v>26.839119</v>
      </c>
      <c r="Q8" s="439">
        <v>27.034019000000001</v>
      </c>
      <c r="R8" s="439">
        <v>27.503865999999999</v>
      </c>
      <c r="S8" s="439">
        <v>27.707671999999999</v>
      </c>
      <c r="T8" s="439">
        <v>27.931259000000001</v>
      </c>
      <c r="U8" s="439">
        <v>28.236163999999999</v>
      </c>
      <c r="V8" s="439">
        <v>28.564406999999999</v>
      </c>
      <c r="W8" s="439">
        <v>28.637232000000001</v>
      </c>
      <c r="X8" s="439">
        <v>28.869236000000001</v>
      </c>
      <c r="Y8" s="439">
        <v>29.240248000000001</v>
      </c>
      <c r="Z8" s="439">
        <v>29.147207000000002</v>
      </c>
      <c r="AA8" s="439">
        <v>29.317833</v>
      </c>
      <c r="AB8" s="439">
        <v>29.475826000000001</v>
      </c>
      <c r="AC8" s="439">
        <v>29.656288</v>
      </c>
      <c r="AD8" s="439">
        <v>29.697346</v>
      </c>
      <c r="AE8" s="439">
        <v>29.872146999999998</v>
      </c>
      <c r="AF8" s="439">
        <v>29.885083999999999</v>
      </c>
      <c r="AG8" s="439">
        <v>29.808869999999999</v>
      </c>
      <c r="AH8" s="439">
        <v>29.869741000000001</v>
      </c>
      <c r="AI8" s="439">
        <v>29.770029000000001</v>
      </c>
      <c r="AJ8" s="439">
        <v>29.674028</v>
      </c>
      <c r="AK8" s="439">
        <v>29.717331000000001</v>
      </c>
      <c r="AL8" s="439">
        <v>29.654074000000001</v>
      </c>
      <c r="AM8" s="439">
        <v>29.627223999999998</v>
      </c>
      <c r="AN8" s="439">
        <v>8.9999999999999993E-3</v>
      </c>
      <c r="AP8" s="4"/>
    </row>
    <row r="9" spans="1:42" hidden="1" x14ac:dyDescent="0.3">
      <c r="A9" t="s">
        <v>260</v>
      </c>
      <c r="B9" t="s">
        <v>261</v>
      </c>
      <c r="C9" t="s">
        <v>496</v>
      </c>
      <c r="D9" t="s">
        <v>494</v>
      </c>
      <c r="F9" s="439">
        <v>10.762053</v>
      </c>
      <c r="G9" s="439">
        <v>10.349462000000001</v>
      </c>
      <c r="H9" s="439">
        <v>10.308386</v>
      </c>
      <c r="I9" s="439">
        <v>10.587700999999999</v>
      </c>
      <c r="J9" s="439">
        <v>10.665958</v>
      </c>
      <c r="K9" s="439">
        <v>10.81503</v>
      </c>
      <c r="L9" s="439">
        <v>11.049813</v>
      </c>
      <c r="M9" s="439">
        <v>11.28673</v>
      </c>
      <c r="N9" s="439">
        <v>11.514371000000001</v>
      </c>
      <c r="O9" s="439">
        <v>11.63411</v>
      </c>
      <c r="P9" s="439">
        <v>11.699192</v>
      </c>
      <c r="Q9" s="439">
        <v>11.786046000000001</v>
      </c>
      <c r="R9" s="439">
        <v>12.120506000000001</v>
      </c>
      <c r="S9" s="439">
        <v>12.181336</v>
      </c>
      <c r="T9" s="439">
        <v>12.255589000000001</v>
      </c>
      <c r="U9" s="439">
        <v>12.368527</v>
      </c>
      <c r="V9" s="439">
        <v>12.473045000000001</v>
      </c>
      <c r="W9" s="439">
        <v>12.538551999999999</v>
      </c>
      <c r="X9" s="439">
        <v>12.603673000000001</v>
      </c>
      <c r="Y9" s="439">
        <v>12.676019</v>
      </c>
      <c r="Z9" s="439">
        <v>12.750778</v>
      </c>
      <c r="AA9" s="439">
        <v>12.781488</v>
      </c>
      <c r="AB9" s="439">
        <v>12.826852000000001</v>
      </c>
      <c r="AC9" s="439">
        <v>12.890895</v>
      </c>
      <c r="AD9" s="439">
        <v>12.929836999999999</v>
      </c>
      <c r="AE9" s="439">
        <v>12.990046</v>
      </c>
      <c r="AF9" s="439">
        <v>13.067600000000001</v>
      </c>
      <c r="AG9" s="439">
        <v>13.141575</v>
      </c>
      <c r="AH9" s="439">
        <v>13.236176</v>
      </c>
      <c r="AI9" s="439">
        <v>13.316609</v>
      </c>
      <c r="AJ9" s="439">
        <v>13.400805999999999</v>
      </c>
      <c r="AK9" s="439">
        <v>13.505687</v>
      </c>
      <c r="AL9" s="439">
        <v>13.635227</v>
      </c>
      <c r="AM9" s="439">
        <v>13.725849999999999</v>
      </c>
      <c r="AN9" s="439">
        <v>8.9999999999999993E-3</v>
      </c>
      <c r="AP9" s="4"/>
    </row>
    <row r="10" spans="1:42" hidden="1" x14ac:dyDescent="0.3">
      <c r="A10" t="s">
        <v>262</v>
      </c>
      <c r="B10" t="s">
        <v>263</v>
      </c>
      <c r="C10" t="s">
        <v>497</v>
      </c>
      <c r="D10" t="s">
        <v>494</v>
      </c>
      <c r="F10" s="439">
        <v>38.488106000000002</v>
      </c>
      <c r="G10" s="439">
        <v>36.633426999999998</v>
      </c>
      <c r="H10" s="439">
        <v>36.262298999999999</v>
      </c>
      <c r="I10" s="439">
        <v>36.259982999999998</v>
      </c>
      <c r="J10" s="439">
        <v>36.111263000000001</v>
      </c>
      <c r="K10" s="439">
        <v>36.213172999999998</v>
      </c>
      <c r="L10" s="439">
        <v>36.413792000000001</v>
      </c>
      <c r="M10" s="439">
        <v>36.779381000000001</v>
      </c>
      <c r="N10" s="439">
        <v>37.243701999999999</v>
      </c>
      <c r="O10" s="439">
        <v>37.598320000000001</v>
      </c>
      <c r="P10" s="439">
        <v>37.735236999999998</v>
      </c>
      <c r="Q10" s="439">
        <v>37.899704</v>
      </c>
      <c r="R10" s="439">
        <v>37.947296000000001</v>
      </c>
      <c r="S10" s="439">
        <v>38.082180000000001</v>
      </c>
      <c r="T10" s="439">
        <v>38.186596000000002</v>
      </c>
      <c r="U10" s="439">
        <v>38.398513999999999</v>
      </c>
      <c r="V10" s="439">
        <v>38.522705000000002</v>
      </c>
      <c r="W10" s="439">
        <v>38.597900000000003</v>
      </c>
      <c r="X10" s="439">
        <v>38.626060000000003</v>
      </c>
      <c r="Y10" s="439">
        <v>38.690536000000002</v>
      </c>
      <c r="Z10" s="439">
        <v>38.784931</v>
      </c>
      <c r="AA10" s="439">
        <v>38.775821999999998</v>
      </c>
      <c r="AB10" s="439">
        <v>38.722588000000002</v>
      </c>
      <c r="AC10" s="439">
        <v>38.576571999999999</v>
      </c>
      <c r="AD10" s="439">
        <v>38.678516000000002</v>
      </c>
      <c r="AE10" s="439">
        <v>38.591090999999999</v>
      </c>
      <c r="AF10" s="439">
        <v>38.546447999999998</v>
      </c>
      <c r="AG10" s="439">
        <v>38.507652</v>
      </c>
      <c r="AH10" s="439">
        <v>38.540691000000002</v>
      </c>
      <c r="AI10" s="439">
        <v>38.607036999999998</v>
      </c>
      <c r="AJ10" s="439">
        <v>38.672012000000002</v>
      </c>
      <c r="AK10" s="439">
        <v>38.735863000000002</v>
      </c>
      <c r="AL10" s="439">
        <v>38.737144000000001</v>
      </c>
      <c r="AM10" s="439">
        <v>38.679893</v>
      </c>
      <c r="AN10" s="439">
        <v>2E-3</v>
      </c>
      <c r="AP10" s="4"/>
    </row>
    <row r="11" spans="1:42" hidden="1" x14ac:dyDescent="0.3">
      <c r="A11" t="s">
        <v>264</v>
      </c>
      <c r="C11" t="s">
        <v>498</v>
      </c>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row>
    <row r="12" spans="1:42" hidden="1" x14ac:dyDescent="0.3">
      <c r="A12" t="s">
        <v>256</v>
      </c>
      <c r="B12" t="s">
        <v>265</v>
      </c>
      <c r="C12" t="s">
        <v>499</v>
      </c>
      <c r="D12" t="s">
        <v>494</v>
      </c>
      <c r="F12" s="439">
        <v>15.959046000000001</v>
      </c>
      <c r="G12" s="439">
        <v>18.188956999999998</v>
      </c>
      <c r="H12" s="439">
        <v>19.210678000000001</v>
      </c>
      <c r="I12" s="439">
        <v>19.338408999999999</v>
      </c>
      <c r="J12" s="439">
        <v>19.6614</v>
      </c>
      <c r="K12" s="439">
        <v>20.217510000000001</v>
      </c>
      <c r="L12" s="439">
        <v>20.614308999999999</v>
      </c>
      <c r="M12" s="439">
        <v>21.146528</v>
      </c>
      <c r="N12" s="439">
        <v>21.707816999999999</v>
      </c>
      <c r="O12" s="439">
        <v>22.143961000000001</v>
      </c>
      <c r="P12" s="439">
        <v>22.441953999999999</v>
      </c>
      <c r="Q12" s="439">
        <v>22.649398999999999</v>
      </c>
      <c r="R12" s="439">
        <v>22.961438999999999</v>
      </c>
      <c r="S12" s="439">
        <v>23.013670000000001</v>
      </c>
      <c r="T12" s="439">
        <v>23.085844000000002</v>
      </c>
      <c r="U12" s="439">
        <v>23.248446999999999</v>
      </c>
      <c r="V12" s="439">
        <v>23.447693000000001</v>
      </c>
      <c r="W12" s="439">
        <v>23.634193</v>
      </c>
      <c r="X12" s="439">
        <v>23.791270999999998</v>
      </c>
      <c r="Y12" s="439">
        <v>23.962547000000001</v>
      </c>
      <c r="Z12" s="439">
        <v>24.074074</v>
      </c>
      <c r="AA12" s="439">
        <v>24.153725000000001</v>
      </c>
      <c r="AB12" s="439">
        <v>24.239432999999998</v>
      </c>
      <c r="AC12" s="439">
        <v>24.319403000000001</v>
      </c>
      <c r="AD12" s="439">
        <v>24.356562</v>
      </c>
      <c r="AE12" s="439">
        <v>24.424195999999998</v>
      </c>
      <c r="AF12" s="439">
        <v>24.501367999999999</v>
      </c>
      <c r="AG12" s="439">
        <v>24.572127999999999</v>
      </c>
      <c r="AH12" s="439">
        <v>24.610067000000001</v>
      </c>
      <c r="AI12" s="439">
        <v>24.620560000000001</v>
      </c>
      <c r="AJ12" s="439">
        <v>24.621880999999998</v>
      </c>
      <c r="AK12" s="439">
        <v>24.6189</v>
      </c>
      <c r="AL12" s="439">
        <v>24.574491999999999</v>
      </c>
      <c r="AM12" s="439">
        <v>24.486260999999999</v>
      </c>
      <c r="AN12" s="439">
        <v>8.9999999999999993E-3</v>
      </c>
      <c r="AP12" s="4"/>
    </row>
    <row r="13" spans="1:42" hidden="1" x14ac:dyDescent="0.3">
      <c r="A13" t="s">
        <v>258</v>
      </c>
      <c r="B13" t="s">
        <v>266</v>
      </c>
      <c r="C13" t="s">
        <v>500</v>
      </c>
      <c r="D13" t="s">
        <v>494</v>
      </c>
      <c r="F13" s="439">
        <v>18.644584999999999</v>
      </c>
      <c r="G13" s="439">
        <v>22.280404999999998</v>
      </c>
      <c r="H13" s="439">
        <v>22.725206</v>
      </c>
      <c r="I13" s="439">
        <v>22.275009000000001</v>
      </c>
      <c r="J13" s="439">
        <v>21.603639999999999</v>
      </c>
      <c r="K13" s="439">
        <v>20.817148</v>
      </c>
      <c r="L13" s="439">
        <v>20.410924999999999</v>
      </c>
      <c r="M13" s="439">
        <v>20.433827999999998</v>
      </c>
      <c r="N13" s="439">
        <v>20.957571000000002</v>
      </c>
      <c r="O13" s="439">
        <v>21.378405000000001</v>
      </c>
      <c r="P13" s="439">
        <v>22.065083000000001</v>
      </c>
      <c r="Q13" s="439">
        <v>22.269238999999999</v>
      </c>
      <c r="R13" s="439">
        <v>23.032864</v>
      </c>
      <c r="S13" s="439">
        <v>23.216749</v>
      </c>
      <c r="T13" s="439">
        <v>23.475693</v>
      </c>
      <c r="U13" s="439">
        <v>23.782392999999999</v>
      </c>
      <c r="V13" s="439">
        <v>24.081028</v>
      </c>
      <c r="W13" s="439">
        <v>24.154964</v>
      </c>
      <c r="X13" s="439">
        <v>24.390478000000002</v>
      </c>
      <c r="Y13" s="439">
        <v>24.743936999999999</v>
      </c>
      <c r="Z13" s="439">
        <v>24.665592</v>
      </c>
      <c r="AA13" s="439">
        <v>24.835287000000001</v>
      </c>
      <c r="AB13" s="439">
        <v>24.992104000000001</v>
      </c>
      <c r="AC13" s="439">
        <v>25.145159</v>
      </c>
      <c r="AD13" s="439">
        <v>25.184843000000001</v>
      </c>
      <c r="AE13" s="439">
        <v>25.369177000000001</v>
      </c>
      <c r="AF13" s="439">
        <v>25.378827999999999</v>
      </c>
      <c r="AG13" s="439">
        <v>25.288364000000001</v>
      </c>
      <c r="AH13" s="439">
        <v>25.338854000000001</v>
      </c>
      <c r="AI13" s="439">
        <v>25.244297</v>
      </c>
      <c r="AJ13" s="439">
        <v>25.142015000000001</v>
      </c>
      <c r="AK13" s="439">
        <v>25.180775000000001</v>
      </c>
      <c r="AL13" s="439">
        <v>25.116019999999999</v>
      </c>
      <c r="AM13" s="439">
        <v>25.087949999999999</v>
      </c>
      <c r="AN13" s="439">
        <v>4.0000000000000001E-3</v>
      </c>
      <c r="AP13" s="4"/>
    </row>
    <row r="14" spans="1:42" hidden="1" x14ac:dyDescent="0.3">
      <c r="A14" t="s">
        <v>267</v>
      </c>
      <c r="B14" t="s">
        <v>268</v>
      </c>
      <c r="C14" t="s">
        <v>501</v>
      </c>
      <c r="D14" t="s">
        <v>494</v>
      </c>
      <c r="F14" s="439">
        <v>7.1971360000000004</v>
      </c>
      <c r="G14" s="439">
        <v>9.1115860000000009</v>
      </c>
      <c r="H14" s="439">
        <v>7.1063109999999998</v>
      </c>
      <c r="I14" s="439">
        <v>7.9711590000000001</v>
      </c>
      <c r="J14" s="439">
        <v>8.6377199999999998</v>
      </c>
      <c r="K14" s="439">
        <v>9.1246340000000004</v>
      </c>
      <c r="L14" s="439">
        <v>9.9844480000000004</v>
      </c>
      <c r="M14" s="439">
        <v>11.003679</v>
      </c>
      <c r="N14" s="439">
        <v>11.225566000000001</v>
      </c>
      <c r="O14" s="439">
        <v>11.615656</v>
      </c>
      <c r="P14" s="439">
        <v>12.135197</v>
      </c>
      <c r="Q14" s="439">
        <v>12.331656000000001</v>
      </c>
      <c r="R14" s="439">
        <v>12.732517</v>
      </c>
      <c r="S14" s="439">
        <v>12.839161000000001</v>
      </c>
      <c r="T14" s="439">
        <v>13.047855</v>
      </c>
      <c r="U14" s="439">
        <v>13.29711</v>
      </c>
      <c r="V14" s="439">
        <v>13.377981999999999</v>
      </c>
      <c r="W14" s="439">
        <v>13.523300000000001</v>
      </c>
      <c r="X14" s="439">
        <v>13.667638</v>
      </c>
      <c r="Y14" s="439">
        <v>13.912653000000001</v>
      </c>
      <c r="Z14" s="439">
        <v>14.038328999999999</v>
      </c>
      <c r="AA14" s="439">
        <v>14.095665</v>
      </c>
      <c r="AB14" s="439">
        <v>14.246784</v>
      </c>
      <c r="AC14" s="439">
        <v>14.360436</v>
      </c>
      <c r="AD14" s="439">
        <v>14.455023000000001</v>
      </c>
      <c r="AE14" s="439">
        <v>14.676252</v>
      </c>
      <c r="AF14" s="439">
        <v>14.718348000000001</v>
      </c>
      <c r="AG14" s="439">
        <v>14.716013</v>
      </c>
      <c r="AH14" s="439">
        <v>14.802880999999999</v>
      </c>
      <c r="AI14" s="439">
        <v>14.811135</v>
      </c>
      <c r="AJ14" s="439">
        <v>14.843029</v>
      </c>
      <c r="AK14" s="439">
        <v>14.865582</v>
      </c>
      <c r="AL14" s="439">
        <v>14.836874</v>
      </c>
      <c r="AM14" s="439">
        <v>14.844374999999999</v>
      </c>
      <c r="AN14" s="439">
        <v>1.4999999999999999E-2</v>
      </c>
      <c r="AP14" s="4"/>
    </row>
    <row r="15" spans="1:42" hidden="1" x14ac:dyDescent="0.3">
      <c r="A15" t="s">
        <v>260</v>
      </c>
      <c r="B15" t="s">
        <v>269</v>
      </c>
      <c r="C15" t="s">
        <v>502</v>
      </c>
      <c r="D15" t="s">
        <v>494</v>
      </c>
      <c r="F15" s="439">
        <v>7.8142310000000004</v>
      </c>
      <c r="G15" s="439">
        <v>7.7051670000000003</v>
      </c>
      <c r="H15" s="439">
        <v>7.6449470000000002</v>
      </c>
      <c r="I15" s="439">
        <v>7.8359730000000001</v>
      </c>
      <c r="J15" s="439">
        <v>7.9456769999999999</v>
      </c>
      <c r="K15" s="439">
        <v>8.1237069999999996</v>
      </c>
      <c r="L15" s="439">
        <v>8.3852989999999998</v>
      </c>
      <c r="M15" s="439">
        <v>8.6505030000000005</v>
      </c>
      <c r="N15" s="439">
        <v>8.8299850000000006</v>
      </c>
      <c r="O15" s="439">
        <v>8.9054120000000001</v>
      </c>
      <c r="P15" s="439">
        <v>8.9320950000000003</v>
      </c>
      <c r="Q15" s="439">
        <v>8.9842089999999999</v>
      </c>
      <c r="R15" s="439">
        <v>9.2375410000000002</v>
      </c>
      <c r="S15" s="439">
        <v>9.2636719999999997</v>
      </c>
      <c r="T15" s="439">
        <v>9.3010129999999993</v>
      </c>
      <c r="U15" s="439">
        <v>9.3854050000000004</v>
      </c>
      <c r="V15" s="439">
        <v>9.4610579999999995</v>
      </c>
      <c r="W15" s="439">
        <v>9.4995279999999998</v>
      </c>
      <c r="X15" s="439">
        <v>9.5391910000000006</v>
      </c>
      <c r="Y15" s="439">
        <v>9.5877499999999998</v>
      </c>
      <c r="Z15" s="439">
        <v>9.6394699999999993</v>
      </c>
      <c r="AA15" s="439">
        <v>9.6487599999999993</v>
      </c>
      <c r="AB15" s="439">
        <v>9.674137</v>
      </c>
      <c r="AC15" s="439">
        <v>9.7191089999999996</v>
      </c>
      <c r="AD15" s="439">
        <v>9.7399050000000003</v>
      </c>
      <c r="AE15" s="439">
        <v>9.782349</v>
      </c>
      <c r="AF15" s="439">
        <v>9.8417080000000006</v>
      </c>
      <c r="AG15" s="439">
        <v>9.8977369999999993</v>
      </c>
      <c r="AH15" s="439">
        <v>9.9742730000000002</v>
      </c>
      <c r="AI15" s="439">
        <v>10.037468000000001</v>
      </c>
      <c r="AJ15" s="439">
        <v>10.104244</v>
      </c>
      <c r="AK15" s="439">
        <v>10.191965</v>
      </c>
      <c r="AL15" s="439">
        <v>10.303789999999999</v>
      </c>
      <c r="AM15" s="439">
        <v>10.377399</v>
      </c>
      <c r="AN15" s="439">
        <v>8.9999999999999993E-3</v>
      </c>
      <c r="AP15" s="4"/>
    </row>
    <row r="16" spans="1:42" hidden="1" x14ac:dyDescent="0.3">
      <c r="A16" t="s">
        <v>262</v>
      </c>
      <c r="B16" t="s">
        <v>270</v>
      </c>
      <c r="C16" t="s">
        <v>503</v>
      </c>
      <c r="D16" t="s">
        <v>494</v>
      </c>
      <c r="F16" s="439">
        <v>32.504447999999996</v>
      </c>
      <c r="G16" s="439">
        <v>31.756233000000002</v>
      </c>
      <c r="H16" s="439">
        <v>31.498425999999998</v>
      </c>
      <c r="I16" s="439">
        <v>30.646571999999999</v>
      </c>
      <c r="J16" s="439">
        <v>30.232493999999999</v>
      </c>
      <c r="K16" s="439">
        <v>30.240819999999999</v>
      </c>
      <c r="L16" s="439">
        <v>30.242937000000001</v>
      </c>
      <c r="M16" s="439">
        <v>30.472518999999998</v>
      </c>
      <c r="N16" s="439">
        <v>30.834257000000001</v>
      </c>
      <c r="O16" s="439">
        <v>31.029245</v>
      </c>
      <c r="P16" s="439">
        <v>31.025385</v>
      </c>
      <c r="Q16" s="439">
        <v>31.067132999999998</v>
      </c>
      <c r="R16" s="439">
        <v>30.996099000000001</v>
      </c>
      <c r="S16" s="439">
        <v>31.074831</v>
      </c>
      <c r="T16" s="439">
        <v>31.091024000000001</v>
      </c>
      <c r="U16" s="439">
        <v>31.218472999999999</v>
      </c>
      <c r="V16" s="439">
        <v>31.246531000000001</v>
      </c>
      <c r="W16" s="439">
        <v>31.258299000000001</v>
      </c>
      <c r="X16" s="439">
        <v>31.232683000000002</v>
      </c>
      <c r="Y16" s="439">
        <v>31.266838</v>
      </c>
      <c r="Z16" s="439">
        <v>31.298508000000002</v>
      </c>
      <c r="AA16" s="439">
        <v>31.240503</v>
      </c>
      <c r="AB16" s="439">
        <v>31.132947999999999</v>
      </c>
      <c r="AC16" s="439">
        <v>30.938320000000001</v>
      </c>
      <c r="AD16" s="439">
        <v>31.002241000000001</v>
      </c>
      <c r="AE16" s="439">
        <v>30.879759</v>
      </c>
      <c r="AF16" s="439">
        <v>30.825565000000001</v>
      </c>
      <c r="AG16" s="439">
        <v>30.744913</v>
      </c>
      <c r="AH16" s="439">
        <v>30.716418999999998</v>
      </c>
      <c r="AI16" s="439">
        <v>30.698740000000001</v>
      </c>
      <c r="AJ16" s="439">
        <v>30.691092999999999</v>
      </c>
      <c r="AK16" s="439">
        <v>30.693128999999999</v>
      </c>
      <c r="AL16" s="439">
        <v>30.650694000000001</v>
      </c>
      <c r="AM16" s="439">
        <v>30.547052000000001</v>
      </c>
      <c r="AN16" s="439">
        <v>-1E-3</v>
      </c>
      <c r="AP16" s="4"/>
    </row>
    <row r="17" spans="1:42" hidden="1" x14ac:dyDescent="0.3">
      <c r="A17" t="s">
        <v>271</v>
      </c>
      <c r="C17" t="s">
        <v>504</v>
      </c>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9"/>
      <c r="AN17" s="439"/>
    </row>
    <row r="18" spans="1:42" hidden="1" x14ac:dyDescent="0.3">
      <c r="A18" t="s">
        <v>256</v>
      </c>
      <c r="B18" t="s">
        <v>272</v>
      </c>
      <c r="C18" t="s">
        <v>505</v>
      </c>
      <c r="D18" t="s">
        <v>494</v>
      </c>
      <c r="F18" s="439">
        <v>12.893878000000001</v>
      </c>
      <c r="G18" s="439">
        <v>13.672765999999999</v>
      </c>
      <c r="H18" s="439">
        <v>14.229456000000001</v>
      </c>
      <c r="I18" s="439">
        <v>14.146156</v>
      </c>
      <c r="J18" s="439">
        <v>14.457965</v>
      </c>
      <c r="K18" s="439">
        <v>15.023512</v>
      </c>
      <c r="L18" s="439">
        <v>15.380255</v>
      </c>
      <c r="M18" s="439">
        <v>15.911363</v>
      </c>
      <c r="N18" s="439">
        <v>16.460713999999999</v>
      </c>
      <c r="O18" s="439">
        <v>16.864187000000001</v>
      </c>
      <c r="P18" s="439">
        <v>17.128958000000001</v>
      </c>
      <c r="Q18" s="439">
        <v>17.313670999999999</v>
      </c>
      <c r="R18" s="439">
        <v>17.368542000000001</v>
      </c>
      <c r="S18" s="439">
        <v>17.412827</v>
      </c>
      <c r="T18" s="439">
        <v>17.449695999999999</v>
      </c>
      <c r="U18" s="439">
        <v>17.630033000000001</v>
      </c>
      <c r="V18" s="439">
        <v>17.835062000000001</v>
      </c>
      <c r="W18" s="439">
        <v>18.018038000000001</v>
      </c>
      <c r="X18" s="439">
        <v>18.168430000000001</v>
      </c>
      <c r="Y18" s="439">
        <v>18.340060999999999</v>
      </c>
      <c r="Z18" s="439">
        <v>18.440995999999998</v>
      </c>
      <c r="AA18" s="439">
        <v>18.513915999999998</v>
      </c>
      <c r="AB18" s="439">
        <v>18.599657000000001</v>
      </c>
      <c r="AC18" s="439">
        <v>18.678833000000001</v>
      </c>
      <c r="AD18" s="439">
        <v>18.709067999999998</v>
      </c>
      <c r="AE18" s="439">
        <v>18.781182999999999</v>
      </c>
      <c r="AF18" s="439">
        <v>18.860766999999999</v>
      </c>
      <c r="AG18" s="439">
        <v>18.930902</v>
      </c>
      <c r="AH18" s="439">
        <v>18.963881000000001</v>
      </c>
      <c r="AI18" s="439">
        <v>18.969629000000001</v>
      </c>
      <c r="AJ18" s="439">
        <v>18.969342999999999</v>
      </c>
      <c r="AK18" s="439">
        <v>18.966396</v>
      </c>
      <c r="AL18" s="439">
        <v>18.91544</v>
      </c>
      <c r="AM18" s="439">
        <v>18.819980999999999</v>
      </c>
      <c r="AN18" s="439">
        <v>0.01</v>
      </c>
      <c r="AP18" s="4"/>
    </row>
    <row r="19" spans="1:42" hidden="1" x14ac:dyDescent="0.3">
      <c r="A19" t="s">
        <v>258</v>
      </c>
      <c r="B19" t="s">
        <v>273</v>
      </c>
      <c r="C19" t="s">
        <v>506</v>
      </c>
      <c r="D19" t="s">
        <v>494</v>
      </c>
      <c r="F19" s="439">
        <v>18.578979</v>
      </c>
      <c r="G19" s="439">
        <v>22.200142</v>
      </c>
      <c r="H19" s="439">
        <v>22.630434000000001</v>
      </c>
      <c r="I19" s="439">
        <v>22.178046999999999</v>
      </c>
      <c r="J19" s="439">
        <v>21.516881999999999</v>
      </c>
      <c r="K19" s="439">
        <v>20.749504000000002</v>
      </c>
      <c r="L19" s="439">
        <v>20.359051000000001</v>
      </c>
      <c r="M19" s="439">
        <v>20.412738999999998</v>
      </c>
      <c r="N19" s="439">
        <v>20.976004</v>
      </c>
      <c r="O19" s="439">
        <v>21.402477000000001</v>
      </c>
      <c r="P19" s="439">
        <v>22.098866999999998</v>
      </c>
      <c r="Q19" s="439">
        <v>22.325351999999999</v>
      </c>
      <c r="R19" s="439">
        <v>22.829546000000001</v>
      </c>
      <c r="S19" s="439">
        <v>23.023192999999999</v>
      </c>
      <c r="T19" s="439">
        <v>23.253273</v>
      </c>
      <c r="U19" s="439">
        <v>23.570374000000001</v>
      </c>
      <c r="V19" s="439">
        <v>23.853739000000001</v>
      </c>
      <c r="W19" s="439">
        <v>23.943228000000001</v>
      </c>
      <c r="X19" s="439">
        <v>24.191807000000001</v>
      </c>
      <c r="Y19" s="439">
        <v>24.538627999999999</v>
      </c>
      <c r="Z19" s="439">
        <v>24.476156</v>
      </c>
      <c r="AA19" s="439">
        <v>24.652000000000001</v>
      </c>
      <c r="AB19" s="439">
        <v>24.815096</v>
      </c>
      <c r="AC19" s="439">
        <v>24.956783000000001</v>
      </c>
      <c r="AD19" s="439">
        <v>24.997990000000001</v>
      </c>
      <c r="AE19" s="439">
        <v>25.187014000000001</v>
      </c>
      <c r="AF19" s="439">
        <v>25.196489</v>
      </c>
      <c r="AG19" s="439">
        <v>25.093475000000002</v>
      </c>
      <c r="AH19" s="439">
        <v>25.143630999999999</v>
      </c>
      <c r="AI19" s="439">
        <v>25.042238000000001</v>
      </c>
      <c r="AJ19" s="439">
        <v>24.926275</v>
      </c>
      <c r="AK19" s="439">
        <v>24.968615</v>
      </c>
      <c r="AL19" s="439">
        <v>24.909929000000002</v>
      </c>
      <c r="AM19" s="439">
        <v>24.890149999999998</v>
      </c>
      <c r="AN19" s="439">
        <v>4.0000000000000001E-3</v>
      </c>
      <c r="AP19" s="4"/>
    </row>
    <row r="20" spans="1:42" hidden="1" x14ac:dyDescent="0.3">
      <c r="A20" t="s">
        <v>267</v>
      </c>
      <c r="B20" t="s">
        <v>274</v>
      </c>
      <c r="C20" t="s">
        <v>507</v>
      </c>
      <c r="D20" t="s">
        <v>494</v>
      </c>
      <c r="F20" s="439">
        <v>6.7770619999999999</v>
      </c>
      <c r="G20" s="439">
        <v>8.5998470000000005</v>
      </c>
      <c r="H20" s="439">
        <v>7.191624</v>
      </c>
      <c r="I20" s="439">
        <v>8.3465810000000005</v>
      </c>
      <c r="J20" s="439">
        <v>9.4431239999999992</v>
      </c>
      <c r="K20" s="439">
        <v>10.349281</v>
      </c>
      <c r="L20" s="439">
        <v>11.596978</v>
      </c>
      <c r="M20" s="439">
        <v>13.042707999999999</v>
      </c>
      <c r="N20" s="439">
        <v>13.284571</v>
      </c>
      <c r="O20" s="439">
        <v>13.671595999999999</v>
      </c>
      <c r="P20" s="439">
        <v>14.231192</v>
      </c>
      <c r="Q20" s="439">
        <v>14.398548999999999</v>
      </c>
      <c r="R20" s="439">
        <v>14.80683</v>
      </c>
      <c r="S20" s="439">
        <v>14.915162</v>
      </c>
      <c r="T20" s="439">
        <v>15.107379</v>
      </c>
      <c r="U20" s="439">
        <v>15.334104999999999</v>
      </c>
      <c r="V20" s="439">
        <v>15.475477</v>
      </c>
      <c r="W20" s="439">
        <v>15.581721999999999</v>
      </c>
      <c r="X20" s="439">
        <v>15.734812</v>
      </c>
      <c r="Y20" s="439">
        <v>15.990114</v>
      </c>
      <c r="Z20" s="439">
        <v>16.067254999999999</v>
      </c>
      <c r="AA20" s="439">
        <v>16.133452999999999</v>
      </c>
      <c r="AB20" s="439">
        <v>16.273457000000001</v>
      </c>
      <c r="AC20" s="439">
        <v>16.401865000000001</v>
      </c>
      <c r="AD20" s="439">
        <v>16.486775999999999</v>
      </c>
      <c r="AE20" s="439">
        <v>16.706976000000001</v>
      </c>
      <c r="AF20" s="439">
        <v>16.738852000000001</v>
      </c>
      <c r="AG20" s="439">
        <v>16.732500000000002</v>
      </c>
      <c r="AH20" s="439">
        <v>16.807371</v>
      </c>
      <c r="AI20" s="439">
        <v>16.814329000000001</v>
      </c>
      <c r="AJ20" s="439">
        <v>16.841740000000001</v>
      </c>
      <c r="AK20" s="439">
        <v>16.858460999999998</v>
      </c>
      <c r="AL20" s="439">
        <v>16.825422</v>
      </c>
      <c r="AM20" s="439">
        <v>16.827777999999999</v>
      </c>
      <c r="AN20" s="439">
        <v>2.1000000000000001E-2</v>
      </c>
      <c r="AP20" s="4"/>
    </row>
    <row r="21" spans="1:42" hidden="1" x14ac:dyDescent="0.3">
      <c r="A21" t="s">
        <v>260</v>
      </c>
      <c r="B21" t="s">
        <v>275</v>
      </c>
      <c r="C21" t="s">
        <v>508</v>
      </c>
      <c r="D21" t="s">
        <v>494</v>
      </c>
      <c r="F21" s="439">
        <v>3.882441</v>
      </c>
      <c r="G21" s="439">
        <v>3.89018</v>
      </c>
      <c r="H21" s="439">
        <v>3.9292989999999999</v>
      </c>
      <c r="I21" s="439">
        <v>3.9911599999999998</v>
      </c>
      <c r="J21" s="439">
        <v>3.9011830000000001</v>
      </c>
      <c r="K21" s="439">
        <v>3.9090189999999998</v>
      </c>
      <c r="L21" s="439">
        <v>4.0262250000000002</v>
      </c>
      <c r="M21" s="439">
        <v>4.1779270000000004</v>
      </c>
      <c r="N21" s="439">
        <v>4.3945990000000004</v>
      </c>
      <c r="O21" s="439">
        <v>4.471222</v>
      </c>
      <c r="P21" s="439">
        <v>4.4887119999999996</v>
      </c>
      <c r="Q21" s="439">
        <v>4.5614819999999998</v>
      </c>
      <c r="R21" s="439">
        <v>4.5557129999999999</v>
      </c>
      <c r="S21" s="439">
        <v>4.5894469999999998</v>
      </c>
      <c r="T21" s="439">
        <v>4.5766710000000002</v>
      </c>
      <c r="U21" s="439">
        <v>4.6988320000000003</v>
      </c>
      <c r="V21" s="439">
        <v>4.7630100000000004</v>
      </c>
      <c r="W21" s="439">
        <v>4.8079669999999997</v>
      </c>
      <c r="X21" s="439">
        <v>4.8476470000000003</v>
      </c>
      <c r="Y21" s="439">
        <v>4.9155860000000002</v>
      </c>
      <c r="Z21" s="439">
        <v>4.945252</v>
      </c>
      <c r="AA21" s="439">
        <v>4.9520390000000001</v>
      </c>
      <c r="AB21" s="439">
        <v>4.9726759999999999</v>
      </c>
      <c r="AC21" s="439">
        <v>5.0305119999999999</v>
      </c>
      <c r="AD21" s="439">
        <v>5.0251960000000002</v>
      </c>
      <c r="AE21" s="439">
        <v>5.0657550000000002</v>
      </c>
      <c r="AF21" s="439">
        <v>5.1269600000000004</v>
      </c>
      <c r="AG21" s="439">
        <v>5.209015</v>
      </c>
      <c r="AH21" s="439">
        <v>5.2887209999999998</v>
      </c>
      <c r="AI21" s="439">
        <v>5.3486390000000004</v>
      </c>
      <c r="AJ21" s="439">
        <v>5.4245469999999996</v>
      </c>
      <c r="AK21" s="439">
        <v>5.5511109999999997</v>
      </c>
      <c r="AL21" s="439">
        <v>5.6553009999999997</v>
      </c>
      <c r="AM21" s="439">
        <v>5.7391629999999996</v>
      </c>
      <c r="AN21" s="439">
        <v>1.2E-2</v>
      </c>
      <c r="AP21" s="4"/>
    </row>
    <row r="22" spans="1:42" hidden="1" x14ac:dyDescent="0.3">
      <c r="A22" t="s">
        <v>276</v>
      </c>
      <c r="B22" t="s">
        <v>277</v>
      </c>
      <c r="C22" t="s">
        <v>509</v>
      </c>
      <c r="D22" t="s">
        <v>494</v>
      </c>
      <c r="F22" s="439">
        <v>4.6546649999999996</v>
      </c>
      <c r="G22" s="439">
        <v>5.232799</v>
      </c>
      <c r="H22" s="439">
        <v>4.910609</v>
      </c>
      <c r="I22" s="439">
        <v>4.7979989999999999</v>
      </c>
      <c r="J22" s="439">
        <v>4.6075619999999997</v>
      </c>
      <c r="K22" s="439">
        <v>4.5412679999999996</v>
      </c>
      <c r="L22" s="439">
        <v>4.5061349999999996</v>
      </c>
      <c r="M22" s="439">
        <v>4.5257019999999999</v>
      </c>
      <c r="N22" s="439">
        <v>4.5502760000000002</v>
      </c>
      <c r="O22" s="439">
        <v>4.5826320000000003</v>
      </c>
      <c r="P22" s="439">
        <v>4.6175569999999997</v>
      </c>
      <c r="Q22" s="439">
        <v>4.6431740000000001</v>
      </c>
      <c r="R22" s="439">
        <v>4.6885279999999998</v>
      </c>
      <c r="S22" s="439">
        <v>4.7106849999999998</v>
      </c>
      <c r="T22" s="439">
        <v>4.7482639999999998</v>
      </c>
      <c r="U22" s="439">
        <v>4.7781479999999998</v>
      </c>
      <c r="V22" s="439">
        <v>4.7896729999999996</v>
      </c>
      <c r="W22" s="439">
        <v>4.8049419999999996</v>
      </c>
      <c r="X22" s="439">
        <v>4.8272269999999997</v>
      </c>
      <c r="Y22" s="439">
        <v>4.8500050000000003</v>
      </c>
      <c r="Z22" s="439">
        <v>4.8617650000000001</v>
      </c>
      <c r="AA22" s="439">
        <v>4.8752639999999996</v>
      </c>
      <c r="AB22" s="439">
        <v>4.883718</v>
      </c>
      <c r="AC22" s="439">
        <v>4.8905099999999999</v>
      </c>
      <c r="AD22" s="439">
        <v>4.9063889999999999</v>
      </c>
      <c r="AE22" s="439">
        <v>4.918361</v>
      </c>
      <c r="AF22" s="439">
        <v>4.9276099999999996</v>
      </c>
      <c r="AG22" s="439">
        <v>4.9461009999999996</v>
      </c>
      <c r="AH22" s="439">
        <v>4.9751960000000004</v>
      </c>
      <c r="AI22" s="439">
        <v>4.9832830000000001</v>
      </c>
      <c r="AJ22" s="439">
        <v>4.997738</v>
      </c>
      <c r="AK22" s="439">
        <v>5.0115530000000001</v>
      </c>
      <c r="AL22" s="439">
        <v>5.0221010000000001</v>
      </c>
      <c r="AM22" s="439">
        <v>5.033995</v>
      </c>
      <c r="AN22" s="439">
        <v>-1E-3</v>
      </c>
      <c r="AP22" s="4"/>
    </row>
    <row r="23" spans="1:42" hidden="1" x14ac:dyDescent="0.3">
      <c r="A23" t="s">
        <v>278</v>
      </c>
      <c r="B23" t="s">
        <v>279</v>
      </c>
      <c r="C23" t="s">
        <v>510</v>
      </c>
      <c r="D23" t="s">
        <v>494</v>
      </c>
      <c r="F23" s="439">
        <v>2.8399559999999999</v>
      </c>
      <c r="G23" s="439">
        <v>3.2970389999999998</v>
      </c>
      <c r="H23" s="439">
        <v>3.3016809999999999</v>
      </c>
      <c r="I23" s="439">
        <v>3.4485410000000001</v>
      </c>
      <c r="J23" s="439">
        <v>3.424077</v>
      </c>
      <c r="K23" s="439">
        <v>3.4384429999999999</v>
      </c>
      <c r="L23" s="439">
        <v>3.439368</v>
      </c>
      <c r="M23" s="439">
        <v>3.4278650000000002</v>
      </c>
      <c r="N23" s="439">
        <v>3.4496980000000002</v>
      </c>
      <c r="O23" s="439">
        <v>3.4632779999999999</v>
      </c>
      <c r="P23" s="439">
        <v>3.4795950000000002</v>
      </c>
      <c r="Q23" s="439">
        <v>3.4810370000000002</v>
      </c>
      <c r="R23" s="439">
        <v>3.4944009999999999</v>
      </c>
      <c r="S23" s="439">
        <v>3.5134020000000001</v>
      </c>
      <c r="T23" s="439">
        <v>3.5269330000000001</v>
      </c>
      <c r="U23" s="439">
        <v>3.526284</v>
      </c>
      <c r="V23" s="439">
        <v>3.5255380000000001</v>
      </c>
      <c r="W23" s="439">
        <v>3.5279910000000001</v>
      </c>
      <c r="X23" s="439">
        <v>3.5074879999999999</v>
      </c>
      <c r="Y23" s="439">
        <v>3.5179260000000001</v>
      </c>
      <c r="Z23" s="439">
        <v>3.5255019999999999</v>
      </c>
      <c r="AA23" s="439">
        <v>3.5352079999999999</v>
      </c>
      <c r="AB23" s="439">
        <v>3.5426160000000002</v>
      </c>
      <c r="AC23" s="439">
        <v>3.546675</v>
      </c>
      <c r="AD23" s="439">
        <v>3.550233</v>
      </c>
      <c r="AE23" s="439">
        <v>3.5580620000000001</v>
      </c>
      <c r="AF23" s="439">
        <v>3.5640309999999999</v>
      </c>
      <c r="AG23" s="439">
        <v>3.5698889999999999</v>
      </c>
      <c r="AH23" s="439">
        <v>3.5777950000000001</v>
      </c>
      <c r="AI23" s="439">
        <v>3.5878100000000002</v>
      </c>
      <c r="AJ23" s="439">
        <v>3.5943830000000001</v>
      </c>
      <c r="AK23" s="439">
        <v>3.6033740000000001</v>
      </c>
      <c r="AL23" s="439">
        <v>3.612724</v>
      </c>
      <c r="AM23" s="439">
        <v>3.6222479999999999</v>
      </c>
      <c r="AN23" s="439">
        <v>3.0000000000000001E-3</v>
      </c>
      <c r="AP23" s="4"/>
    </row>
    <row r="24" spans="1:42" hidden="1" x14ac:dyDescent="0.3">
      <c r="A24" t="s">
        <v>280</v>
      </c>
      <c r="B24" t="s">
        <v>281</v>
      </c>
      <c r="C24" t="s">
        <v>511</v>
      </c>
      <c r="D24" t="s">
        <v>494</v>
      </c>
      <c r="F24" s="439">
        <v>0</v>
      </c>
      <c r="G24" s="439">
        <v>0</v>
      </c>
      <c r="H24" s="439">
        <v>0</v>
      </c>
      <c r="I24" s="439">
        <v>0</v>
      </c>
      <c r="J24" s="439">
        <v>0</v>
      </c>
      <c r="K24" s="439">
        <v>0</v>
      </c>
      <c r="L24" s="439">
        <v>0</v>
      </c>
      <c r="M24" s="439">
        <v>0</v>
      </c>
      <c r="N24" s="439">
        <v>0</v>
      </c>
      <c r="O24" s="439">
        <v>0</v>
      </c>
      <c r="P24" s="439">
        <v>0</v>
      </c>
      <c r="Q24" s="439">
        <v>0</v>
      </c>
      <c r="R24" s="439">
        <v>0</v>
      </c>
      <c r="S24" s="439">
        <v>0</v>
      </c>
      <c r="T24" s="439">
        <v>0</v>
      </c>
      <c r="U24" s="439">
        <v>0</v>
      </c>
      <c r="V24" s="439">
        <v>0</v>
      </c>
      <c r="W24" s="439">
        <v>0</v>
      </c>
      <c r="X24" s="439">
        <v>0</v>
      </c>
      <c r="Y24" s="439">
        <v>0</v>
      </c>
      <c r="Z24" s="439">
        <v>0</v>
      </c>
      <c r="AA24" s="439">
        <v>0</v>
      </c>
      <c r="AB24" s="439">
        <v>0</v>
      </c>
      <c r="AC24" s="439">
        <v>0</v>
      </c>
      <c r="AD24" s="439">
        <v>0</v>
      </c>
      <c r="AE24" s="439">
        <v>0</v>
      </c>
      <c r="AF24" s="439">
        <v>0</v>
      </c>
      <c r="AG24" s="439">
        <v>0</v>
      </c>
      <c r="AH24" s="439">
        <v>0</v>
      </c>
      <c r="AI24" s="439">
        <v>0</v>
      </c>
      <c r="AJ24" s="439">
        <v>0</v>
      </c>
      <c r="AK24" s="439">
        <v>0</v>
      </c>
      <c r="AL24" s="439">
        <v>0</v>
      </c>
      <c r="AM24" s="439">
        <v>0</v>
      </c>
      <c r="AN24" s="439" t="s">
        <v>282</v>
      </c>
    </row>
    <row r="25" spans="1:42" hidden="1" x14ac:dyDescent="0.3">
      <c r="A25" t="s">
        <v>262</v>
      </c>
      <c r="B25" t="s">
        <v>283</v>
      </c>
      <c r="C25" t="s">
        <v>512</v>
      </c>
      <c r="D25" t="s">
        <v>494</v>
      </c>
      <c r="F25" s="439">
        <v>20.548190999999999</v>
      </c>
      <c r="G25" s="439">
        <v>20.940262000000001</v>
      </c>
      <c r="H25" s="439">
        <v>20.855512999999998</v>
      </c>
      <c r="I25" s="439">
        <v>19.874991999999999</v>
      </c>
      <c r="J25" s="439">
        <v>19.485316999999998</v>
      </c>
      <c r="K25" s="439">
        <v>19.428626999999999</v>
      </c>
      <c r="L25" s="439">
        <v>19.415946999999999</v>
      </c>
      <c r="M25" s="439">
        <v>19.516535000000001</v>
      </c>
      <c r="N25" s="439">
        <v>19.810248999999999</v>
      </c>
      <c r="O25" s="439">
        <v>19.910247999999999</v>
      </c>
      <c r="P25" s="439">
        <v>19.878444999999999</v>
      </c>
      <c r="Q25" s="439">
        <v>19.891821</v>
      </c>
      <c r="R25" s="439">
        <v>19.845541000000001</v>
      </c>
      <c r="S25" s="439">
        <v>19.895706000000001</v>
      </c>
      <c r="T25" s="439">
        <v>19.883617000000001</v>
      </c>
      <c r="U25" s="439">
        <v>19.981601999999999</v>
      </c>
      <c r="V25" s="439">
        <v>20.004923000000002</v>
      </c>
      <c r="W25" s="439">
        <v>20.023371000000001</v>
      </c>
      <c r="X25" s="439">
        <v>20.017123999999999</v>
      </c>
      <c r="Y25" s="439">
        <v>20.064572999999999</v>
      </c>
      <c r="Z25" s="439">
        <v>20.098167</v>
      </c>
      <c r="AA25" s="439">
        <v>20.075634000000001</v>
      </c>
      <c r="AB25" s="439">
        <v>20.040796</v>
      </c>
      <c r="AC25" s="439">
        <v>19.948080000000001</v>
      </c>
      <c r="AD25" s="439">
        <v>19.989543999999999</v>
      </c>
      <c r="AE25" s="439">
        <v>19.917560999999999</v>
      </c>
      <c r="AF25" s="439">
        <v>19.911619000000002</v>
      </c>
      <c r="AG25" s="439">
        <v>19.879860000000001</v>
      </c>
      <c r="AH25" s="439">
        <v>19.901291000000001</v>
      </c>
      <c r="AI25" s="439">
        <v>19.933903000000001</v>
      </c>
      <c r="AJ25" s="439">
        <v>19.984131000000001</v>
      </c>
      <c r="AK25" s="439">
        <v>20.040602</v>
      </c>
      <c r="AL25" s="439">
        <v>20.076283</v>
      </c>
      <c r="AM25" s="439">
        <v>20.090769000000002</v>
      </c>
      <c r="AN25" s="439">
        <v>-1E-3</v>
      </c>
      <c r="AP25" s="4"/>
    </row>
    <row r="26" spans="1:42" hidden="1" x14ac:dyDescent="0.3">
      <c r="A26" t="s">
        <v>284</v>
      </c>
      <c r="C26" t="s">
        <v>513</v>
      </c>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row>
    <row r="27" spans="1:42" hidden="1" x14ac:dyDescent="0.3">
      <c r="A27" t="s">
        <v>256</v>
      </c>
      <c r="B27" t="s">
        <v>285</v>
      </c>
      <c r="C27" t="s">
        <v>514</v>
      </c>
      <c r="D27" t="s">
        <v>494</v>
      </c>
      <c r="F27" s="439">
        <v>19.093874</v>
      </c>
      <c r="G27" s="439">
        <v>18.011908999999999</v>
      </c>
      <c r="H27" s="439">
        <v>18.204725</v>
      </c>
      <c r="I27" s="439">
        <v>18.120722000000001</v>
      </c>
      <c r="J27" s="439">
        <v>18.36891</v>
      </c>
      <c r="K27" s="439">
        <v>18.845790999999998</v>
      </c>
      <c r="L27" s="439">
        <v>19.167532000000001</v>
      </c>
      <c r="M27" s="439">
        <v>19.618653999999999</v>
      </c>
      <c r="N27" s="439">
        <v>20.087505</v>
      </c>
      <c r="O27" s="439">
        <v>20.440956</v>
      </c>
      <c r="P27" s="439">
        <v>20.675909000000001</v>
      </c>
      <c r="Q27" s="439">
        <v>20.838861000000001</v>
      </c>
      <c r="R27" s="439">
        <v>21.52054</v>
      </c>
      <c r="S27" s="439">
        <v>21.555557</v>
      </c>
      <c r="T27" s="439">
        <v>21.671859999999999</v>
      </c>
      <c r="U27" s="439">
        <v>21.807725999999999</v>
      </c>
      <c r="V27" s="439">
        <v>21.969311000000001</v>
      </c>
      <c r="W27" s="439">
        <v>22.115055000000002</v>
      </c>
      <c r="X27" s="439">
        <v>22.233149000000001</v>
      </c>
      <c r="Y27" s="439">
        <v>22.367972999999999</v>
      </c>
      <c r="Z27" s="439">
        <v>22.448108999999999</v>
      </c>
      <c r="AA27" s="439">
        <v>22.502665</v>
      </c>
      <c r="AB27" s="439">
        <v>22.564640000000001</v>
      </c>
      <c r="AC27" s="439">
        <v>22.621523</v>
      </c>
      <c r="AD27" s="439">
        <v>22.640591000000001</v>
      </c>
      <c r="AE27" s="439">
        <v>22.688993</v>
      </c>
      <c r="AF27" s="439">
        <v>22.745186</v>
      </c>
      <c r="AG27" s="439">
        <v>22.794394</v>
      </c>
      <c r="AH27" s="439">
        <v>22.814636</v>
      </c>
      <c r="AI27" s="439">
        <v>22.812548</v>
      </c>
      <c r="AJ27" s="439">
        <v>22.802803000000001</v>
      </c>
      <c r="AK27" s="439">
        <v>22.793049</v>
      </c>
      <c r="AL27" s="439">
        <v>22.745712000000001</v>
      </c>
      <c r="AM27" s="439">
        <v>22.661757999999999</v>
      </c>
      <c r="AN27" s="439">
        <v>7.0000000000000001E-3</v>
      </c>
      <c r="AP27" s="4"/>
    </row>
    <row r="28" spans="1:42" hidden="1" x14ac:dyDescent="0.3">
      <c r="A28" t="s">
        <v>286</v>
      </c>
      <c r="B28" t="s">
        <v>287</v>
      </c>
      <c r="C28" t="s">
        <v>515</v>
      </c>
      <c r="D28" t="s">
        <v>494</v>
      </c>
      <c r="F28" s="439">
        <v>22.146609999999999</v>
      </c>
      <c r="G28" s="439">
        <v>29.232935000000001</v>
      </c>
      <c r="H28" s="439">
        <v>34.052211999999997</v>
      </c>
      <c r="I28" s="439">
        <v>32.993298000000003</v>
      </c>
      <c r="J28" s="439">
        <v>32.699516000000003</v>
      </c>
      <c r="K28" s="439">
        <v>31.772414999999999</v>
      </c>
      <c r="L28" s="439">
        <v>31.519120999999998</v>
      </c>
      <c r="M28" s="439">
        <v>29.401441999999999</v>
      </c>
      <c r="N28" s="439">
        <v>26.987891999999999</v>
      </c>
      <c r="O28" s="439">
        <v>26.807842000000001</v>
      </c>
      <c r="P28" s="439">
        <v>26.192710999999999</v>
      </c>
      <c r="Q28" s="439">
        <v>25.483084000000002</v>
      </c>
      <c r="R28" s="439">
        <v>25.746527</v>
      </c>
      <c r="S28" s="439">
        <v>24.796619</v>
      </c>
      <c r="T28" s="439">
        <v>24.859034000000001</v>
      </c>
      <c r="U28" s="439">
        <v>24.914490000000001</v>
      </c>
      <c r="V28" s="439">
        <v>24.666086</v>
      </c>
      <c r="W28" s="439">
        <v>24.325018</v>
      </c>
      <c r="X28" s="439">
        <v>24.332386</v>
      </c>
      <c r="Y28" s="439">
        <v>24.364547999999999</v>
      </c>
      <c r="Z28" s="439">
        <v>24.223488</v>
      </c>
      <c r="AA28" s="439">
        <v>24.431009</v>
      </c>
      <c r="AB28" s="439">
        <v>24.847304999999999</v>
      </c>
      <c r="AC28" s="439">
        <v>25.342030000000001</v>
      </c>
      <c r="AD28" s="439">
        <v>26.058499999999999</v>
      </c>
      <c r="AE28" s="439">
        <v>26.868804999999998</v>
      </c>
      <c r="AF28" s="439">
        <v>27.726488</v>
      </c>
      <c r="AG28" s="439">
        <v>28.261793000000001</v>
      </c>
      <c r="AH28" s="439">
        <v>28.801780999999998</v>
      </c>
      <c r="AI28" s="439">
        <v>30.356558</v>
      </c>
      <c r="AJ28" s="439">
        <v>32.465274999999998</v>
      </c>
      <c r="AK28" s="439">
        <v>34.002827000000003</v>
      </c>
      <c r="AL28" s="439">
        <v>33.970126999999998</v>
      </c>
      <c r="AM28" s="439">
        <v>33.849567</v>
      </c>
      <c r="AN28" s="439">
        <v>5.0000000000000001E-3</v>
      </c>
      <c r="AP28" s="4"/>
    </row>
    <row r="29" spans="1:42" hidden="1" x14ac:dyDescent="0.3">
      <c r="A29" t="s">
        <v>288</v>
      </c>
      <c r="B29" t="s">
        <v>289</v>
      </c>
      <c r="C29" t="s">
        <v>516</v>
      </c>
      <c r="D29" t="s">
        <v>494</v>
      </c>
      <c r="F29" s="439">
        <v>21.520517000000002</v>
      </c>
      <c r="G29" s="439">
        <v>24.06465</v>
      </c>
      <c r="H29" s="439">
        <v>24.234852</v>
      </c>
      <c r="I29" s="439">
        <v>24.960867</v>
      </c>
      <c r="J29" s="439">
        <v>25.147348000000001</v>
      </c>
      <c r="K29" s="439">
        <v>25.215456</v>
      </c>
      <c r="L29" s="439">
        <v>25.564999</v>
      </c>
      <c r="M29" s="439">
        <v>25.915911000000001</v>
      </c>
      <c r="N29" s="439">
        <v>26.205998999999998</v>
      </c>
      <c r="O29" s="439">
        <v>26.421569999999999</v>
      </c>
      <c r="P29" s="439">
        <v>26.967485</v>
      </c>
      <c r="Q29" s="439">
        <v>27.159894999999999</v>
      </c>
      <c r="R29" s="439">
        <v>27.825689000000001</v>
      </c>
      <c r="S29" s="439">
        <v>27.940798000000001</v>
      </c>
      <c r="T29" s="439">
        <v>28.244510999999999</v>
      </c>
      <c r="U29" s="439">
        <v>28.481456999999999</v>
      </c>
      <c r="V29" s="439">
        <v>28.597303</v>
      </c>
      <c r="W29" s="439">
        <v>28.805796000000001</v>
      </c>
      <c r="X29" s="439">
        <v>28.990618000000001</v>
      </c>
      <c r="Y29" s="439">
        <v>29.231501000000002</v>
      </c>
      <c r="Z29" s="439">
        <v>29.229696000000001</v>
      </c>
      <c r="AA29" s="439">
        <v>29.398031</v>
      </c>
      <c r="AB29" s="439">
        <v>29.585927999999999</v>
      </c>
      <c r="AC29" s="439">
        <v>29.794042999999999</v>
      </c>
      <c r="AD29" s="439">
        <v>29.89752</v>
      </c>
      <c r="AE29" s="439">
        <v>30.132586</v>
      </c>
      <c r="AF29" s="439">
        <v>30.180281000000001</v>
      </c>
      <c r="AG29" s="439">
        <v>30.181252000000001</v>
      </c>
      <c r="AH29" s="439">
        <v>30.247581</v>
      </c>
      <c r="AI29" s="439">
        <v>30.342438000000001</v>
      </c>
      <c r="AJ29" s="439">
        <v>30.418403999999999</v>
      </c>
      <c r="AK29" s="439">
        <v>30.564876999999999</v>
      </c>
      <c r="AL29" s="439">
        <v>30.581316000000001</v>
      </c>
      <c r="AM29" s="439">
        <v>30.573440999999999</v>
      </c>
      <c r="AN29" s="439">
        <v>8.0000000000000002E-3</v>
      </c>
      <c r="AP29" s="4"/>
    </row>
    <row r="30" spans="1:42" hidden="1" x14ac:dyDescent="0.3">
      <c r="A30" t="s">
        <v>290</v>
      </c>
      <c r="B30" t="s">
        <v>291</v>
      </c>
      <c r="C30" t="s">
        <v>517</v>
      </c>
      <c r="D30" t="s">
        <v>494</v>
      </c>
      <c r="F30" s="439">
        <v>12.362413999999999</v>
      </c>
      <c r="G30" s="439">
        <v>16.156372000000001</v>
      </c>
      <c r="H30" s="439">
        <v>16.221107</v>
      </c>
      <c r="I30" s="439">
        <v>17.391456999999999</v>
      </c>
      <c r="J30" s="439">
        <v>17.198521</v>
      </c>
      <c r="K30" s="439">
        <v>16.965547999999998</v>
      </c>
      <c r="L30" s="439">
        <v>17.220293000000002</v>
      </c>
      <c r="M30" s="439">
        <v>17.500954</v>
      </c>
      <c r="N30" s="439">
        <v>17.782360000000001</v>
      </c>
      <c r="O30" s="439">
        <v>18.167006000000001</v>
      </c>
      <c r="P30" s="439">
        <v>18.670538000000001</v>
      </c>
      <c r="Q30" s="439">
        <v>19.052686999999999</v>
      </c>
      <c r="R30" s="439">
        <v>19.759250999999999</v>
      </c>
      <c r="S30" s="439">
        <v>19.880825000000002</v>
      </c>
      <c r="T30" s="439">
        <v>20.144784999999999</v>
      </c>
      <c r="U30" s="439">
        <v>20.545508999999999</v>
      </c>
      <c r="V30" s="439">
        <v>20.768360000000001</v>
      </c>
      <c r="W30" s="439">
        <v>20.927616</v>
      </c>
      <c r="X30" s="439">
        <v>21.206121</v>
      </c>
      <c r="Y30" s="439">
        <v>21.536283000000001</v>
      </c>
      <c r="Z30" s="439">
        <v>21.578913</v>
      </c>
      <c r="AA30" s="439">
        <v>21.784565000000001</v>
      </c>
      <c r="AB30" s="439">
        <v>21.975338000000001</v>
      </c>
      <c r="AC30" s="439">
        <v>22.095026000000001</v>
      </c>
      <c r="AD30" s="439">
        <v>22.210664999999999</v>
      </c>
      <c r="AE30" s="439">
        <v>22.446021999999999</v>
      </c>
      <c r="AF30" s="439">
        <v>22.556460999999999</v>
      </c>
      <c r="AG30" s="439">
        <v>22.518681999999998</v>
      </c>
      <c r="AH30" s="439">
        <v>22.683077000000001</v>
      </c>
      <c r="AI30" s="439">
        <v>22.670938</v>
      </c>
      <c r="AJ30" s="439">
        <v>22.731850000000001</v>
      </c>
      <c r="AK30" s="439">
        <v>22.876764000000001</v>
      </c>
      <c r="AL30" s="439">
        <v>22.842226</v>
      </c>
      <c r="AM30" s="439">
        <v>22.833984000000001</v>
      </c>
      <c r="AN30" s="439">
        <v>1.0999999999999999E-2</v>
      </c>
      <c r="AP30" s="4"/>
    </row>
    <row r="31" spans="1:42" hidden="1" x14ac:dyDescent="0.3">
      <c r="A31" t="s">
        <v>292</v>
      </c>
      <c r="B31" t="s">
        <v>293</v>
      </c>
      <c r="C31" t="s">
        <v>518</v>
      </c>
      <c r="D31" t="s">
        <v>494</v>
      </c>
      <c r="F31" s="439">
        <v>19.586186999999999</v>
      </c>
      <c r="G31" s="439">
        <v>23.159742000000001</v>
      </c>
      <c r="H31" s="439">
        <v>22.720023999999999</v>
      </c>
      <c r="I31" s="439">
        <v>24.200548000000001</v>
      </c>
      <c r="J31" s="439">
        <v>24.279845999999999</v>
      </c>
      <c r="K31" s="439">
        <v>24.073951999999998</v>
      </c>
      <c r="L31" s="439">
        <v>24.335906999999999</v>
      </c>
      <c r="M31" s="439">
        <v>24.835159000000001</v>
      </c>
      <c r="N31" s="439">
        <v>25.221354000000002</v>
      </c>
      <c r="O31" s="439">
        <v>25.402543999999999</v>
      </c>
      <c r="P31" s="439">
        <v>26.099861000000001</v>
      </c>
      <c r="Q31" s="439">
        <v>26.332129999999999</v>
      </c>
      <c r="R31" s="439">
        <v>27.170646999999999</v>
      </c>
      <c r="S31" s="439">
        <v>27.382055000000001</v>
      </c>
      <c r="T31" s="439">
        <v>27.67717</v>
      </c>
      <c r="U31" s="439">
        <v>27.993576000000001</v>
      </c>
      <c r="V31" s="439">
        <v>28.269873</v>
      </c>
      <c r="W31" s="439">
        <v>28.361291999999999</v>
      </c>
      <c r="X31" s="439">
        <v>28.632473000000001</v>
      </c>
      <c r="Y31" s="439">
        <v>28.963840000000001</v>
      </c>
      <c r="Z31" s="439">
        <v>28.901509999999998</v>
      </c>
      <c r="AA31" s="439">
        <v>29.080636999999999</v>
      </c>
      <c r="AB31" s="439">
        <v>29.239021000000001</v>
      </c>
      <c r="AC31" s="439">
        <v>29.376836999999998</v>
      </c>
      <c r="AD31" s="439">
        <v>29.398700999999999</v>
      </c>
      <c r="AE31" s="439">
        <v>29.566365999999999</v>
      </c>
      <c r="AF31" s="439">
        <v>29.566801000000002</v>
      </c>
      <c r="AG31" s="439">
        <v>29.445443999999998</v>
      </c>
      <c r="AH31" s="439">
        <v>29.487279999999998</v>
      </c>
      <c r="AI31" s="439">
        <v>29.349450999999998</v>
      </c>
      <c r="AJ31" s="439">
        <v>29.202044999999998</v>
      </c>
      <c r="AK31" s="439">
        <v>29.22777</v>
      </c>
      <c r="AL31" s="439">
        <v>29.166457999999999</v>
      </c>
      <c r="AM31" s="439">
        <v>29.156123999999998</v>
      </c>
      <c r="AN31" s="439">
        <v>7.0000000000000001E-3</v>
      </c>
      <c r="AP31" s="4"/>
    </row>
    <row r="32" spans="1:42" hidden="1" x14ac:dyDescent="0.3">
      <c r="A32" t="s">
        <v>267</v>
      </c>
      <c r="B32" t="s">
        <v>294</v>
      </c>
      <c r="C32" t="s">
        <v>519</v>
      </c>
      <c r="D32" t="s">
        <v>494</v>
      </c>
      <c r="F32" s="439">
        <v>8.6428510000000003</v>
      </c>
      <c r="G32" s="439">
        <v>10.938333999999999</v>
      </c>
      <c r="H32" s="439">
        <v>11.130122</v>
      </c>
      <c r="I32" s="439">
        <v>11.747704000000001</v>
      </c>
      <c r="J32" s="439">
        <v>11.759416</v>
      </c>
      <c r="K32" s="439">
        <v>10.426277000000001</v>
      </c>
      <c r="L32" s="439">
        <v>10.785151000000001</v>
      </c>
      <c r="M32" s="439">
        <v>11.267358</v>
      </c>
      <c r="N32" s="439">
        <v>11.574894</v>
      </c>
      <c r="O32" s="439">
        <v>11.929773000000001</v>
      </c>
      <c r="P32" s="439">
        <v>12.348798</v>
      </c>
      <c r="Q32" s="439">
        <v>12.531955</v>
      </c>
      <c r="R32" s="439">
        <v>12.831950000000001</v>
      </c>
      <c r="S32" s="439">
        <v>13.384979</v>
      </c>
      <c r="T32" s="439">
        <v>13.537853</v>
      </c>
      <c r="U32" s="439">
        <v>13.660610999999999</v>
      </c>
      <c r="V32" s="439">
        <v>13.825775999999999</v>
      </c>
      <c r="W32" s="439">
        <v>14.468102999999999</v>
      </c>
      <c r="X32" s="439">
        <v>14.792304</v>
      </c>
      <c r="Y32" s="439">
        <v>14.941297</v>
      </c>
      <c r="Z32" s="439">
        <v>15.426805</v>
      </c>
      <c r="AA32" s="439">
        <v>15.487436000000001</v>
      </c>
      <c r="AB32" s="439">
        <v>15.571839000000001</v>
      </c>
      <c r="AC32" s="439">
        <v>15.668426999999999</v>
      </c>
      <c r="AD32" s="439">
        <v>15.737202</v>
      </c>
      <c r="AE32" s="439">
        <v>15.909072</v>
      </c>
      <c r="AF32" s="439">
        <v>15.939170000000001</v>
      </c>
      <c r="AG32" s="439">
        <v>15.735325</v>
      </c>
      <c r="AH32" s="439">
        <v>15.767515</v>
      </c>
      <c r="AI32" s="439">
        <v>16.297256000000001</v>
      </c>
      <c r="AJ32" s="439">
        <v>16.66431</v>
      </c>
      <c r="AK32" s="439">
        <v>16.141355999999998</v>
      </c>
      <c r="AL32" s="439">
        <v>16.134052000000001</v>
      </c>
      <c r="AM32" s="439">
        <v>16.508320000000001</v>
      </c>
      <c r="AN32" s="439">
        <v>1.2999999999999999E-2</v>
      </c>
      <c r="AP32" s="4"/>
    </row>
    <row r="33" spans="1:42" hidden="1" x14ac:dyDescent="0.3">
      <c r="A33" t="s">
        <v>260</v>
      </c>
      <c r="B33" t="s">
        <v>295</v>
      </c>
      <c r="C33" t="s">
        <v>520</v>
      </c>
      <c r="D33" t="s">
        <v>494</v>
      </c>
      <c r="F33" s="439">
        <v>14.744268999999999</v>
      </c>
      <c r="G33" s="439">
        <v>14.392683999999999</v>
      </c>
      <c r="H33" s="439">
        <v>14.124518999999999</v>
      </c>
      <c r="I33" s="439">
        <v>14.000322000000001</v>
      </c>
      <c r="J33" s="439">
        <v>13.208526000000001</v>
      </c>
      <c r="K33" s="439">
        <v>13.279814999999999</v>
      </c>
      <c r="L33" s="439">
        <v>13.273958</v>
      </c>
      <c r="M33" s="439">
        <v>13.282501</v>
      </c>
      <c r="N33" s="439">
        <v>13.364941999999999</v>
      </c>
      <c r="O33" s="439">
        <v>13.239671</v>
      </c>
      <c r="P33" s="439">
        <v>13.009452</v>
      </c>
      <c r="Q33" s="439">
        <v>12.856463</v>
      </c>
      <c r="R33" s="439">
        <v>13.310276999999999</v>
      </c>
      <c r="S33" s="439">
        <v>13.111701999999999</v>
      </c>
      <c r="T33" s="439">
        <v>13.016131</v>
      </c>
      <c r="U33" s="439">
        <v>12.979464999999999</v>
      </c>
      <c r="V33" s="439">
        <v>12.903319</v>
      </c>
      <c r="W33" s="439">
        <v>12.829945</v>
      </c>
      <c r="X33" s="439">
        <v>12.770699</v>
      </c>
      <c r="Y33" s="439">
        <v>12.741168999999999</v>
      </c>
      <c r="Z33" s="439">
        <v>12.694189</v>
      </c>
      <c r="AA33" s="439">
        <v>12.624283999999999</v>
      </c>
      <c r="AB33" s="439">
        <v>12.578768</v>
      </c>
      <c r="AC33" s="439">
        <v>12.578671999999999</v>
      </c>
      <c r="AD33" s="439">
        <v>12.525743</v>
      </c>
      <c r="AE33" s="439">
        <v>12.527932</v>
      </c>
      <c r="AF33" s="439">
        <v>12.546165</v>
      </c>
      <c r="AG33" s="439">
        <v>12.597267</v>
      </c>
      <c r="AH33" s="439">
        <v>12.650783000000001</v>
      </c>
      <c r="AI33" s="439">
        <v>12.693562999999999</v>
      </c>
      <c r="AJ33" s="439">
        <v>12.752255</v>
      </c>
      <c r="AK33" s="439">
        <v>12.861394000000001</v>
      </c>
      <c r="AL33" s="439">
        <v>12.955595000000001</v>
      </c>
      <c r="AM33" s="439">
        <v>13.027087</v>
      </c>
      <c r="AN33" s="439">
        <v>-3.0000000000000001E-3</v>
      </c>
      <c r="AP33" s="4"/>
    </row>
    <row r="34" spans="1:42" hidden="1" x14ac:dyDescent="0.3">
      <c r="A34" t="s">
        <v>262</v>
      </c>
      <c r="B34" t="s">
        <v>296</v>
      </c>
      <c r="C34" t="s">
        <v>521</v>
      </c>
      <c r="D34" t="s">
        <v>494</v>
      </c>
      <c r="F34" s="439">
        <v>29.101451999999998</v>
      </c>
      <c r="G34" s="439">
        <v>33.287472000000001</v>
      </c>
      <c r="H34" s="439">
        <v>35.301769</v>
      </c>
      <c r="I34" s="439">
        <v>35.655743000000001</v>
      </c>
      <c r="J34" s="439">
        <v>36.136142999999997</v>
      </c>
      <c r="K34" s="439">
        <v>36.865479000000001</v>
      </c>
      <c r="L34" s="439">
        <v>37.499865999999997</v>
      </c>
      <c r="M34" s="439">
        <v>37.917560999999999</v>
      </c>
      <c r="N34" s="439">
        <v>38.429222000000003</v>
      </c>
      <c r="O34" s="439">
        <v>38.868603</v>
      </c>
      <c r="P34" s="439">
        <v>38.934277000000002</v>
      </c>
      <c r="Q34" s="439">
        <v>38.963169000000001</v>
      </c>
      <c r="R34" s="439">
        <v>38.951664000000001</v>
      </c>
      <c r="S34" s="439">
        <v>38.994388999999998</v>
      </c>
      <c r="T34" s="439">
        <v>38.99868</v>
      </c>
      <c r="U34" s="439">
        <v>39.170242000000002</v>
      </c>
      <c r="V34" s="439">
        <v>39.252037000000001</v>
      </c>
      <c r="W34" s="439">
        <v>39.125346999999998</v>
      </c>
      <c r="X34" s="439">
        <v>38.958587999999999</v>
      </c>
      <c r="Y34" s="439">
        <v>38.886947999999997</v>
      </c>
      <c r="Z34" s="439">
        <v>38.818939</v>
      </c>
      <c r="AA34" s="439">
        <v>38.574703</v>
      </c>
      <c r="AB34" s="439">
        <v>38.337806999999998</v>
      </c>
      <c r="AC34" s="439">
        <v>38.110615000000003</v>
      </c>
      <c r="AD34" s="439">
        <v>37.905239000000002</v>
      </c>
      <c r="AE34" s="439">
        <v>37.682907</v>
      </c>
      <c r="AF34" s="439">
        <v>37.382308999999999</v>
      </c>
      <c r="AG34" s="439">
        <v>37.188625000000002</v>
      </c>
      <c r="AH34" s="439">
        <v>37.069915999999999</v>
      </c>
      <c r="AI34" s="439">
        <v>36.974594000000003</v>
      </c>
      <c r="AJ34" s="439">
        <v>36.833530000000003</v>
      </c>
      <c r="AK34" s="439">
        <v>36.703105999999998</v>
      </c>
      <c r="AL34" s="439">
        <v>36.565514</v>
      </c>
      <c r="AM34" s="439">
        <v>36.355133000000002</v>
      </c>
      <c r="AN34" s="439">
        <v>3.0000000000000001E-3</v>
      </c>
      <c r="AP34" s="4"/>
    </row>
    <row r="35" spans="1:42" hidden="1" x14ac:dyDescent="0.3">
      <c r="A35" t="s">
        <v>297</v>
      </c>
      <c r="C35" t="s">
        <v>522</v>
      </c>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row>
    <row r="36" spans="1:42" hidden="1" x14ac:dyDescent="0.3">
      <c r="A36" t="s">
        <v>258</v>
      </c>
      <c r="B36" t="s">
        <v>298</v>
      </c>
      <c r="C36" t="s">
        <v>523</v>
      </c>
      <c r="D36" t="s">
        <v>494</v>
      </c>
      <c r="F36" s="439">
        <v>18.69425</v>
      </c>
      <c r="G36" s="439">
        <v>22.239955999999999</v>
      </c>
      <c r="H36" s="439">
        <v>22.638173999999999</v>
      </c>
      <c r="I36" s="439">
        <v>22.165009999999999</v>
      </c>
      <c r="J36" s="439">
        <v>21.399750000000001</v>
      </c>
      <c r="K36" s="439">
        <v>20.430983000000001</v>
      </c>
      <c r="L36" s="439">
        <v>19.918900000000001</v>
      </c>
      <c r="M36" s="439">
        <v>19.752050000000001</v>
      </c>
      <c r="N36" s="439">
        <v>20.103366999999999</v>
      </c>
      <c r="O36" s="439">
        <v>20.495049000000002</v>
      </c>
      <c r="P36" s="439">
        <v>21.115786</v>
      </c>
      <c r="Q36" s="439">
        <v>21.201930999999998</v>
      </c>
      <c r="R36" s="439">
        <v>21.717043</v>
      </c>
      <c r="S36" s="439">
        <v>21.836302</v>
      </c>
      <c r="T36" s="439">
        <v>21.905995999999998</v>
      </c>
      <c r="U36" s="439">
        <v>22.171693999999999</v>
      </c>
      <c r="V36" s="439">
        <v>22.496175999999998</v>
      </c>
      <c r="W36" s="439">
        <v>22.53285</v>
      </c>
      <c r="X36" s="439">
        <v>22.757597000000001</v>
      </c>
      <c r="Y36" s="439">
        <v>23.130268000000001</v>
      </c>
      <c r="Z36" s="439">
        <v>23.062939</v>
      </c>
      <c r="AA36" s="439">
        <v>23.173919999999999</v>
      </c>
      <c r="AB36" s="439">
        <v>23.346789999999999</v>
      </c>
      <c r="AC36" s="439">
        <v>23.528769</v>
      </c>
      <c r="AD36" s="439">
        <v>23.613443</v>
      </c>
      <c r="AE36" s="439">
        <v>23.840679000000002</v>
      </c>
      <c r="AF36" s="439">
        <v>23.882580000000001</v>
      </c>
      <c r="AG36" s="439">
        <v>23.862005</v>
      </c>
      <c r="AH36" s="439">
        <v>23.925768000000001</v>
      </c>
      <c r="AI36" s="439">
        <v>23.936333000000001</v>
      </c>
      <c r="AJ36" s="439">
        <v>23.965634999999999</v>
      </c>
      <c r="AK36" s="439">
        <v>24.039244</v>
      </c>
      <c r="AL36" s="439">
        <v>23.979467</v>
      </c>
      <c r="AM36" s="439">
        <v>23.953275999999999</v>
      </c>
      <c r="AN36" s="439">
        <v>2E-3</v>
      </c>
      <c r="AP36" s="4"/>
    </row>
    <row r="37" spans="1:42" hidden="1" x14ac:dyDescent="0.3">
      <c r="A37" t="s">
        <v>267</v>
      </c>
      <c r="B37" t="s">
        <v>299</v>
      </c>
      <c r="C37" t="s">
        <v>524</v>
      </c>
      <c r="D37" t="s">
        <v>494</v>
      </c>
      <c r="F37" s="439">
        <v>10.822438999999999</v>
      </c>
      <c r="G37" s="439">
        <v>12.712944</v>
      </c>
      <c r="H37" s="439">
        <v>12.202261999999999</v>
      </c>
      <c r="I37" s="439">
        <v>12.104333</v>
      </c>
      <c r="J37" s="439">
        <v>13.990746</v>
      </c>
      <c r="K37" s="439">
        <v>13.831162000000001</v>
      </c>
      <c r="L37" s="439">
        <v>14.023963</v>
      </c>
      <c r="M37" s="439">
        <v>14.418233000000001</v>
      </c>
      <c r="N37" s="439">
        <v>14.722059</v>
      </c>
      <c r="O37" s="439">
        <v>15.13977</v>
      </c>
      <c r="P37" s="439">
        <v>15.681253999999999</v>
      </c>
      <c r="Q37" s="439">
        <v>15.906167</v>
      </c>
      <c r="R37" s="439">
        <v>16.295940000000002</v>
      </c>
      <c r="S37" s="439">
        <v>16.388263999999999</v>
      </c>
      <c r="T37" s="439">
        <v>16.572831999999998</v>
      </c>
      <c r="U37" s="439">
        <v>16.794257999999999</v>
      </c>
      <c r="V37" s="439">
        <v>16.950551999999998</v>
      </c>
      <c r="W37" s="439">
        <v>17.048586</v>
      </c>
      <c r="X37" s="439">
        <v>17.213132999999999</v>
      </c>
      <c r="Y37" s="439">
        <v>17.458904</v>
      </c>
      <c r="Z37" s="439">
        <v>17.526184000000001</v>
      </c>
      <c r="AA37" s="439">
        <v>17.583922999999999</v>
      </c>
      <c r="AB37" s="439">
        <v>17.683475000000001</v>
      </c>
      <c r="AC37" s="439">
        <v>17.758984000000002</v>
      </c>
      <c r="AD37" s="439">
        <v>17.742609000000002</v>
      </c>
      <c r="AE37" s="439">
        <v>17.889513000000001</v>
      </c>
      <c r="AF37" s="439">
        <v>17.748563999999998</v>
      </c>
      <c r="AG37" s="439">
        <v>17.493856000000001</v>
      </c>
      <c r="AH37" s="439">
        <v>17.300291000000001</v>
      </c>
      <c r="AI37" s="439">
        <v>17.314581</v>
      </c>
      <c r="AJ37" s="439">
        <v>17.352713000000001</v>
      </c>
      <c r="AK37" s="439">
        <v>17.382601000000001</v>
      </c>
      <c r="AL37" s="439">
        <v>17.3626</v>
      </c>
      <c r="AM37" s="439">
        <v>17.377302</v>
      </c>
      <c r="AN37" s="439">
        <v>0.01</v>
      </c>
      <c r="AP37" s="4"/>
    </row>
    <row r="38" spans="1:42" hidden="1" x14ac:dyDescent="0.3">
      <c r="A38" t="s">
        <v>260</v>
      </c>
      <c r="B38" t="s">
        <v>300</v>
      </c>
      <c r="C38" t="s">
        <v>525</v>
      </c>
      <c r="D38" t="s">
        <v>494</v>
      </c>
      <c r="F38" s="439">
        <v>3.4665550000000001</v>
      </c>
      <c r="G38" s="439">
        <v>3.4226549999999998</v>
      </c>
      <c r="H38" s="439">
        <v>3.2812260000000002</v>
      </c>
      <c r="I38" s="439">
        <v>3.4080699999999999</v>
      </c>
      <c r="J38" s="439">
        <v>3.3537140000000001</v>
      </c>
      <c r="K38" s="439">
        <v>3.4095689999999998</v>
      </c>
      <c r="L38" s="439">
        <v>3.5779610000000002</v>
      </c>
      <c r="M38" s="439">
        <v>3.8019349999999998</v>
      </c>
      <c r="N38" s="439">
        <v>4.027406</v>
      </c>
      <c r="O38" s="439">
        <v>4.0943649999999998</v>
      </c>
      <c r="P38" s="439">
        <v>4.1023560000000003</v>
      </c>
      <c r="Q38" s="439">
        <v>4.1799770000000001</v>
      </c>
      <c r="R38" s="439">
        <v>4.1739069999999998</v>
      </c>
      <c r="S38" s="439">
        <v>4.2118659999999997</v>
      </c>
      <c r="T38" s="439">
        <v>4.2022199999999996</v>
      </c>
      <c r="U38" s="439">
        <v>4.3537860000000004</v>
      </c>
      <c r="V38" s="439">
        <v>4.4091079999999998</v>
      </c>
      <c r="W38" s="439">
        <v>4.4500650000000004</v>
      </c>
      <c r="X38" s="439">
        <v>4.4872059999999996</v>
      </c>
      <c r="Y38" s="439">
        <v>4.5614759999999999</v>
      </c>
      <c r="Z38" s="439">
        <v>4.571752</v>
      </c>
      <c r="AA38" s="439">
        <v>4.5711399999999998</v>
      </c>
      <c r="AB38" s="439">
        <v>4.589645</v>
      </c>
      <c r="AC38" s="439">
        <v>4.659484</v>
      </c>
      <c r="AD38" s="439">
        <v>4.6398450000000002</v>
      </c>
      <c r="AE38" s="439">
        <v>4.6830660000000002</v>
      </c>
      <c r="AF38" s="439">
        <v>4.7451470000000002</v>
      </c>
      <c r="AG38" s="439">
        <v>4.8353859999999997</v>
      </c>
      <c r="AH38" s="439">
        <v>4.9075069999999998</v>
      </c>
      <c r="AI38" s="439">
        <v>4.9622089999999996</v>
      </c>
      <c r="AJ38" s="439">
        <v>5.0372310000000002</v>
      </c>
      <c r="AK38" s="439">
        <v>5.1813589999999996</v>
      </c>
      <c r="AL38" s="439">
        <v>5.2737569999999998</v>
      </c>
      <c r="AM38" s="439">
        <v>5.3621930000000004</v>
      </c>
      <c r="AN38" s="439">
        <v>1.4E-2</v>
      </c>
      <c r="AP38" s="4"/>
    </row>
    <row r="39" spans="1:42" hidden="1" x14ac:dyDescent="0.3">
      <c r="A39" t="s">
        <v>301</v>
      </c>
      <c r="B39" t="s">
        <v>302</v>
      </c>
      <c r="C39" t="s">
        <v>526</v>
      </c>
      <c r="D39" t="s">
        <v>494</v>
      </c>
      <c r="F39" s="439">
        <v>2.0931289999999998</v>
      </c>
      <c r="G39" s="439">
        <v>2.105029</v>
      </c>
      <c r="H39" s="439">
        <v>2.0951900000000001</v>
      </c>
      <c r="I39" s="439">
        <v>2.094827</v>
      </c>
      <c r="J39" s="439">
        <v>2.1876609999999999</v>
      </c>
      <c r="K39" s="439">
        <v>2.1945350000000001</v>
      </c>
      <c r="L39" s="439">
        <v>2.1960820000000001</v>
      </c>
      <c r="M39" s="439">
        <v>2.1590560000000001</v>
      </c>
      <c r="N39" s="439">
        <v>2.1708219999999998</v>
      </c>
      <c r="O39" s="439">
        <v>2.166013</v>
      </c>
      <c r="P39" s="439">
        <v>2.1713749999999998</v>
      </c>
      <c r="Q39" s="439">
        <v>2.1755909999999998</v>
      </c>
      <c r="R39" s="439">
        <v>2.1986300000000001</v>
      </c>
      <c r="S39" s="439">
        <v>2.217403</v>
      </c>
      <c r="T39" s="439">
        <v>2.2130139999999998</v>
      </c>
      <c r="U39" s="439">
        <v>2.2004959999999998</v>
      </c>
      <c r="V39" s="439">
        <v>2.203039</v>
      </c>
      <c r="W39" s="439">
        <v>2.200304</v>
      </c>
      <c r="X39" s="439">
        <v>2.2067929999999998</v>
      </c>
      <c r="Y39" s="439">
        <v>2.2133449999999999</v>
      </c>
      <c r="Z39" s="439">
        <v>2.2187869999999998</v>
      </c>
      <c r="AA39" s="439">
        <v>2.22445</v>
      </c>
      <c r="AB39" s="439">
        <v>2.2303419999999998</v>
      </c>
      <c r="AC39" s="439">
        <v>2.2339030000000002</v>
      </c>
      <c r="AD39" s="439">
        <v>2.2346059999999999</v>
      </c>
      <c r="AE39" s="439">
        <v>2.2342050000000002</v>
      </c>
      <c r="AF39" s="439">
        <v>2.2322690000000001</v>
      </c>
      <c r="AG39" s="439">
        <v>2.2308699999999999</v>
      </c>
      <c r="AH39" s="439">
        <v>2.2317909999999999</v>
      </c>
      <c r="AI39" s="439">
        <v>2.2323170000000001</v>
      </c>
      <c r="AJ39" s="439">
        <v>2.2298079999999998</v>
      </c>
      <c r="AK39" s="439">
        <v>2.2306309999999998</v>
      </c>
      <c r="AL39" s="439">
        <v>2.2321800000000001</v>
      </c>
      <c r="AM39" s="439">
        <v>2.2323170000000001</v>
      </c>
      <c r="AN39" s="439">
        <v>2E-3</v>
      </c>
      <c r="AP39" s="4"/>
    </row>
    <row r="40" spans="1:42" hidden="1" x14ac:dyDescent="0.3">
      <c r="A40" t="s">
        <v>303</v>
      </c>
      <c r="B40" t="s">
        <v>304</v>
      </c>
      <c r="C40" t="s">
        <v>527</v>
      </c>
      <c r="D40" t="s">
        <v>494</v>
      </c>
      <c r="F40" s="439">
        <v>0.65970700000000004</v>
      </c>
      <c r="G40" s="439">
        <v>0.66174599999999995</v>
      </c>
      <c r="H40" s="439">
        <v>0.66276599999999997</v>
      </c>
      <c r="I40" s="439">
        <v>0.66480499999999998</v>
      </c>
      <c r="J40" s="439">
        <v>0.665825</v>
      </c>
      <c r="K40" s="439">
        <v>0.66684399999999999</v>
      </c>
      <c r="L40" s="439">
        <v>0.66888400000000003</v>
      </c>
      <c r="M40" s="439">
        <v>0.66990300000000003</v>
      </c>
      <c r="N40" s="439">
        <v>0.67194200000000004</v>
      </c>
      <c r="O40" s="439">
        <v>0.67296199999999995</v>
      </c>
      <c r="P40" s="439">
        <v>0.67398199999999997</v>
      </c>
      <c r="Q40" s="439">
        <v>0.67500099999999996</v>
      </c>
      <c r="R40" s="439">
        <v>0.677041</v>
      </c>
      <c r="S40" s="439">
        <v>0.67908000000000002</v>
      </c>
      <c r="T40" s="439">
        <v>0.68010000000000004</v>
      </c>
      <c r="U40" s="439">
        <v>0.68213900000000005</v>
      </c>
      <c r="V40" s="439">
        <v>0.68417799999999995</v>
      </c>
      <c r="W40" s="439">
        <v>0.68519799999999997</v>
      </c>
      <c r="X40" s="439">
        <v>0.68723699999999999</v>
      </c>
      <c r="Y40" s="439">
        <v>0.689276</v>
      </c>
      <c r="Z40" s="439">
        <v>0.69029600000000002</v>
      </c>
      <c r="AA40" s="439">
        <v>0.69233500000000003</v>
      </c>
      <c r="AB40" s="439">
        <v>0.69437400000000005</v>
      </c>
      <c r="AC40" s="439">
        <v>0.69641399999999998</v>
      </c>
      <c r="AD40" s="439">
        <v>0.69743299999999997</v>
      </c>
      <c r="AE40" s="439">
        <v>0.69947300000000001</v>
      </c>
      <c r="AF40" s="439">
        <v>0.70151200000000002</v>
      </c>
      <c r="AG40" s="439">
        <v>0.70355100000000004</v>
      </c>
      <c r="AH40" s="439">
        <v>0.70559000000000005</v>
      </c>
      <c r="AI40" s="439">
        <v>0.70762999999999998</v>
      </c>
      <c r="AJ40" s="439">
        <v>0.70966899999999999</v>
      </c>
      <c r="AK40" s="439">
        <v>0.71170800000000001</v>
      </c>
      <c r="AL40" s="439">
        <v>0.71374800000000005</v>
      </c>
      <c r="AM40" s="439">
        <v>0.71578699999999995</v>
      </c>
      <c r="AN40" s="439">
        <v>2E-3</v>
      </c>
      <c r="AP40" s="4"/>
    </row>
    <row r="41" spans="1:42" hidden="1" x14ac:dyDescent="0.3">
      <c r="A41" t="s">
        <v>305</v>
      </c>
      <c r="C41" t="s">
        <v>528</v>
      </c>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row>
    <row r="42" spans="1:42" hidden="1" x14ac:dyDescent="0.3">
      <c r="A42" t="s">
        <v>256</v>
      </c>
      <c r="B42" t="s">
        <v>306</v>
      </c>
      <c r="C42" t="s">
        <v>529</v>
      </c>
      <c r="D42" t="s">
        <v>494</v>
      </c>
      <c r="F42" s="439">
        <v>15.564919</v>
      </c>
      <c r="G42" s="439">
        <v>17.358468999999999</v>
      </c>
      <c r="H42" s="439">
        <v>18.993476999999999</v>
      </c>
      <c r="I42" s="439">
        <v>21.202293000000001</v>
      </c>
      <c r="J42" s="439">
        <v>21.968615</v>
      </c>
      <c r="K42" s="439">
        <v>22.815951999999999</v>
      </c>
      <c r="L42" s="439">
        <v>23.456654</v>
      </c>
      <c r="M42" s="439">
        <v>24.180902</v>
      </c>
      <c r="N42" s="439">
        <v>24.909030999999999</v>
      </c>
      <c r="O42" s="439">
        <v>25.50947</v>
      </c>
      <c r="P42" s="439">
        <v>25.959463</v>
      </c>
      <c r="Q42" s="439">
        <v>26.283550000000002</v>
      </c>
      <c r="R42" s="439">
        <v>26.579996000000001</v>
      </c>
      <c r="S42" s="439">
        <v>26.684180999999999</v>
      </c>
      <c r="T42" s="439">
        <v>26.760597000000001</v>
      </c>
      <c r="U42" s="439">
        <v>26.916965000000001</v>
      </c>
      <c r="V42" s="439">
        <v>27.123743000000001</v>
      </c>
      <c r="W42" s="439">
        <v>27.321341</v>
      </c>
      <c r="X42" s="439">
        <v>27.493058999999999</v>
      </c>
      <c r="Y42" s="439">
        <v>27.681989999999999</v>
      </c>
      <c r="Z42" s="439">
        <v>27.807953000000001</v>
      </c>
      <c r="AA42" s="439">
        <v>27.894468</v>
      </c>
      <c r="AB42" s="439">
        <v>27.984655</v>
      </c>
      <c r="AC42" s="439">
        <v>28.063086999999999</v>
      </c>
      <c r="AD42" s="439">
        <v>28.095057000000001</v>
      </c>
      <c r="AE42" s="439">
        <v>28.154002999999999</v>
      </c>
      <c r="AF42" s="439">
        <v>28.218723000000001</v>
      </c>
      <c r="AG42" s="439">
        <v>28.274843000000001</v>
      </c>
      <c r="AH42" s="439">
        <v>28.298195</v>
      </c>
      <c r="AI42" s="439">
        <v>28.288741999999999</v>
      </c>
      <c r="AJ42" s="439">
        <v>28.265340999999999</v>
      </c>
      <c r="AK42" s="439">
        <v>28.23424</v>
      </c>
      <c r="AL42" s="439">
        <v>28.159872</v>
      </c>
      <c r="AM42" s="439">
        <v>28.034625999999999</v>
      </c>
      <c r="AN42" s="439">
        <v>1.4999999999999999E-2</v>
      </c>
      <c r="AP42" s="4"/>
    </row>
    <row r="43" spans="1:42" hidden="1" x14ac:dyDescent="0.3">
      <c r="A43" t="s">
        <v>286</v>
      </c>
      <c r="B43" t="s">
        <v>307</v>
      </c>
      <c r="C43" t="s">
        <v>530</v>
      </c>
      <c r="D43" t="s">
        <v>494</v>
      </c>
      <c r="F43" s="439">
        <v>22.146609999999999</v>
      </c>
      <c r="G43" s="439">
        <v>29.232935000000001</v>
      </c>
      <c r="H43" s="439">
        <v>34.052211999999997</v>
      </c>
      <c r="I43" s="439">
        <v>32.993298000000003</v>
      </c>
      <c r="J43" s="439">
        <v>32.699516000000003</v>
      </c>
      <c r="K43" s="439">
        <v>31.772414999999999</v>
      </c>
      <c r="L43" s="439">
        <v>31.519120999999998</v>
      </c>
      <c r="M43" s="439">
        <v>29.401441999999999</v>
      </c>
      <c r="N43" s="439">
        <v>26.987891999999999</v>
      </c>
      <c r="O43" s="439">
        <v>26.807842000000001</v>
      </c>
      <c r="P43" s="439">
        <v>26.192710999999999</v>
      </c>
      <c r="Q43" s="439">
        <v>25.483084000000002</v>
      </c>
      <c r="R43" s="439">
        <v>25.746527</v>
      </c>
      <c r="S43" s="439">
        <v>24.796619</v>
      </c>
      <c r="T43" s="439">
        <v>24.859034000000001</v>
      </c>
      <c r="U43" s="439">
        <v>24.914490000000001</v>
      </c>
      <c r="V43" s="439">
        <v>24.666086</v>
      </c>
      <c r="W43" s="439">
        <v>24.325018</v>
      </c>
      <c r="X43" s="439">
        <v>24.332386</v>
      </c>
      <c r="Y43" s="439">
        <v>24.364547999999999</v>
      </c>
      <c r="Z43" s="439">
        <v>24.223488</v>
      </c>
      <c r="AA43" s="439">
        <v>24.431009</v>
      </c>
      <c r="AB43" s="439">
        <v>24.847304999999999</v>
      </c>
      <c r="AC43" s="439">
        <v>25.342030000000001</v>
      </c>
      <c r="AD43" s="439">
        <v>26.058499999999999</v>
      </c>
      <c r="AE43" s="439">
        <v>26.868804999999998</v>
      </c>
      <c r="AF43" s="439">
        <v>27.726488</v>
      </c>
      <c r="AG43" s="439">
        <v>28.261793000000001</v>
      </c>
      <c r="AH43" s="439">
        <v>28.801780999999998</v>
      </c>
      <c r="AI43" s="439">
        <v>30.356558</v>
      </c>
      <c r="AJ43" s="439">
        <v>32.465274999999998</v>
      </c>
      <c r="AK43" s="439">
        <v>34.002827000000003</v>
      </c>
      <c r="AL43" s="439">
        <v>33.970126999999998</v>
      </c>
      <c r="AM43" s="439">
        <v>33.849567</v>
      </c>
      <c r="AN43" s="439">
        <v>5.0000000000000001E-3</v>
      </c>
      <c r="AP43" s="4"/>
    </row>
    <row r="44" spans="1:42" hidden="1" x14ac:dyDescent="0.3">
      <c r="A44" t="s">
        <v>288</v>
      </c>
      <c r="B44" t="s">
        <v>308</v>
      </c>
      <c r="C44" t="s">
        <v>531</v>
      </c>
      <c r="D44" t="s">
        <v>494</v>
      </c>
      <c r="F44" s="439">
        <v>21.496988000000002</v>
      </c>
      <c r="G44" s="439">
        <v>24.037481</v>
      </c>
      <c r="H44" s="439">
        <v>24.212992</v>
      </c>
      <c r="I44" s="439">
        <v>24.943671999999999</v>
      </c>
      <c r="J44" s="439">
        <v>25.135202</v>
      </c>
      <c r="K44" s="439">
        <v>25.208514999999998</v>
      </c>
      <c r="L44" s="439">
        <v>25.563890000000001</v>
      </c>
      <c r="M44" s="439">
        <v>25.921410000000002</v>
      </c>
      <c r="N44" s="439">
        <v>26.212434999999999</v>
      </c>
      <c r="O44" s="439">
        <v>26.428561999999999</v>
      </c>
      <c r="P44" s="439">
        <v>26.974920000000001</v>
      </c>
      <c r="Q44" s="439">
        <v>27.167916999999999</v>
      </c>
      <c r="R44" s="439">
        <v>27.833261</v>
      </c>
      <c r="S44" s="439">
        <v>27.949068</v>
      </c>
      <c r="T44" s="439">
        <v>28.253495999999998</v>
      </c>
      <c r="U44" s="439">
        <v>28.49119</v>
      </c>
      <c r="V44" s="439">
        <v>28.607676000000001</v>
      </c>
      <c r="W44" s="439">
        <v>28.817126999999999</v>
      </c>
      <c r="X44" s="439">
        <v>29.002682</v>
      </c>
      <c r="Y44" s="439">
        <v>29.244133000000001</v>
      </c>
      <c r="Z44" s="439">
        <v>29.242471999999999</v>
      </c>
      <c r="AA44" s="439">
        <v>29.411131000000001</v>
      </c>
      <c r="AB44" s="439">
        <v>29.598939999999999</v>
      </c>
      <c r="AC44" s="439">
        <v>29.807366999999999</v>
      </c>
      <c r="AD44" s="439">
        <v>29.911000999999999</v>
      </c>
      <c r="AE44" s="439">
        <v>30.146090000000001</v>
      </c>
      <c r="AF44" s="439">
        <v>30.19379</v>
      </c>
      <c r="AG44" s="439">
        <v>30.194565000000001</v>
      </c>
      <c r="AH44" s="439">
        <v>30.260635000000001</v>
      </c>
      <c r="AI44" s="439">
        <v>30.355951000000001</v>
      </c>
      <c r="AJ44" s="439">
        <v>30.431664000000001</v>
      </c>
      <c r="AK44" s="439">
        <v>30.577997</v>
      </c>
      <c r="AL44" s="439">
        <v>30.594298999999999</v>
      </c>
      <c r="AM44" s="439">
        <v>30.586297999999999</v>
      </c>
      <c r="AN44" s="439">
        <v>8.0000000000000002E-3</v>
      </c>
      <c r="AP44" s="4"/>
    </row>
    <row r="45" spans="1:42" hidden="1" x14ac:dyDescent="0.3">
      <c r="A45" t="s">
        <v>290</v>
      </c>
      <c r="B45" t="s">
        <v>309</v>
      </c>
      <c r="C45" t="s">
        <v>532</v>
      </c>
      <c r="D45" t="s">
        <v>494</v>
      </c>
      <c r="F45" s="439">
        <v>12.362413999999999</v>
      </c>
      <c r="G45" s="439">
        <v>16.156372000000001</v>
      </c>
      <c r="H45" s="439">
        <v>16.221107</v>
      </c>
      <c r="I45" s="439">
        <v>17.391456999999999</v>
      </c>
      <c r="J45" s="439">
        <v>17.198521</v>
      </c>
      <c r="K45" s="439">
        <v>16.965547999999998</v>
      </c>
      <c r="L45" s="439">
        <v>17.220293000000002</v>
      </c>
      <c r="M45" s="439">
        <v>17.500954</v>
      </c>
      <c r="N45" s="439">
        <v>17.782360000000001</v>
      </c>
      <c r="O45" s="439">
        <v>18.167006000000001</v>
      </c>
      <c r="P45" s="439">
        <v>18.670538000000001</v>
      </c>
      <c r="Q45" s="439">
        <v>19.052686999999999</v>
      </c>
      <c r="R45" s="439">
        <v>19.759250999999999</v>
      </c>
      <c r="S45" s="439">
        <v>19.880825000000002</v>
      </c>
      <c r="T45" s="439">
        <v>20.144784999999999</v>
      </c>
      <c r="U45" s="439">
        <v>20.545508999999999</v>
      </c>
      <c r="V45" s="439">
        <v>20.768360000000001</v>
      </c>
      <c r="W45" s="439">
        <v>20.927616</v>
      </c>
      <c r="X45" s="439">
        <v>21.206121</v>
      </c>
      <c r="Y45" s="439">
        <v>21.536283000000001</v>
      </c>
      <c r="Z45" s="439">
        <v>21.578913</v>
      </c>
      <c r="AA45" s="439">
        <v>21.784565000000001</v>
      </c>
      <c r="AB45" s="439">
        <v>21.975338000000001</v>
      </c>
      <c r="AC45" s="439">
        <v>22.095026000000001</v>
      </c>
      <c r="AD45" s="439">
        <v>22.210664999999999</v>
      </c>
      <c r="AE45" s="439">
        <v>22.446021999999999</v>
      </c>
      <c r="AF45" s="439">
        <v>22.556460999999999</v>
      </c>
      <c r="AG45" s="439">
        <v>22.518681999999998</v>
      </c>
      <c r="AH45" s="439">
        <v>22.683077000000001</v>
      </c>
      <c r="AI45" s="439">
        <v>22.670938</v>
      </c>
      <c r="AJ45" s="439">
        <v>22.731850000000001</v>
      </c>
      <c r="AK45" s="439">
        <v>22.876764000000001</v>
      </c>
      <c r="AL45" s="439">
        <v>22.842226</v>
      </c>
      <c r="AM45" s="439">
        <v>22.833984000000001</v>
      </c>
      <c r="AN45" s="439">
        <v>1.0999999999999999E-2</v>
      </c>
      <c r="AP45" s="4"/>
    </row>
    <row r="46" spans="1:42" hidden="1" x14ac:dyDescent="0.3">
      <c r="A46" t="s">
        <v>258</v>
      </c>
      <c r="B46" t="s">
        <v>310</v>
      </c>
      <c r="C46" t="s">
        <v>533</v>
      </c>
      <c r="D46" t="s">
        <v>494</v>
      </c>
      <c r="F46" s="439">
        <v>19.341715000000001</v>
      </c>
      <c r="G46" s="439">
        <v>22.923410000000001</v>
      </c>
      <c r="H46" s="439">
        <v>22.697557</v>
      </c>
      <c r="I46" s="439">
        <v>23.770835999999999</v>
      </c>
      <c r="J46" s="439">
        <v>23.637955000000002</v>
      </c>
      <c r="K46" s="439">
        <v>23.409680999999999</v>
      </c>
      <c r="L46" s="439">
        <v>23.550621</v>
      </c>
      <c r="M46" s="439">
        <v>23.974305999999999</v>
      </c>
      <c r="N46" s="439">
        <v>24.389240000000001</v>
      </c>
      <c r="O46" s="439">
        <v>24.629809999999999</v>
      </c>
      <c r="P46" s="439">
        <v>25.326443000000001</v>
      </c>
      <c r="Q46" s="439">
        <v>25.555298000000001</v>
      </c>
      <c r="R46" s="439">
        <v>26.297916000000001</v>
      </c>
      <c r="S46" s="439">
        <v>26.499058000000002</v>
      </c>
      <c r="T46" s="439">
        <v>26.764842999999999</v>
      </c>
      <c r="U46" s="439">
        <v>27.076460000000001</v>
      </c>
      <c r="V46" s="439">
        <v>27.346965999999998</v>
      </c>
      <c r="W46" s="439">
        <v>27.436261999999999</v>
      </c>
      <c r="X46" s="439">
        <v>27.687645</v>
      </c>
      <c r="Y46" s="439">
        <v>28.019482</v>
      </c>
      <c r="Z46" s="439">
        <v>27.953161000000001</v>
      </c>
      <c r="AA46" s="439">
        <v>28.122703999999999</v>
      </c>
      <c r="AB46" s="439">
        <v>28.278926999999999</v>
      </c>
      <c r="AC46" s="439">
        <v>28.414003000000001</v>
      </c>
      <c r="AD46" s="439">
        <v>28.436669999999999</v>
      </c>
      <c r="AE46" s="439">
        <v>28.605179</v>
      </c>
      <c r="AF46" s="439">
        <v>28.603687000000001</v>
      </c>
      <c r="AG46" s="439">
        <v>28.485683000000002</v>
      </c>
      <c r="AH46" s="439">
        <v>28.526222000000001</v>
      </c>
      <c r="AI46" s="439">
        <v>28.396035999999999</v>
      </c>
      <c r="AJ46" s="439">
        <v>28.248837000000002</v>
      </c>
      <c r="AK46" s="439">
        <v>28.282586999999999</v>
      </c>
      <c r="AL46" s="439">
        <v>28.219898000000001</v>
      </c>
      <c r="AM46" s="439">
        <v>28.196726000000002</v>
      </c>
      <c r="AN46" s="439">
        <v>6.0000000000000001E-3</v>
      </c>
      <c r="AP46" s="4"/>
    </row>
    <row r="47" spans="1:42" hidden="1" x14ac:dyDescent="0.3">
      <c r="A47" t="s">
        <v>267</v>
      </c>
      <c r="B47" t="s">
        <v>311</v>
      </c>
      <c r="C47" t="s">
        <v>534</v>
      </c>
      <c r="D47" t="s">
        <v>494</v>
      </c>
      <c r="F47" s="439">
        <v>8.9075799999999994</v>
      </c>
      <c r="G47" s="439">
        <v>10.952370999999999</v>
      </c>
      <c r="H47" s="439">
        <v>10.785757</v>
      </c>
      <c r="I47" s="439">
        <v>11.237349</v>
      </c>
      <c r="J47" s="439">
        <v>11.572683</v>
      </c>
      <c r="K47" s="439">
        <v>10.604952000000001</v>
      </c>
      <c r="L47" s="439">
        <v>11.036856999999999</v>
      </c>
      <c r="M47" s="439">
        <v>11.599223</v>
      </c>
      <c r="N47" s="439">
        <v>11.889529</v>
      </c>
      <c r="O47" s="439">
        <v>12.253482</v>
      </c>
      <c r="P47" s="439">
        <v>12.695843</v>
      </c>
      <c r="Q47" s="439">
        <v>12.877539000000001</v>
      </c>
      <c r="R47" s="439">
        <v>13.189734</v>
      </c>
      <c r="S47" s="439">
        <v>13.6828</v>
      </c>
      <c r="T47" s="439">
        <v>13.841578</v>
      </c>
      <c r="U47" s="439">
        <v>13.979538</v>
      </c>
      <c r="V47" s="439">
        <v>14.140846</v>
      </c>
      <c r="W47" s="439">
        <v>14.702832000000001</v>
      </c>
      <c r="X47" s="439">
        <v>15.012093</v>
      </c>
      <c r="Y47" s="439">
        <v>15.176048</v>
      </c>
      <c r="Z47" s="439">
        <v>15.595228000000001</v>
      </c>
      <c r="AA47" s="439">
        <v>15.653922</v>
      </c>
      <c r="AB47" s="439">
        <v>15.743302999999999</v>
      </c>
      <c r="AC47" s="439">
        <v>15.839559</v>
      </c>
      <c r="AD47" s="439">
        <v>15.898891000000001</v>
      </c>
      <c r="AE47" s="439">
        <v>16.070124</v>
      </c>
      <c r="AF47" s="439">
        <v>16.081479999999999</v>
      </c>
      <c r="AG47" s="439">
        <v>15.894873</v>
      </c>
      <c r="AH47" s="439">
        <v>15.918144</v>
      </c>
      <c r="AI47" s="439">
        <v>16.367657000000001</v>
      </c>
      <c r="AJ47" s="439">
        <v>16.679940999999999</v>
      </c>
      <c r="AK47" s="439">
        <v>16.241164999999999</v>
      </c>
      <c r="AL47" s="439">
        <v>16.227823000000001</v>
      </c>
      <c r="AM47" s="439">
        <v>16.540564</v>
      </c>
      <c r="AN47" s="439">
        <v>1.2999999999999999E-2</v>
      </c>
      <c r="AP47" s="4"/>
    </row>
    <row r="48" spans="1:42" hidden="1" x14ac:dyDescent="0.3">
      <c r="A48" t="s">
        <v>260</v>
      </c>
      <c r="B48" t="s">
        <v>312</v>
      </c>
      <c r="C48" t="s">
        <v>535</v>
      </c>
      <c r="D48" t="s">
        <v>494</v>
      </c>
      <c r="F48" s="439">
        <v>5.4852069999999999</v>
      </c>
      <c r="G48" s="439">
        <v>5.3754080000000002</v>
      </c>
      <c r="H48" s="439">
        <v>5.3069540000000002</v>
      </c>
      <c r="I48" s="439">
        <v>5.3708159999999996</v>
      </c>
      <c r="J48" s="439">
        <v>5.3469249999999997</v>
      </c>
      <c r="K48" s="439">
        <v>5.3955479999999998</v>
      </c>
      <c r="L48" s="439">
        <v>5.5622160000000003</v>
      </c>
      <c r="M48" s="439">
        <v>5.7688410000000001</v>
      </c>
      <c r="N48" s="439">
        <v>5.9681300000000004</v>
      </c>
      <c r="O48" s="439">
        <v>6.0324790000000004</v>
      </c>
      <c r="P48" s="439">
        <v>6.0502310000000001</v>
      </c>
      <c r="Q48" s="439">
        <v>6.1168870000000002</v>
      </c>
      <c r="R48" s="439">
        <v>6.2086459999999999</v>
      </c>
      <c r="S48" s="439">
        <v>6.253514</v>
      </c>
      <c r="T48" s="439">
        <v>6.2555940000000003</v>
      </c>
      <c r="U48" s="439">
        <v>6.3636920000000003</v>
      </c>
      <c r="V48" s="439">
        <v>6.4337770000000001</v>
      </c>
      <c r="W48" s="439">
        <v>6.4783059999999999</v>
      </c>
      <c r="X48" s="439">
        <v>6.5216599999999998</v>
      </c>
      <c r="Y48" s="439">
        <v>6.5926900000000002</v>
      </c>
      <c r="Z48" s="439">
        <v>6.623748</v>
      </c>
      <c r="AA48" s="439">
        <v>6.6332300000000002</v>
      </c>
      <c r="AB48" s="439">
        <v>6.6617030000000002</v>
      </c>
      <c r="AC48" s="439">
        <v>6.7199090000000004</v>
      </c>
      <c r="AD48" s="439">
        <v>6.7207410000000003</v>
      </c>
      <c r="AE48" s="439">
        <v>6.7621989999999998</v>
      </c>
      <c r="AF48" s="439">
        <v>6.8273260000000002</v>
      </c>
      <c r="AG48" s="439">
        <v>6.9060759999999997</v>
      </c>
      <c r="AH48" s="439">
        <v>6.9790029999999996</v>
      </c>
      <c r="AI48" s="439">
        <v>7.0453650000000003</v>
      </c>
      <c r="AJ48" s="439">
        <v>7.1264219999999998</v>
      </c>
      <c r="AK48" s="439">
        <v>7.2488440000000001</v>
      </c>
      <c r="AL48" s="439">
        <v>7.3555950000000001</v>
      </c>
      <c r="AM48" s="439">
        <v>7.4407839999999998</v>
      </c>
      <c r="AN48" s="439">
        <v>0.01</v>
      </c>
      <c r="AP48" s="4"/>
    </row>
    <row r="49" spans="1:42" hidden="1" x14ac:dyDescent="0.3">
      <c r="A49" t="s">
        <v>276</v>
      </c>
      <c r="B49" t="s">
        <v>313</v>
      </c>
      <c r="C49" t="s">
        <v>536</v>
      </c>
      <c r="D49" t="s">
        <v>494</v>
      </c>
      <c r="F49" s="439">
        <v>4.6546649999999996</v>
      </c>
      <c r="G49" s="439">
        <v>5.232799</v>
      </c>
      <c r="H49" s="439">
        <v>4.910609</v>
      </c>
      <c r="I49" s="439">
        <v>4.7979989999999999</v>
      </c>
      <c r="J49" s="439">
        <v>4.6075619999999997</v>
      </c>
      <c r="K49" s="439">
        <v>4.5412679999999996</v>
      </c>
      <c r="L49" s="439">
        <v>4.5061349999999996</v>
      </c>
      <c r="M49" s="439">
        <v>4.5257019999999999</v>
      </c>
      <c r="N49" s="439">
        <v>4.5502760000000002</v>
      </c>
      <c r="O49" s="439">
        <v>4.5826320000000003</v>
      </c>
      <c r="P49" s="439">
        <v>4.6175569999999997</v>
      </c>
      <c r="Q49" s="439">
        <v>4.6431740000000001</v>
      </c>
      <c r="R49" s="439">
        <v>4.6885279999999998</v>
      </c>
      <c r="S49" s="439">
        <v>4.7106849999999998</v>
      </c>
      <c r="T49" s="439">
        <v>4.7482639999999998</v>
      </c>
      <c r="U49" s="439">
        <v>4.7781479999999998</v>
      </c>
      <c r="V49" s="439">
        <v>4.7896729999999996</v>
      </c>
      <c r="W49" s="439">
        <v>4.8049419999999996</v>
      </c>
      <c r="X49" s="439">
        <v>4.8272269999999997</v>
      </c>
      <c r="Y49" s="439">
        <v>4.8500050000000003</v>
      </c>
      <c r="Z49" s="439">
        <v>4.8617650000000001</v>
      </c>
      <c r="AA49" s="439">
        <v>4.8752639999999996</v>
      </c>
      <c r="AB49" s="439">
        <v>4.883718</v>
      </c>
      <c r="AC49" s="439">
        <v>4.8905099999999999</v>
      </c>
      <c r="AD49" s="439">
        <v>4.9063889999999999</v>
      </c>
      <c r="AE49" s="439">
        <v>4.918361</v>
      </c>
      <c r="AF49" s="439">
        <v>4.9276099999999996</v>
      </c>
      <c r="AG49" s="439">
        <v>4.9461009999999996</v>
      </c>
      <c r="AH49" s="439">
        <v>4.9751960000000004</v>
      </c>
      <c r="AI49" s="439">
        <v>4.9832830000000001</v>
      </c>
      <c r="AJ49" s="439">
        <v>4.997738</v>
      </c>
      <c r="AK49" s="439">
        <v>5.0115530000000001</v>
      </c>
      <c r="AL49" s="439">
        <v>5.0221010000000001</v>
      </c>
      <c r="AM49" s="439">
        <v>5.033995</v>
      </c>
      <c r="AN49" s="439">
        <v>-1E-3</v>
      </c>
      <c r="AP49" s="4"/>
    </row>
    <row r="50" spans="1:42" hidden="1" x14ac:dyDescent="0.3">
      <c r="A50" t="s">
        <v>314</v>
      </c>
      <c r="B50" t="s">
        <v>315</v>
      </c>
      <c r="C50" t="s">
        <v>537</v>
      </c>
      <c r="D50" t="s">
        <v>494</v>
      </c>
      <c r="F50" s="439">
        <v>2.1356670000000002</v>
      </c>
      <c r="G50" s="439">
        <v>2.1693920000000002</v>
      </c>
      <c r="H50" s="439">
        <v>2.1627260000000001</v>
      </c>
      <c r="I50" s="439">
        <v>2.1765699999999999</v>
      </c>
      <c r="J50" s="439">
        <v>2.2664270000000002</v>
      </c>
      <c r="K50" s="439">
        <v>2.2753369999999999</v>
      </c>
      <c r="L50" s="439">
        <v>2.277361</v>
      </c>
      <c r="M50" s="439">
        <v>2.2417500000000001</v>
      </c>
      <c r="N50" s="439">
        <v>2.255023</v>
      </c>
      <c r="O50" s="439">
        <v>2.2523309999999999</v>
      </c>
      <c r="P50" s="439">
        <v>2.2589540000000001</v>
      </c>
      <c r="Q50" s="439">
        <v>2.2632119999999998</v>
      </c>
      <c r="R50" s="439">
        <v>2.2837350000000001</v>
      </c>
      <c r="S50" s="439">
        <v>2.3013599999999999</v>
      </c>
      <c r="T50" s="439">
        <v>2.2985699999999998</v>
      </c>
      <c r="U50" s="439">
        <v>2.2884350000000002</v>
      </c>
      <c r="V50" s="439">
        <v>2.28986</v>
      </c>
      <c r="W50" s="439">
        <v>2.2877809999999998</v>
      </c>
      <c r="X50" s="439">
        <v>2.2918590000000001</v>
      </c>
      <c r="Y50" s="439">
        <v>2.2984490000000002</v>
      </c>
      <c r="Z50" s="439">
        <v>2.3045369999999998</v>
      </c>
      <c r="AA50" s="439">
        <v>2.3104140000000002</v>
      </c>
      <c r="AB50" s="439">
        <v>2.31623</v>
      </c>
      <c r="AC50" s="439">
        <v>2.3195009999999998</v>
      </c>
      <c r="AD50" s="439">
        <v>2.3207689999999999</v>
      </c>
      <c r="AE50" s="439">
        <v>2.3208299999999999</v>
      </c>
      <c r="AF50" s="439">
        <v>2.3195350000000001</v>
      </c>
      <c r="AG50" s="439">
        <v>2.3183280000000002</v>
      </c>
      <c r="AH50" s="439">
        <v>2.3193260000000002</v>
      </c>
      <c r="AI50" s="439">
        <v>2.3204639999999999</v>
      </c>
      <c r="AJ50" s="439">
        <v>2.3183950000000002</v>
      </c>
      <c r="AK50" s="439">
        <v>2.319502</v>
      </c>
      <c r="AL50" s="439">
        <v>2.3214510000000002</v>
      </c>
      <c r="AM50" s="439">
        <v>2.3221050000000001</v>
      </c>
      <c r="AN50" s="439">
        <v>2E-3</v>
      </c>
      <c r="AP50" s="4"/>
    </row>
    <row r="51" spans="1:42" hidden="1" x14ac:dyDescent="0.3">
      <c r="A51" t="s">
        <v>280</v>
      </c>
      <c r="B51" t="s">
        <v>316</v>
      </c>
      <c r="C51" t="s">
        <v>538</v>
      </c>
      <c r="D51" t="s">
        <v>494</v>
      </c>
      <c r="F51" s="439">
        <v>0</v>
      </c>
      <c r="G51" s="439">
        <v>0</v>
      </c>
      <c r="H51" s="439">
        <v>0</v>
      </c>
      <c r="I51" s="439">
        <v>0</v>
      </c>
      <c r="J51" s="439">
        <v>0</v>
      </c>
      <c r="K51" s="439">
        <v>0</v>
      </c>
      <c r="L51" s="439">
        <v>0</v>
      </c>
      <c r="M51" s="439">
        <v>0</v>
      </c>
      <c r="N51" s="439">
        <v>0</v>
      </c>
      <c r="O51" s="439">
        <v>0</v>
      </c>
      <c r="P51" s="439">
        <v>0</v>
      </c>
      <c r="Q51" s="439">
        <v>0</v>
      </c>
      <c r="R51" s="439">
        <v>0</v>
      </c>
      <c r="S51" s="439">
        <v>0</v>
      </c>
      <c r="T51" s="439">
        <v>0</v>
      </c>
      <c r="U51" s="439">
        <v>0</v>
      </c>
      <c r="V51" s="439">
        <v>0</v>
      </c>
      <c r="W51" s="439">
        <v>0</v>
      </c>
      <c r="X51" s="439">
        <v>0</v>
      </c>
      <c r="Y51" s="439">
        <v>0</v>
      </c>
      <c r="Z51" s="439">
        <v>0</v>
      </c>
      <c r="AA51" s="439">
        <v>0</v>
      </c>
      <c r="AB51" s="439">
        <v>0</v>
      </c>
      <c r="AC51" s="439">
        <v>0</v>
      </c>
      <c r="AD51" s="439">
        <v>0</v>
      </c>
      <c r="AE51" s="439">
        <v>0</v>
      </c>
      <c r="AF51" s="439">
        <v>0</v>
      </c>
      <c r="AG51" s="439">
        <v>0</v>
      </c>
      <c r="AH51" s="439">
        <v>0</v>
      </c>
      <c r="AI51" s="439">
        <v>0</v>
      </c>
      <c r="AJ51" s="439">
        <v>0</v>
      </c>
      <c r="AK51" s="439">
        <v>0</v>
      </c>
      <c r="AL51" s="439">
        <v>0</v>
      </c>
      <c r="AM51" s="439">
        <v>0</v>
      </c>
      <c r="AN51" s="439" t="s">
        <v>282</v>
      </c>
    </row>
    <row r="52" spans="1:42" hidden="1" x14ac:dyDescent="0.3">
      <c r="A52" t="s">
        <v>262</v>
      </c>
      <c r="B52" t="s">
        <v>317</v>
      </c>
      <c r="C52" t="s">
        <v>539</v>
      </c>
      <c r="D52" t="s">
        <v>494</v>
      </c>
      <c r="F52" s="439">
        <v>31.662811000000001</v>
      </c>
      <c r="G52" s="439">
        <v>30.935385</v>
      </c>
      <c r="H52" s="439">
        <v>30.635555</v>
      </c>
      <c r="I52" s="439">
        <v>30.013815000000001</v>
      </c>
      <c r="J52" s="439">
        <v>29.643229000000002</v>
      </c>
      <c r="K52" s="439">
        <v>29.634478000000001</v>
      </c>
      <c r="L52" s="439">
        <v>29.680761</v>
      </c>
      <c r="M52" s="439">
        <v>29.895102000000001</v>
      </c>
      <c r="N52" s="439">
        <v>30.244675000000001</v>
      </c>
      <c r="O52" s="439">
        <v>30.457317</v>
      </c>
      <c r="P52" s="439">
        <v>30.483438</v>
      </c>
      <c r="Q52" s="439">
        <v>30.546408</v>
      </c>
      <c r="R52" s="439">
        <v>30.519157</v>
      </c>
      <c r="S52" s="439">
        <v>30.618438999999999</v>
      </c>
      <c r="T52" s="439">
        <v>30.661830999999999</v>
      </c>
      <c r="U52" s="439">
        <v>30.821152000000001</v>
      </c>
      <c r="V52" s="439">
        <v>30.894690000000001</v>
      </c>
      <c r="W52" s="439">
        <v>30.939615</v>
      </c>
      <c r="X52" s="439">
        <v>30.945239999999998</v>
      </c>
      <c r="Y52" s="439">
        <v>30.999735000000001</v>
      </c>
      <c r="Z52" s="439">
        <v>31.059006</v>
      </c>
      <c r="AA52" s="439">
        <v>31.028445999999999</v>
      </c>
      <c r="AB52" s="439">
        <v>30.968406999999999</v>
      </c>
      <c r="AC52" s="439">
        <v>30.829065</v>
      </c>
      <c r="AD52" s="439">
        <v>30.904121</v>
      </c>
      <c r="AE52" s="439">
        <v>30.816116000000001</v>
      </c>
      <c r="AF52" s="439">
        <v>30.784230999999998</v>
      </c>
      <c r="AG52" s="439">
        <v>30.736875999999999</v>
      </c>
      <c r="AH52" s="439">
        <v>30.746752000000001</v>
      </c>
      <c r="AI52" s="439">
        <v>30.773333000000001</v>
      </c>
      <c r="AJ52" s="439">
        <v>30.808022000000001</v>
      </c>
      <c r="AK52" s="439">
        <v>30.845694999999999</v>
      </c>
      <c r="AL52" s="439">
        <v>30.844408000000001</v>
      </c>
      <c r="AM52" s="439">
        <v>30.790899</v>
      </c>
      <c r="AN52" s="439">
        <v>0</v>
      </c>
      <c r="AP52" s="4"/>
    </row>
    <row r="53" spans="1:42" hidden="1" x14ac:dyDescent="0.3">
      <c r="A53" t="s">
        <v>318</v>
      </c>
      <c r="C53" t="s">
        <v>540</v>
      </c>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9"/>
    </row>
    <row r="54" spans="1:42" hidden="1" x14ac:dyDescent="0.3">
      <c r="A54" t="s">
        <v>541</v>
      </c>
      <c r="C54" t="s">
        <v>542</v>
      </c>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row>
    <row r="55" spans="1:42" hidden="1" x14ac:dyDescent="0.3">
      <c r="A55" t="s">
        <v>255</v>
      </c>
      <c r="B55" t="s">
        <v>319</v>
      </c>
      <c r="C55" t="s">
        <v>543</v>
      </c>
      <c r="D55" t="s">
        <v>544</v>
      </c>
      <c r="F55" s="439">
        <v>247.96086099999999</v>
      </c>
      <c r="G55" s="439">
        <v>255.95361299999999</v>
      </c>
      <c r="H55" s="439">
        <v>251.91525300000001</v>
      </c>
      <c r="I55" s="439">
        <v>251.19210799999999</v>
      </c>
      <c r="J55" s="439">
        <v>249.92898600000001</v>
      </c>
      <c r="K55" s="439">
        <v>250.729218</v>
      </c>
      <c r="L55" s="439">
        <v>252.67872600000001</v>
      </c>
      <c r="M55" s="439">
        <v>255.462784</v>
      </c>
      <c r="N55" s="439">
        <v>258.466003</v>
      </c>
      <c r="O55" s="439">
        <v>260.79345699999999</v>
      </c>
      <c r="P55" s="439">
        <v>262.06457499999999</v>
      </c>
      <c r="Q55" s="439">
        <v>263.68310500000001</v>
      </c>
      <c r="R55" s="439">
        <v>266.00830100000002</v>
      </c>
      <c r="S55" s="439">
        <v>267.38842799999998</v>
      </c>
      <c r="T55" s="439">
        <v>268.84939600000001</v>
      </c>
      <c r="U55" s="439">
        <v>271.01364100000001</v>
      </c>
      <c r="V55" s="439">
        <v>272.80334499999998</v>
      </c>
      <c r="W55" s="439">
        <v>274.42340100000001</v>
      </c>
      <c r="X55" s="439">
        <v>275.94183299999997</v>
      </c>
      <c r="Y55" s="439">
        <v>277.74063100000001</v>
      </c>
      <c r="Z55" s="439">
        <v>279.59970099999998</v>
      </c>
      <c r="AA55" s="439">
        <v>280.85870399999999</v>
      </c>
      <c r="AB55" s="439">
        <v>282.00167800000003</v>
      </c>
      <c r="AC55" s="439">
        <v>282.75604199999998</v>
      </c>
      <c r="AD55" s="439">
        <v>284.55306999999999</v>
      </c>
      <c r="AE55" s="439">
        <v>285.55401599999999</v>
      </c>
      <c r="AF55" s="439">
        <v>286.842896</v>
      </c>
      <c r="AG55" s="439">
        <v>288.185181</v>
      </c>
      <c r="AH55" s="439">
        <v>290.013733</v>
      </c>
      <c r="AI55" s="439">
        <v>291.91503899999998</v>
      </c>
      <c r="AJ55" s="439">
        <v>293.79055799999998</v>
      </c>
      <c r="AK55" s="439">
        <v>295.76052900000002</v>
      </c>
      <c r="AL55" s="439">
        <v>297.44192500000003</v>
      </c>
      <c r="AM55" s="439">
        <v>298.67312600000002</v>
      </c>
      <c r="AN55" s="439">
        <v>5.0000000000000001E-3</v>
      </c>
      <c r="AP55" s="4"/>
    </row>
    <row r="56" spans="1:42" hidden="1" x14ac:dyDescent="0.3">
      <c r="A56" t="s">
        <v>264</v>
      </c>
      <c r="B56" t="s">
        <v>320</v>
      </c>
      <c r="C56" t="s">
        <v>545</v>
      </c>
      <c r="D56" t="s">
        <v>544</v>
      </c>
      <c r="F56" s="439">
        <v>191.75567599999999</v>
      </c>
      <c r="G56" s="439">
        <v>194.48608400000001</v>
      </c>
      <c r="H56" s="439">
        <v>192.053833</v>
      </c>
      <c r="I56" s="439">
        <v>190.45254499999999</v>
      </c>
      <c r="J56" s="439">
        <v>189.73362700000001</v>
      </c>
      <c r="K56" s="439">
        <v>190.97673</v>
      </c>
      <c r="L56" s="439">
        <v>192.44004799999999</v>
      </c>
      <c r="M56" s="439">
        <v>195.05830399999999</v>
      </c>
      <c r="N56" s="439">
        <v>198.17918399999999</v>
      </c>
      <c r="O56" s="439">
        <v>199.93687399999999</v>
      </c>
      <c r="P56" s="439">
        <v>200.979691</v>
      </c>
      <c r="Q56" s="439">
        <v>202.25086999999999</v>
      </c>
      <c r="R56" s="439">
        <v>204.138565</v>
      </c>
      <c r="S56" s="439">
        <v>205.16426100000001</v>
      </c>
      <c r="T56" s="439">
        <v>206.19030799999999</v>
      </c>
      <c r="U56" s="439">
        <v>207.99288899999999</v>
      </c>
      <c r="V56" s="439">
        <v>209.30613700000001</v>
      </c>
      <c r="W56" s="439">
        <v>210.481796</v>
      </c>
      <c r="X56" s="439">
        <v>211.61700400000001</v>
      </c>
      <c r="Y56" s="439">
        <v>213.170151</v>
      </c>
      <c r="Z56" s="439">
        <v>214.57524100000001</v>
      </c>
      <c r="AA56" s="439">
        <v>215.622513</v>
      </c>
      <c r="AB56" s="439">
        <v>216.58845500000001</v>
      </c>
      <c r="AC56" s="439">
        <v>217.03301999999999</v>
      </c>
      <c r="AD56" s="439">
        <v>218.72268700000001</v>
      </c>
      <c r="AE56" s="439">
        <v>219.742142</v>
      </c>
      <c r="AF56" s="439">
        <v>221.219818</v>
      </c>
      <c r="AG56" s="439">
        <v>222.61248800000001</v>
      </c>
      <c r="AH56" s="439">
        <v>224.524292</v>
      </c>
      <c r="AI56" s="439">
        <v>226.566956</v>
      </c>
      <c r="AJ56" s="439">
        <v>228.79917900000001</v>
      </c>
      <c r="AK56" s="439">
        <v>231.32217399999999</v>
      </c>
      <c r="AL56" s="439">
        <v>233.747894</v>
      </c>
      <c r="AM56" s="439">
        <v>235.83422899999999</v>
      </c>
      <c r="AN56" s="439">
        <v>6.0000000000000001E-3</v>
      </c>
      <c r="AP56" s="4"/>
    </row>
    <row r="57" spans="1:42" hidden="1" x14ac:dyDescent="0.3">
      <c r="A57" t="s">
        <v>271</v>
      </c>
      <c r="B57" t="s">
        <v>321</v>
      </c>
      <c r="C57" t="s">
        <v>546</v>
      </c>
      <c r="D57" t="s">
        <v>544</v>
      </c>
      <c r="F57" s="439">
        <v>176.327225</v>
      </c>
      <c r="G57" s="439">
        <v>194.92755099999999</v>
      </c>
      <c r="H57" s="439">
        <v>201.51014699999999</v>
      </c>
      <c r="I57" s="439">
        <v>199.72062700000001</v>
      </c>
      <c r="J57" s="439">
        <v>204.878342</v>
      </c>
      <c r="K57" s="439">
        <v>210.47022999999999</v>
      </c>
      <c r="L57" s="439">
        <v>216.44368</v>
      </c>
      <c r="M57" s="439">
        <v>225.36987300000001</v>
      </c>
      <c r="N57" s="439">
        <v>234.85240200000001</v>
      </c>
      <c r="O57" s="439">
        <v>241.22345000000001</v>
      </c>
      <c r="P57" s="439">
        <v>248.12960799999999</v>
      </c>
      <c r="Q57" s="439">
        <v>253.06369000000001</v>
      </c>
      <c r="R57" s="439">
        <v>258.273346</v>
      </c>
      <c r="S57" s="439">
        <v>261.12707499999999</v>
      </c>
      <c r="T57" s="439">
        <v>264.346497</v>
      </c>
      <c r="U57" s="439">
        <v>269.882294</v>
      </c>
      <c r="V57" s="439">
        <v>274.21945199999999</v>
      </c>
      <c r="W57" s="439">
        <v>276.24658199999999</v>
      </c>
      <c r="X57" s="439">
        <v>279.960846</v>
      </c>
      <c r="Y57" s="439">
        <v>285.65008499999999</v>
      </c>
      <c r="Z57" s="439">
        <v>287.429779</v>
      </c>
      <c r="AA57" s="439">
        <v>291.58728000000002</v>
      </c>
      <c r="AB57" s="439">
        <v>294.72903400000001</v>
      </c>
      <c r="AC57" s="439">
        <v>297.45858800000002</v>
      </c>
      <c r="AD57" s="439">
        <v>300.35137900000001</v>
      </c>
      <c r="AE57" s="439">
        <v>303.89712500000002</v>
      </c>
      <c r="AF57" s="439">
        <v>306.05542000000003</v>
      </c>
      <c r="AG57" s="439">
        <v>308.80206299999998</v>
      </c>
      <c r="AH57" s="439">
        <v>312.29754600000001</v>
      </c>
      <c r="AI57" s="439">
        <v>315.22412100000003</v>
      </c>
      <c r="AJ57" s="439">
        <v>318.47894300000002</v>
      </c>
      <c r="AK57" s="439">
        <v>323.30023199999999</v>
      </c>
      <c r="AL57" s="439">
        <v>325.80062900000001</v>
      </c>
      <c r="AM57" s="439">
        <v>328.72442599999999</v>
      </c>
      <c r="AN57" s="439">
        <v>1.6E-2</v>
      </c>
      <c r="AP57" s="4"/>
    </row>
    <row r="58" spans="1:42" hidden="1" x14ac:dyDescent="0.3">
      <c r="A58" t="s">
        <v>284</v>
      </c>
      <c r="B58" t="s">
        <v>322</v>
      </c>
      <c r="C58" t="s">
        <v>547</v>
      </c>
      <c r="D58" t="s">
        <v>544</v>
      </c>
      <c r="F58" s="439">
        <v>533.14788799999997</v>
      </c>
      <c r="G58" s="439">
        <v>619.67913799999997</v>
      </c>
      <c r="H58" s="439">
        <v>625.60168499999997</v>
      </c>
      <c r="I58" s="439">
        <v>647.07397500000002</v>
      </c>
      <c r="J58" s="439">
        <v>640.30017099999998</v>
      </c>
      <c r="K58" s="439">
        <v>631.67858899999999</v>
      </c>
      <c r="L58" s="439">
        <v>631.51391599999999</v>
      </c>
      <c r="M58" s="439">
        <v>631.85180700000001</v>
      </c>
      <c r="N58" s="439">
        <v>629.75640899999996</v>
      </c>
      <c r="O58" s="439">
        <v>628.68054199999995</v>
      </c>
      <c r="P58" s="439">
        <v>635.36071800000002</v>
      </c>
      <c r="Q58" s="439">
        <v>634.50756799999999</v>
      </c>
      <c r="R58" s="439">
        <v>644.67596400000002</v>
      </c>
      <c r="S58" s="439">
        <v>641.37152100000003</v>
      </c>
      <c r="T58" s="439">
        <v>642.449524</v>
      </c>
      <c r="U58" s="439">
        <v>643.86395300000004</v>
      </c>
      <c r="V58" s="439">
        <v>643.14892599999996</v>
      </c>
      <c r="W58" s="439">
        <v>643.01519800000005</v>
      </c>
      <c r="X58" s="439">
        <v>644.988159</v>
      </c>
      <c r="Y58" s="439">
        <v>649.25878899999998</v>
      </c>
      <c r="Z58" s="439">
        <v>648.15277100000003</v>
      </c>
      <c r="AA58" s="439">
        <v>651.79156499999999</v>
      </c>
      <c r="AB58" s="439">
        <v>656.08471699999996</v>
      </c>
      <c r="AC58" s="439">
        <v>660.55926499999998</v>
      </c>
      <c r="AD58" s="439">
        <v>664.00469999999996</v>
      </c>
      <c r="AE58" s="439">
        <v>670.87829599999998</v>
      </c>
      <c r="AF58" s="439">
        <v>674.79522699999995</v>
      </c>
      <c r="AG58" s="439">
        <v>676.99969499999997</v>
      </c>
      <c r="AH58" s="439">
        <v>682.34741199999996</v>
      </c>
      <c r="AI58" s="439">
        <v>687.69421399999999</v>
      </c>
      <c r="AJ58" s="439">
        <v>693.68328899999995</v>
      </c>
      <c r="AK58" s="439">
        <v>701.05847200000005</v>
      </c>
      <c r="AL58" s="439">
        <v>704.31066899999996</v>
      </c>
      <c r="AM58" s="439">
        <v>707.90625</v>
      </c>
      <c r="AN58" s="439">
        <v>4.0000000000000001E-3</v>
      </c>
      <c r="AP58" s="4"/>
    </row>
    <row r="59" spans="1:42" hidden="1" x14ac:dyDescent="0.3">
      <c r="A59" t="s">
        <v>323</v>
      </c>
      <c r="B59" t="s">
        <v>324</v>
      </c>
      <c r="C59" t="s">
        <v>548</v>
      </c>
      <c r="D59" t="s">
        <v>544</v>
      </c>
      <c r="F59" s="439">
        <v>1149.19165</v>
      </c>
      <c r="G59" s="439">
        <v>1265.0463870000001</v>
      </c>
      <c r="H59" s="439">
        <v>1271.080933</v>
      </c>
      <c r="I59" s="439">
        <v>1288.4392089999999</v>
      </c>
      <c r="J59" s="439">
        <v>1284.841064</v>
      </c>
      <c r="K59" s="439">
        <v>1283.854736</v>
      </c>
      <c r="L59" s="439">
        <v>1293.0764160000001</v>
      </c>
      <c r="M59" s="439">
        <v>1307.742798</v>
      </c>
      <c r="N59" s="439">
        <v>1321.2540280000001</v>
      </c>
      <c r="O59" s="439">
        <v>1330.6342770000001</v>
      </c>
      <c r="P59" s="439">
        <v>1346.5345460000001</v>
      </c>
      <c r="Q59" s="439">
        <v>1353.505249</v>
      </c>
      <c r="R59" s="439">
        <v>1373.0961910000001</v>
      </c>
      <c r="S59" s="439">
        <v>1375.0512699999999</v>
      </c>
      <c r="T59" s="439">
        <v>1381.835693</v>
      </c>
      <c r="U59" s="439">
        <v>1392.752686</v>
      </c>
      <c r="V59" s="439">
        <v>1399.477905</v>
      </c>
      <c r="W59" s="439">
        <v>1404.1669919999999</v>
      </c>
      <c r="X59" s="439">
        <v>1412.5078120000001</v>
      </c>
      <c r="Y59" s="439">
        <v>1425.8195800000001</v>
      </c>
      <c r="Z59" s="439">
        <v>1429.757568</v>
      </c>
      <c r="AA59" s="439">
        <v>1439.860107</v>
      </c>
      <c r="AB59" s="439">
        <v>1449.4039310000001</v>
      </c>
      <c r="AC59" s="439">
        <v>1457.806885</v>
      </c>
      <c r="AD59" s="439">
        <v>1467.631836</v>
      </c>
      <c r="AE59" s="439">
        <v>1480.071533</v>
      </c>
      <c r="AF59" s="439">
        <v>1488.9133300000001</v>
      </c>
      <c r="AG59" s="439">
        <v>1496.599365</v>
      </c>
      <c r="AH59" s="439">
        <v>1509.1829829999999</v>
      </c>
      <c r="AI59" s="439">
        <v>1521.4003909999999</v>
      </c>
      <c r="AJ59" s="439">
        <v>1534.751953</v>
      </c>
      <c r="AK59" s="439">
        <v>1551.4414059999999</v>
      </c>
      <c r="AL59" s="439">
        <v>1561.3011469999999</v>
      </c>
      <c r="AM59" s="439">
        <v>1571.137939</v>
      </c>
      <c r="AN59" s="439">
        <v>7.0000000000000001E-3</v>
      </c>
      <c r="AP59" s="4"/>
    </row>
    <row r="60" spans="1:42" hidden="1" x14ac:dyDescent="0.3">
      <c r="A60" t="s">
        <v>325</v>
      </c>
      <c r="B60" t="s">
        <v>326</v>
      </c>
      <c r="C60" t="s">
        <v>549</v>
      </c>
      <c r="D60" t="s">
        <v>544</v>
      </c>
      <c r="F60" s="439">
        <v>0.20319899999999999</v>
      </c>
      <c r="G60" s="439">
        <v>1.197551</v>
      </c>
      <c r="H60" s="439">
        <v>1.445962</v>
      </c>
      <c r="I60" s="439">
        <v>1.6529419999999999</v>
      </c>
      <c r="J60" s="439">
        <v>1.9777800000000001</v>
      </c>
      <c r="K60" s="439">
        <v>2.1648100000000001</v>
      </c>
      <c r="L60" s="439">
        <v>2.3116349999999999</v>
      </c>
      <c r="M60" s="439">
        <v>2.9327260000000002</v>
      </c>
      <c r="N60" s="439">
        <v>3.6960980000000001</v>
      </c>
      <c r="O60" s="439">
        <v>3.7601079999999998</v>
      </c>
      <c r="P60" s="439">
        <v>4.152927</v>
      </c>
      <c r="Q60" s="439">
        <v>4.4046789999999998</v>
      </c>
      <c r="R60" s="439">
        <v>4.8273729999999997</v>
      </c>
      <c r="S60" s="439">
        <v>5.1251350000000002</v>
      </c>
      <c r="T60" s="439">
        <v>5.2604480000000002</v>
      </c>
      <c r="U60" s="439">
        <v>5.3356459999999997</v>
      </c>
      <c r="V60" s="439">
        <v>5.4360350000000004</v>
      </c>
      <c r="W60" s="439">
        <v>5.6418949999999999</v>
      </c>
      <c r="X60" s="439">
        <v>5.7413489999999996</v>
      </c>
      <c r="Y60" s="439">
        <v>5.9162610000000004</v>
      </c>
      <c r="Z60" s="439">
        <v>6.011234</v>
      </c>
      <c r="AA60" s="439">
        <v>6.1242140000000003</v>
      </c>
      <c r="AB60" s="439">
        <v>6.1813070000000003</v>
      </c>
      <c r="AC60" s="439">
        <v>6.2294549999999997</v>
      </c>
      <c r="AD60" s="439">
        <v>6.1215539999999997</v>
      </c>
      <c r="AE60" s="439">
        <v>6.0425779999999998</v>
      </c>
      <c r="AF60" s="439">
        <v>5.8007350000000004</v>
      </c>
      <c r="AG60" s="439">
        <v>5.6104669999999999</v>
      </c>
      <c r="AH60" s="439">
        <v>5.45641</v>
      </c>
      <c r="AI60" s="439">
        <v>4.9501439999999999</v>
      </c>
      <c r="AJ60" s="439">
        <v>4.2245559999999998</v>
      </c>
      <c r="AK60" s="439">
        <v>3.7523710000000001</v>
      </c>
      <c r="AL60" s="439">
        <v>3.7414399999999999</v>
      </c>
      <c r="AM60" s="439">
        <v>3.730502</v>
      </c>
      <c r="AN60" s="439">
        <v>3.5999999999999997E-2</v>
      </c>
      <c r="AP60" s="4"/>
    </row>
    <row r="61" spans="1:42" hidden="1" x14ac:dyDescent="0.3">
      <c r="A61" t="s">
        <v>327</v>
      </c>
      <c r="B61" t="s">
        <v>328</v>
      </c>
      <c r="C61" t="s">
        <v>550</v>
      </c>
      <c r="D61" t="s">
        <v>544</v>
      </c>
      <c r="F61" s="439">
        <v>1149.3948969999999</v>
      </c>
      <c r="G61" s="439">
        <v>1266.2438959999999</v>
      </c>
      <c r="H61" s="439">
        <v>1272.5268550000001</v>
      </c>
      <c r="I61" s="439">
        <v>1290.092163</v>
      </c>
      <c r="J61" s="439">
        <v>1286.8188479999999</v>
      </c>
      <c r="K61" s="439">
        <v>1286.0195309999999</v>
      </c>
      <c r="L61" s="439">
        <v>1295.388062</v>
      </c>
      <c r="M61" s="439">
        <v>1310.6755370000001</v>
      </c>
      <c r="N61" s="439">
        <v>1324.950073</v>
      </c>
      <c r="O61" s="439">
        <v>1334.394409</v>
      </c>
      <c r="P61" s="439">
        <v>1350.6875</v>
      </c>
      <c r="Q61" s="439">
        <v>1357.9099120000001</v>
      </c>
      <c r="R61" s="439">
        <v>1377.9235839999999</v>
      </c>
      <c r="S61" s="439">
        <v>1380.1763920000001</v>
      </c>
      <c r="T61" s="439">
        <v>1387.0961910000001</v>
      </c>
      <c r="U61" s="439">
        <v>1398.088379</v>
      </c>
      <c r="V61" s="439">
        <v>1404.9139399999999</v>
      </c>
      <c r="W61" s="439">
        <v>1409.8088379999999</v>
      </c>
      <c r="X61" s="439">
        <v>1418.2491460000001</v>
      </c>
      <c r="Y61" s="439">
        <v>1431.7358400000001</v>
      </c>
      <c r="Z61" s="439">
        <v>1435.7687989999999</v>
      </c>
      <c r="AA61" s="439">
        <v>1445.984375</v>
      </c>
      <c r="AB61" s="439">
        <v>1455.5852050000001</v>
      </c>
      <c r="AC61" s="439">
        <v>1464.0363769999999</v>
      </c>
      <c r="AD61" s="439">
        <v>1473.753418</v>
      </c>
      <c r="AE61" s="439">
        <v>1486.1141359999999</v>
      </c>
      <c r="AF61" s="439">
        <v>1494.714111</v>
      </c>
      <c r="AG61" s="439">
        <v>1502.2098390000001</v>
      </c>
      <c r="AH61" s="439">
        <v>1514.639404</v>
      </c>
      <c r="AI61" s="439">
        <v>1526.350586</v>
      </c>
      <c r="AJ61" s="439">
        <v>1538.9765620000001</v>
      </c>
      <c r="AK61" s="439">
        <v>1555.193726</v>
      </c>
      <c r="AL61" s="439">
        <v>1565.0426030000001</v>
      </c>
      <c r="AM61" s="439">
        <v>1574.868408</v>
      </c>
      <c r="AN61" s="439">
        <v>7.0000000000000001E-3</v>
      </c>
      <c r="AP61" s="4"/>
    </row>
    <row r="62" spans="1:42" ht="18" x14ac:dyDescent="0.35">
      <c r="A62" s="444" t="s">
        <v>329</v>
      </c>
      <c r="C62" t="s">
        <v>551</v>
      </c>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row>
    <row r="63" spans="1:42" x14ac:dyDescent="0.3">
      <c r="A63" t="s">
        <v>255</v>
      </c>
      <c r="C63" t="s">
        <v>552</v>
      </c>
      <c r="F63" s="445"/>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row>
    <row r="64" spans="1:42" x14ac:dyDescent="0.3">
      <c r="A64" s="241" t="s">
        <v>256</v>
      </c>
      <c r="B64" s="241" t="s">
        <v>330</v>
      </c>
      <c r="C64" t="s">
        <v>553</v>
      </c>
      <c r="D64" t="s">
        <v>331</v>
      </c>
      <c r="E64" s="446">
        <f>40879/(45323+40879+111092)</f>
        <v>0.20719839427453446</v>
      </c>
      <c r="F64" s="445">
        <v>17.508139</v>
      </c>
      <c r="G64" s="439">
        <v>21.003157000000002</v>
      </c>
      <c r="H64" s="439">
        <v>24.065123</v>
      </c>
      <c r="I64" s="439">
        <v>26.346373</v>
      </c>
      <c r="J64" s="439">
        <v>28.363385999999998</v>
      </c>
      <c r="K64" s="439">
        <v>30.374645000000001</v>
      </c>
      <c r="L64" s="439">
        <v>32.200690999999999</v>
      </c>
      <c r="M64" s="439">
        <v>34.080466999999999</v>
      </c>
      <c r="N64" s="439">
        <v>36.012573000000003</v>
      </c>
      <c r="O64" s="439">
        <v>37.874656999999999</v>
      </c>
      <c r="P64" s="439">
        <v>39.599907000000002</v>
      </c>
      <c r="Q64" s="439">
        <v>41.183101999999998</v>
      </c>
      <c r="R64" s="439">
        <v>42.753287999999998</v>
      </c>
      <c r="S64" s="439">
        <v>44.006348000000003</v>
      </c>
      <c r="T64" s="439">
        <v>45.218170000000001</v>
      </c>
      <c r="U64" s="439">
        <v>46.538845000000002</v>
      </c>
      <c r="V64" s="439">
        <v>47.968727000000001</v>
      </c>
      <c r="W64" s="439">
        <v>49.453933999999997</v>
      </c>
      <c r="X64" s="439">
        <v>50.968159</v>
      </c>
      <c r="Y64" s="439">
        <v>52.550609999999999</v>
      </c>
      <c r="Z64" s="439">
        <v>54.097946</v>
      </c>
      <c r="AA64" s="439">
        <v>55.61401</v>
      </c>
      <c r="AB64" s="439">
        <v>57.149464000000002</v>
      </c>
      <c r="AC64" s="439">
        <v>58.709319999999998</v>
      </c>
      <c r="AD64" s="439">
        <v>60.243606999999997</v>
      </c>
      <c r="AE64" s="439">
        <v>61.837173</v>
      </c>
      <c r="AF64" s="439">
        <v>63.503360999999998</v>
      </c>
      <c r="AG64" s="439">
        <v>65.215546000000003</v>
      </c>
      <c r="AH64" s="439">
        <v>66.932914999999994</v>
      </c>
      <c r="AI64" s="439">
        <v>68.632087999999996</v>
      </c>
      <c r="AJ64" s="439">
        <v>70.344291999999996</v>
      </c>
      <c r="AK64" s="439">
        <v>72.092140000000001</v>
      </c>
      <c r="AL64" s="439">
        <v>73.807770000000005</v>
      </c>
      <c r="AM64" s="439">
        <v>75.463195999999996</v>
      </c>
      <c r="AN64" s="439">
        <v>4.1000000000000002E-2</v>
      </c>
      <c r="AP64" s="4"/>
    </row>
    <row r="65" spans="1:42" x14ac:dyDescent="0.3">
      <c r="A65" s="241" t="s">
        <v>258</v>
      </c>
      <c r="B65" s="241" t="s">
        <v>332</v>
      </c>
      <c r="C65" t="s">
        <v>554</v>
      </c>
      <c r="D65" t="s">
        <v>331</v>
      </c>
      <c r="E65" s="446">
        <f>111092/(45323+40879+111092)</f>
        <v>0.56307845144809265</v>
      </c>
      <c r="F65" s="445">
        <v>18.233035999999998</v>
      </c>
      <c r="G65" s="439">
        <v>22.209574</v>
      </c>
      <c r="H65" s="439">
        <v>23.176044000000001</v>
      </c>
      <c r="I65" s="439">
        <v>24.377665</v>
      </c>
      <c r="J65" s="439">
        <v>25.346781</v>
      </c>
      <c r="K65" s="439">
        <v>26.204091999999999</v>
      </c>
      <c r="L65" s="439">
        <v>27.491541000000002</v>
      </c>
      <c r="M65" s="439">
        <v>29.297342</v>
      </c>
      <c r="N65" s="439">
        <v>30.595882</v>
      </c>
      <c r="O65" s="439">
        <v>31.805257999999998</v>
      </c>
      <c r="P65" s="439">
        <v>33.396126000000002</v>
      </c>
      <c r="Q65" s="439">
        <v>34.394233999999997</v>
      </c>
      <c r="R65" s="439">
        <v>35.771458000000003</v>
      </c>
      <c r="S65" s="439">
        <v>36.815147000000003</v>
      </c>
      <c r="T65" s="439">
        <v>37.910435</v>
      </c>
      <c r="U65" s="439">
        <v>39.156936999999999</v>
      </c>
      <c r="V65" s="439">
        <v>40.478149000000002</v>
      </c>
      <c r="W65" s="439">
        <v>41.470142000000003</v>
      </c>
      <c r="X65" s="439">
        <v>42.732716000000003</v>
      </c>
      <c r="Y65" s="439">
        <v>44.251595000000002</v>
      </c>
      <c r="Z65" s="439">
        <v>45.098598000000003</v>
      </c>
      <c r="AA65" s="439">
        <v>46.377934000000003</v>
      </c>
      <c r="AB65" s="439">
        <v>47.674995000000003</v>
      </c>
      <c r="AC65" s="439">
        <v>49.052216000000001</v>
      </c>
      <c r="AD65" s="439">
        <v>50.242328999999998</v>
      </c>
      <c r="AE65" s="439">
        <v>51.696815000000001</v>
      </c>
      <c r="AF65" s="439">
        <v>52.920616000000003</v>
      </c>
      <c r="AG65" s="439">
        <v>54.019103999999999</v>
      </c>
      <c r="AH65" s="439">
        <v>55.407406000000002</v>
      </c>
      <c r="AI65" s="439">
        <v>56.530804000000003</v>
      </c>
      <c r="AJ65" s="439">
        <v>57.69735</v>
      </c>
      <c r="AK65" s="439">
        <v>59.185195999999998</v>
      </c>
      <c r="AL65" s="439">
        <v>60.510406000000003</v>
      </c>
      <c r="AM65" s="439">
        <v>61.959217000000002</v>
      </c>
      <c r="AN65" s="439">
        <v>3.3000000000000002E-2</v>
      </c>
      <c r="AP65" s="4"/>
    </row>
    <row r="66" spans="1:42" x14ac:dyDescent="0.3">
      <c r="A66" s="241" t="s">
        <v>260</v>
      </c>
      <c r="B66" s="241" t="s">
        <v>333</v>
      </c>
      <c r="C66" t="s">
        <v>555</v>
      </c>
      <c r="D66" t="s">
        <v>331</v>
      </c>
      <c r="E66" s="446">
        <f>45323/(45323+40879+111092)</f>
        <v>0.22972315427737286</v>
      </c>
      <c r="F66" s="445">
        <v>10.554762999999999</v>
      </c>
      <c r="G66" s="439">
        <v>10.349462000000001</v>
      </c>
      <c r="H66" s="439">
        <v>10.562430000000001</v>
      </c>
      <c r="I66" s="439">
        <v>11.148787</v>
      </c>
      <c r="J66" s="439">
        <v>11.530778</v>
      </c>
      <c r="K66" s="439">
        <v>11.989454</v>
      </c>
      <c r="L66" s="439">
        <v>12.552249</v>
      </c>
      <c r="M66" s="439">
        <v>13.124815999999999</v>
      </c>
      <c r="N66" s="439">
        <v>13.697029000000001</v>
      </c>
      <c r="O66" s="439">
        <v>14.154722</v>
      </c>
      <c r="P66" s="439">
        <v>14.557395</v>
      </c>
      <c r="Q66" s="439">
        <v>14.994885999999999</v>
      </c>
      <c r="R66" s="439">
        <v>15.763899</v>
      </c>
      <c r="S66" s="439">
        <v>16.185327999999998</v>
      </c>
      <c r="T66" s="439">
        <v>16.634219999999999</v>
      </c>
      <c r="U66" s="439">
        <v>17.152246000000002</v>
      </c>
      <c r="V66" s="439">
        <v>17.675343999999999</v>
      </c>
      <c r="W66" s="439">
        <v>18.157326000000001</v>
      </c>
      <c r="X66" s="439">
        <v>18.656161999999998</v>
      </c>
      <c r="Y66" s="439">
        <v>19.183630000000001</v>
      </c>
      <c r="Z66" s="439">
        <v>19.728895000000001</v>
      </c>
      <c r="AA66" s="439">
        <v>20.219061</v>
      </c>
      <c r="AB66" s="439">
        <v>20.746497999999999</v>
      </c>
      <c r="AC66" s="439">
        <v>21.321850000000001</v>
      </c>
      <c r="AD66" s="439">
        <v>21.874856999999999</v>
      </c>
      <c r="AE66" s="439">
        <v>22.480606000000002</v>
      </c>
      <c r="AF66" s="439">
        <v>23.140153999999999</v>
      </c>
      <c r="AG66" s="439">
        <v>23.814927999999998</v>
      </c>
      <c r="AH66" s="439">
        <v>24.552676999999999</v>
      </c>
      <c r="AI66" s="439">
        <v>25.287132</v>
      </c>
      <c r="AJ66" s="439">
        <v>26.056152000000001</v>
      </c>
      <c r="AK66" s="439">
        <v>26.897997</v>
      </c>
      <c r="AL66" s="439">
        <v>27.823264999999999</v>
      </c>
      <c r="AM66" s="439">
        <v>28.704778999999998</v>
      </c>
      <c r="AN66" s="439">
        <v>3.2000000000000001E-2</v>
      </c>
      <c r="AP66" s="4"/>
    </row>
    <row r="67" spans="1:42" ht="15" thickBot="1" x14ac:dyDescent="0.35">
      <c r="A67" t="s">
        <v>262</v>
      </c>
      <c r="B67" t="s">
        <v>334</v>
      </c>
      <c r="C67" t="s">
        <v>556</v>
      </c>
      <c r="D67" t="s">
        <v>331</v>
      </c>
      <c r="E67" s="24"/>
      <c r="F67" s="445">
        <v>37.746777000000002</v>
      </c>
      <c r="G67" s="439">
        <v>36.633426999999998</v>
      </c>
      <c r="H67" s="439">
        <v>37.155963999999997</v>
      </c>
      <c r="I67" s="439">
        <v>38.181545</v>
      </c>
      <c r="J67" s="439">
        <v>39.039242000000002</v>
      </c>
      <c r="K67" s="439">
        <v>40.145626</v>
      </c>
      <c r="L67" s="439">
        <v>41.364952000000002</v>
      </c>
      <c r="M67" s="439">
        <v>42.769038999999999</v>
      </c>
      <c r="N67" s="439">
        <v>44.303600000000003</v>
      </c>
      <c r="O67" s="439">
        <v>45.744259</v>
      </c>
      <c r="P67" s="439">
        <v>46.954250000000002</v>
      </c>
      <c r="Q67" s="439">
        <v>48.218181999999999</v>
      </c>
      <c r="R67" s="439">
        <v>49.354156000000003</v>
      </c>
      <c r="S67" s="439">
        <v>50.599747000000001</v>
      </c>
      <c r="T67" s="439">
        <v>51.829762000000002</v>
      </c>
      <c r="U67" s="439">
        <v>53.249732999999999</v>
      </c>
      <c r="V67" s="439">
        <v>54.589886</v>
      </c>
      <c r="W67" s="439">
        <v>55.894385999999997</v>
      </c>
      <c r="X67" s="439">
        <v>57.174931000000001</v>
      </c>
      <c r="Y67" s="439">
        <v>58.553474000000001</v>
      </c>
      <c r="Z67" s="439">
        <v>60.010761000000002</v>
      </c>
      <c r="AA67" s="439">
        <v>61.339542000000002</v>
      </c>
      <c r="AB67" s="439">
        <v>62.630958999999997</v>
      </c>
      <c r="AC67" s="439">
        <v>63.806579999999997</v>
      </c>
      <c r="AD67" s="439">
        <v>65.436783000000005</v>
      </c>
      <c r="AE67" s="439">
        <v>66.785843</v>
      </c>
      <c r="AF67" s="439">
        <v>68.258185999999995</v>
      </c>
      <c r="AG67" s="439">
        <v>69.782882999999998</v>
      </c>
      <c r="AH67" s="439">
        <v>71.491737000000001</v>
      </c>
      <c r="AI67" s="439">
        <v>73.311546000000007</v>
      </c>
      <c r="AJ67" s="439">
        <v>75.192779999999999</v>
      </c>
      <c r="AK67" s="439">
        <v>77.146552999999997</v>
      </c>
      <c r="AL67" s="439">
        <v>79.044799999999995</v>
      </c>
      <c r="AM67" s="439">
        <v>80.891006000000004</v>
      </c>
      <c r="AN67" s="439">
        <v>2.5000000000000001E-2</v>
      </c>
      <c r="AP67" s="4"/>
    </row>
    <row r="68" spans="1:42" ht="15" thickBot="1" x14ac:dyDescent="0.35">
      <c r="A68" t="s">
        <v>264</v>
      </c>
      <c r="C68" t="s">
        <v>557</v>
      </c>
      <c r="E68" s="24"/>
      <c r="F68" s="440">
        <f>SUMPRODUCT($E$64:$E$66,F64:F66)</f>
        <v>16.318961412622784</v>
      </c>
      <c r="G68" s="440">
        <f t="shared" ref="G68:AM68" si="0">SUMPRODUCT($E$64:$E$66,G64:G66)</f>
        <v>19.235063996051576</v>
      </c>
      <c r="H68" s="440">
        <f t="shared" si="0"/>
        <v>20.462620546265978</v>
      </c>
      <c r="I68" s="440">
        <f t="shared" si="0"/>
        <v>21.746598554684887</v>
      </c>
      <c r="J68" s="440">
        <f t="shared" si="0"/>
        <v>22.797960923494884</v>
      </c>
      <c r="K68" s="440">
        <f t="shared" si="0"/>
        <v>23.802792406565832</v>
      </c>
      <c r="L68" s="440">
        <f t="shared" si="0"/>
        <v>25.035368037487199</v>
      </c>
      <c r="M68" s="440">
        <f t="shared" si="0"/>
        <v>26.573194134261559</v>
      </c>
      <c r="N68" s="440">
        <f t="shared" si="0"/>
        <v>27.836153862651678</v>
      </c>
      <c r="O68" s="440">
        <f t="shared" si="0"/>
        <v>29.008090922405138</v>
      </c>
      <c r="P68" s="440">
        <f t="shared" si="0"/>
        <v>30.353846753727943</v>
      </c>
      <c r="Q68" s="440">
        <f t="shared" si="0"/>
        <v>31.344397135057328</v>
      </c>
      <c r="R68" s="440">
        <f t="shared" si="0"/>
        <v>32.621882402227136</v>
      </c>
      <c r="S68" s="440">
        <f t="shared" si="0"/>
        <v>33.56600520725415</v>
      </c>
      <c r="T68" s="440">
        <f t="shared" si="0"/>
        <v>34.536946736900255</v>
      </c>
      <c r="U68" s="440">
        <f t="shared" si="0"/>
        <v>35.631469458863421</v>
      </c>
      <c r="V68" s="440">
        <f t="shared" si="0"/>
        <v>36.791852442816307</v>
      </c>
      <c r="W68" s="440">
        <f t="shared" si="0"/>
        <v>37.768877256013866</v>
      </c>
      <c r="X68" s="440">
        <f t="shared" si="0"/>
        <v>38.908144636729958</v>
      </c>
      <c r="Y68" s="440">
        <f t="shared" si="0"/>
        <v>40.212445590945492</v>
      </c>
      <c r="Z68" s="440">
        <f t="shared" si="0"/>
        <v>41.135240258877609</v>
      </c>
      <c r="AA68" s="440">
        <f t="shared" si="0"/>
        <v>42.282335298696367</v>
      </c>
      <c r="AB68" s="440">
        <f t="shared" si="0"/>
        <v>43.451990492615089</v>
      </c>
      <c r="AC68" s="440">
        <f t="shared" si="0"/>
        <v>44.682845295356167</v>
      </c>
      <c r="AD68" s="440">
        <f t="shared" si="0"/>
        <v>45.797912595578168</v>
      </c>
      <c r="AE68" s="440">
        <f t="shared" si="0"/>
        <v>47.08624120746196</v>
      </c>
      <c r="AF68" s="440">
        <f t="shared" si="0"/>
        <v>48.272082104539422</v>
      </c>
      <c r="AG68" s="440">
        <f t="shared" si="0"/>
        <v>49.400390220919029</v>
      </c>
      <c r="AH68" s="440">
        <f t="shared" si="0"/>
        <v>50.707427287743158</v>
      </c>
      <c r="AI68" s="440">
        <f t="shared" si="0"/>
        <v>51.860775730412477</v>
      </c>
      <c r="AJ68" s="440">
        <f t="shared" si="0"/>
        <v>53.049060265208269</v>
      </c>
      <c r="AK68" s="440">
        <f t="shared" si="0"/>
        <v>54.442376874730094</v>
      </c>
      <c r="AL68" s="440">
        <f t="shared" si="0"/>
        <v>55.756605334054761</v>
      </c>
      <c r="AM68" s="440">
        <f t="shared" si="0"/>
        <v>57.117905374035708</v>
      </c>
      <c r="AN68" s="442"/>
      <c r="AO68" s="243"/>
    </row>
    <row r="69" spans="1:42" x14ac:dyDescent="0.3">
      <c r="A69" t="s">
        <v>256</v>
      </c>
      <c r="B69" t="s">
        <v>335</v>
      </c>
      <c r="C69" t="s">
        <v>558</v>
      </c>
      <c r="D69" t="s">
        <v>331</v>
      </c>
      <c r="F69" s="439">
        <v>15.651655</v>
      </c>
      <c r="G69" s="439">
        <v>18.188956999999998</v>
      </c>
      <c r="H69" s="439">
        <v>19.684114000000001</v>
      </c>
      <c r="I69" s="439">
        <v>20.363230000000001</v>
      </c>
      <c r="J69" s="439">
        <v>21.255590000000002</v>
      </c>
      <c r="K69" s="439">
        <v>22.412966000000001</v>
      </c>
      <c r="L69" s="439">
        <v>23.417223</v>
      </c>
      <c r="M69" s="439">
        <v>24.590319000000001</v>
      </c>
      <c r="N69" s="439">
        <v>25.822741000000001</v>
      </c>
      <c r="O69" s="439">
        <v>26.941604999999999</v>
      </c>
      <c r="P69" s="439">
        <v>27.924696000000001</v>
      </c>
      <c r="Q69" s="439">
        <v>28.815867999999998</v>
      </c>
      <c r="R69" s="439">
        <v>29.863588</v>
      </c>
      <c r="S69" s="439">
        <v>30.578236</v>
      </c>
      <c r="T69" s="439">
        <v>31.333867999999999</v>
      </c>
      <c r="U69" s="439">
        <v>32.240143000000003</v>
      </c>
      <c r="V69" s="439">
        <v>33.227336999999999</v>
      </c>
      <c r="W69" s="439">
        <v>34.225143000000003</v>
      </c>
      <c r="X69" s="439">
        <v>35.216228000000001</v>
      </c>
      <c r="Y69" s="439">
        <v>36.264431000000002</v>
      </c>
      <c r="Z69" s="439">
        <v>37.249091999999997</v>
      </c>
      <c r="AA69" s="439">
        <v>38.208820000000003</v>
      </c>
      <c r="AB69" s="439">
        <v>39.205513000000003</v>
      </c>
      <c r="AC69" s="439">
        <v>40.224879999999999</v>
      </c>
      <c r="AD69" s="439">
        <v>41.206726000000003</v>
      </c>
      <c r="AE69" s="439">
        <v>42.268577999999998</v>
      </c>
      <c r="AF69" s="439">
        <v>43.387112000000002</v>
      </c>
      <c r="AG69" s="439">
        <v>44.529170999999998</v>
      </c>
      <c r="AH69" s="439">
        <v>45.650879000000003</v>
      </c>
      <c r="AI69" s="439">
        <v>46.752392</v>
      </c>
      <c r="AJ69" s="439">
        <v>47.874096000000002</v>
      </c>
      <c r="AK69" s="439">
        <v>49.031131999999999</v>
      </c>
      <c r="AL69" s="439">
        <v>50.145302000000001</v>
      </c>
      <c r="AM69" s="439">
        <v>51.207954000000001</v>
      </c>
      <c r="AN69" s="439">
        <v>3.3000000000000002E-2</v>
      </c>
      <c r="AP69" s="4"/>
    </row>
    <row r="70" spans="1:42" x14ac:dyDescent="0.3">
      <c r="A70" t="s">
        <v>258</v>
      </c>
      <c r="B70" t="s">
        <v>336</v>
      </c>
      <c r="C70" t="s">
        <v>559</v>
      </c>
      <c r="D70" t="s">
        <v>331</v>
      </c>
      <c r="F70" s="439">
        <v>18.285464999999999</v>
      </c>
      <c r="G70" s="439">
        <v>22.280404999999998</v>
      </c>
      <c r="H70" s="439">
        <v>23.285257000000001</v>
      </c>
      <c r="I70" s="439">
        <v>23.455454</v>
      </c>
      <c r="J70" s="439">
        <v>23.355309999999999</v>
      </c>
      <c r="K70" s="439">
        <v>23.077721</v>
      </c>
      <c r="L70" s="439">
        <v>23.186184000000001</v>
      </c>
      <c r="M70" s="439">
        <v>23.761555000000001</v>
      </c>
      <c r="N70" s="439">
        <v>24.930277</v>
      </c>
      <c r="O70" s="439">
        <v>26.010185</v>
      </c>
      <c r="P70" s="439">
        <v>27.455753000000001</v>
      </c>
      <c r="Q70" s="439">
        <v>28.332207</v>
      </c>
      <c r="R70" s="439">
        <v>29.956482000000001</v>
      </c>
      <c r="S70" s="439">
        <v>30.848065999999999</v>
      </c>
      <c r="T70" s="439">
        <v>31.862998999999999</v>
      </c>
      <c r="U70" s="439">
        <v>32.980601999999998</v>
      </c>
      <c r="V70" s="439">
        <v>34.124825000000001</v>
      </c>
      <c r="W70" s="439">
        <v>34.979281999999998</v>
      </c>
      <c r="X70" s="439">
        <v>36.103188000000003</v>
      </c>
      <c r="Y70" s="439">
        <v>37.446967999999998</v>
      </c>
      <c r="Z70" s="439">
        <v>38.16433</v>
      </c>
      <c r="AA70" s="439">
        <v>39.286987000000003</v>
      </c>
      <c r="AB70" s="439">
        <v>40.422905</v>
      </c>
      <c r="AC70" s="439">
        <v>41.590698000000003</v>
      </c>
      <c r="AD70" s="439">
        <v>42.608024999999998</v>
      </c>
      <c r="AE70" s="439">
        <v>43.903961000000002</v>
      </c>
      <c r="AF70" s="439">
        <v>44.940918000000003</v>
      </c>
      <c r="AG70" s="439">
        <v>45.827126</v>
      </c>
      <c r="AH70" s="439">
        <v>47.002754000000003</v>
      </c>
      <c r="AI70" s="439">
        <v>47.936816999999998</v>
      </c>
      <c r="AJ70" s="439">
        <v>48.885432999999999</v>
      </c>
      <c r="AK70" s="439">
        <v>50.150165999999999</v>
      </c>
      <c r="AL70" s="439">
        <v>51.250312999999998</v>
      </c>
      <c r="AM70" s="439">
        <v>52.466259000000001</v>
      </c>
      <c r="AN70" s="439">
        <v>2.7E-2</v>
      </c>
      <c r="AP70" s="4"/>
    </row>
    <row r="71" spans="1:42" x14ac:dyDescent="0.3">
      <c r="A71" t="s">
        <v>267</v>
      </c>
      <c r="B71" t="s">
        <v>337</v>
      </c>
      <c r="C71" t="s">
        <v>560</v>
      </c>
      <c r="D71" t="s">
        <v>331</v>
      </c>
      <c r="F71" s="439">
        <v>7.0585100000000001</v>
      </c>
      <c r="G71" s="439">
        <v>9.1115860000000009</v>
      </c>
      <c r="H71" s="439">
        <v>7.2814420000000002</v>
      </c>
      <c r="I71" s="439">
        <v>8.3935829999999996</v>
      </c>
      <c r="J71" s="439">
        <v>9.3380860000000006</v>
      </c>
      <c r="K71" s="439">
        <v>10.115494999999999</v>
      </c>
      <c r="L71" s="439">
        <v>11.342027</v>
      </c>
      <c r="M71" s="439">
        <v>12.795669999999999</v>
      </c>
      <c r="N71" s="439">
        <v>13.353478000000001</v>
      </c>
      <c r="O71" s="439">
        <v>14.132269000000001</v>
      </c>
      <c r="P71" s="439">
        <v>15.099919</v>
      </c>
      <c r="Q71" s="439">
        <v>15.689043</v>
      </c>
      <c r="R71" s="439">
        <v>16.559878999999999</v>
      </c>
      <c r="S71" s="439">
        <v>17.059377999999999</v>
      </c>
      <c r="T71" s="439">
        <v>17.709543</v>
      </c>
      <c r="U71" s="439">
        <v>18.439972000000001</v>
      </c>
      <c r="V71" s="439">
        <v>18.957716000000001</v>
      </c>
      <c r="W71" s="439">
        <v>19.583359000000002</v>
      </c>
      <c r="X71" s="439">
        <v>20.231062000000001</v>
      </c>
      <c r="Y71" s="439">
        <v>21.055126000000001</v>
      </c>
      <c r="Z71" s="439">
        <v>21.721084999999999</v>
      </c>
      <c r="AA71" s="439">
        <v>22.297958000000001</v>
      </c>
      <c r="AB71" s="439">
        <v>23.043133000000001</v>
      </c>
      <c r="AC71" s="439">
        <v>23.752507999999999</v>
      </c>
      <c r="AD71" s="439">
        <v>24.455183000000002</v>
      </c>
      <c r="AE71" s="439">
        <v>25.398762000000001</v>
      </c>
      <c r="AF71" s="439">
        <v>26.063303000000001</v>
      </c>
      <c r="AG71" s="439">
        <v>26.668096999999999</v>
      </c>
      <c r="AH71" s="439">
        <v>27.458863999999998</v>
      </c>
      <c r="AI71" s="439">
        <v>28.125112999999999</v>
      </c>
      <c r="AJ71" s="439">
        <v>28.860371000000001</v>
      </c>
      <c r="AK71" s="439">
        <v>29.606375</v>
      </c>
      <c r="AL71" s="439">
        <v>30.275276000000002</v>
      </c>
      <c r="AM71" s="439">
        <v>31.043941</v>
      </c>
      <c r="AN71" s="439">
        <v>3.9E-2</v>
      </c>
      <c r="AP71" s="4"/>
    </row>
    <row r="72" spans="1:42" x14ac:dyDescent="0.3">
      <c r="A72" t="s">
        <v>260</v>
      </c>
      <c r="B72" t="s">
        <v>338</v>
      </c>
      <c r="C72" t="s">
        <v>561</v>
      </c>
      <c r="D72" t="s">
        <v>331</v>
      </c>
      <c r="F72" s="439">
        <v>7.6637190000000004</v>
      </c>
      <c r="G72" s="439">
        <v>7.7051670000000003</v>
      </c>
      <c r="H72" s="439">
        <v>7.8333529999999998</v>
      </c>
      <c r="I72" s="439">
        <v>8.2512329999999992</v>
      </c>
      <c r="J72" s="439">
        <v>8.589931</v>
      </c>
      <c r="K72" s="439">
        <v>9.0058749999999996</v>
      </c>
      <c r="L72" s="439">
        <v>9.525442</v>
      </c>
      <c r="M72" s="439">
        <v>10.05927</v>
      </c>
      <c r="N72" s="439">
        <v>10.503792000000001</v>
      </c>
      <c r="O72" s="439">
        <v>10.834832</v>
      </c>
      <c r="P72" s="439">
        <v>11.114274999999999</v>
      </c>
      <c r="Q72" s="439">
        <v>11.430227</v>
      </c>
      <c r="R72" s="439">
        <v>12.014322</v>
      </c>
      <c r="S72" s="439">
        <v>12.308630000000001</v>
      </c>
      <c r="T72" s="439">
        <v>12.624043</v>
      </c>
      <c r="U72" s="439">
        <v>13.015354</v>
      </c>
      <c r="V72" s="439">
        <v>13.407107</v>
      </c>
      <c r="W72" s="439">
        <v>13.756454</v>
      </c>
      <c r="X72" s="439">
        <v>14.120068</v>
      </c>
      <c r="Y72" s="439">
        <v>14.509907</v>
      </c>
      <c r="Z72" s="439">
        <v>14.914863</v>
      </c>
      <c r="AA72" s="439">
        <v>15.263391</v>
      </c>
      <c r="AB72" s="439">
        <v>15.647209999999999</v>
      </c>
      <c r="AC72" s="439">
        <v>16.07564</v>
      </c>
      <c r="AD72" s="439">
        <v>16.478090000000002</v>
      </c>
      <c r="AE72" s="439">
        <v>16.929359000000002</v>
      </c>
      <c r="AF72" s="439">
        <v>17.427731999999999</v>
      </c>
      <c r="AG72" s="439">
        <v>17.936501</v>
      </c>
      <c r="AH72" s="439">
        <v>18.501953</v>
      </c>
      <c r="AI72" s="439">
        <v>19.060316</v>
      </c>
      <c r="AJ72" s="439">
        <v>19.646409999999999</v>
      </c>
      <c r="AK72" s="439">
        <v>20.298372000000001</v>
      </c>
      <c r="AL72" s="439">
        <v>21.025324000000001</v>
      </c>
      <c r="AM72" s="439">
        <v>21.702186999999999</v>
      </c>
      <c r="AN72" s="439">
        <v>3.3000000000000002E-2</v>
      </c>
      <c r="AP72" s="4"/>
    </row>
    <row r="73" spans="1:42" x14ac:dyDescent="0.3">
      <c r="A73" t="s">
        <v>262</v>
      </c>
      <c r="B73" t="s">
        <v>339</v>
      </c>
      <c r="C73" t="s">
        <v>562</v>
      </c>
      <c r="D73" t="s">
        <v>331</v>
      </c>
      <c r="F73" s="439">
        <v>31.878371999999999</v>
      </c>
      <c r="G73" s="439">
        <v>31.756233000000002</v>
      </c>
      <c r="H73" s="439">
        <v>32.274689000000002</v>
      </c>
      <c r="I73" s="439">
        <v>32.270657</v>
      </c>
      <c r="J73" s="439">
        <v>32.683810999999999</v>
      </c>
      <c r="K73" s="439">
        <v>33.524726999999999</v>
      </c>
      <c r="L73" s="439">
        <v>34.355049000000001</v>
      </c>
      <c r="M73" s="439">
        <v>35.435080999999997</v>
      </c>
      <c r="N73" s="439">
        <v>36.679183999999999</v>
      </c>
      <c r="O73" s="439">
        <v>37.751949000000003</v>
      </c>
      <c r="P73" s="439">
        <v>38.605125000000001</v>
      </c>
      <c r="Q73" s="439">
        <v>39.525390999999999</v>
      </c>
      <c r="R73" s="439">
        <v>40.313445999999999</v>
      </c>
      <c r="S73" s="439">
        <v>41.289088999999997</v>
      </c>
      <c r="T73" s="439">
        <v>42.199108000000003</v>
      </c>
      <c r="U73" s="439">
        <v>43.292701999999998</v>
      </c>
      <c r="V73" s="439">
        <v>44.278937999999997</v>
      </c>
      <c r="W73" s="439">
        <v>45.265762000000002</v>
      </c>
      <c r="X73" s="439">
        <v>46.231129000000003</v>
      </c>
      <c r="Y73" s="439">
        <v>47.318595999999999</v>
      </c>
      <c r="Z73" s="439">
        <v>48.427242</v>
      </c>
      <c r="AA73" s="439">
        <v>49.419407</v>
      </c>
      <c r="AB73" s="439">
        <v>50.355269999999997</v>
      </c>
      <c r="AC73" s="439">
        <v>51.172728999999997</v>
      </c>
      <c r="AD73" s="439">
        <v>52.449966000000003</v>
      </c>
      <c r="AE73" s="439">
        <v>53.44059</v>
      </c>
      <c r="AF73" s="439">
        <v>54.586021000000002</v>
      </c>
      <c r="AG73" s="439">
        <v>55.715381999999998</v>
      </c>
      <c r="AH73" s="439">
        <v>56.977961999999998</v>
      </c>
      <c r="AI73" s="439">
        <v>58.294350000000001</v>
      </c>
      <c r="AJ73" s="439">
        <v>59.674908000000002</v>
      </c>
      <c r="AK73" s="439">
        <v>61.128601000000003</v>
      </c>
      <c r="AL73" s="439">
        <v>62.544052000000001</v>
      </c>
      <c r="AM73" s="439">
        <v>63.882846999999998</v>
      </c>
      <c r="AN73" s="439">
        <v>2.1999999999999999E-2</v>
      </c>
      <c r="AP73" s="4"/>
    </row>
    <row r="74" spans="1:42" x14ac:dyDescent="0.3">
      <c r="A74" t="s">
        <v>271</v>
      </c>
      <c r="C74" t="s">
        <v>563</v>
      </c>
      <c r="F74" s="439"/>
      <c r="G74" s="439"/>
      <c r="H74" s="439"/>
      <c r="I74" s="439"/>
      <c r="J74" s="439"/>
      <c r="K74" s="439"/>
      <c r="L74" s="439"/>
      <c r="M74" s="439"/>
      <c r="N74" s="439"/>
      <c r="O74" s="439"/>
      <c r="P74" s="439"/>
      <c r="Q74" s="439"/>
      <c r="R74" s="439"/>
      <c r="S74" s="439"/>
      <c r="T74" s="439"/>
      <c r="U74" s="439"/>
      <c r="V74" s="439"/>
      <c r="W74" s="439"/>
      <c r="X74" s="439"/>
      <c r="Y74" s="439"/>
      <c r="Z74" s="439"/>
      <c r="AA74" s="439"/>
      <c r="AB74" s="439"/>
      <c r="AC74" s="439"/>
      <c r="AD74" s="439"/>
      <c r="AE74" s="439"/>
      <c r="AF74" s="439"/>
      <c r="AG74" s="439"/>
      <c r="AH74" s="439"/>
      <c r="AI74" s="439"/>
      <c r="AJ74" s="439"/>
      <c r="AK74" s="439"/>
      <c r="AL74" s="439"/>
      <c r="AM74" s="439"/>
      <c r="AN74" s="439"/>
    </row>
    <row r="75" spans="1:42" x14ac:dyDescent="0.3">
      <c r="A75" t="s">
        <v>256</v>
      </c>
      <c r="B75" t="s">
        <v>340</v>
      </c>
      <c r="C75" t="s">
        <v>564</v>
      </c>
      <c r="D75" t="s">
        <v>331</v>
      </c>
      <c r="F75" s="439">
        <v>12.645526</v>
      </c>
      <c r="G75" s="439">
        <v>13.672765999999999</v>
      </c>
      <c r="H75" s="439">
        <v>14.580133</v>
      </c>
      <c r="I75" s="439">
        <v>14.895818999999999</v>
      </c>
      <c r="J75" s="439">
        <v>15.630248</v>
      </c>
      <c r="K75" s="439">
        <v>16.654942999999999</v>
      </c>
      <c r="L75" s="439">
        <v>17.471496999999999</v>
      </c>
      <c r="M75" s="439">
        <v>18.502587999999999</v>
      </c>
      <c r="N75" s="439">
        <v>19.580998999999998</v>
      </c>
      <c r="O75" s="439">
        <v>20.517932999999999</v>
      </c>
      <c r="P75" s="439">
        <v>21.313694000000002</v>
      </c>
      <c r="Q75" s="439">
        <v>22.027449000000001</v>
      </c>
      <c r="R75" s="439">
        <v>22.589480999999999</v>
      </c>
      <c r="S75" s="439">
        <v>23.136402</v>
      </c>
      <c r="T75" s="439">
        <v>23.684059000000001</v>
      </c>
      <c r="U75" s="439">
        <v>24.448720999999999</v>
      </c>
      <c r="V75" s="439">
        <v>25.273769000000001</v>
      </c>
      <c r="W75" s="439">
        <v>26.092278</v>
      </c>
      <c r="X75" s="439">
        <v>26.893208000000001</v>
      </c>
      <c r="Y75" s="439">
        <v>27.755476000000002</v>
      </c>
      <c r="Z75" s="439">
        <v>28.533199</v>
      </c>
      <c r="AA75" s="439">
        <v>29.287196999999999</v>
      </c>
      <c r="AB75" s="439">
        <v>30.083587999999999</v>
      </c>
      <c r="AC75" s="439">
        <v>30.895240999999999</v>
      </c>
      <c r="AD75" s="439">
        <v>31.652228999999998</v>
      </c>
      <c r="AE75" s="439">
        <v>32.502761999999997</v>
      </c>
      <c r="AF75" s="439">
        <v>33.398712000000003</v>
      </c>
      <c r="AG75" s="439">
        <v>34.306244</v>
      </c>
      <c r="AH75" s="439">
        <v>35.177382999999999</v>
      </c>
      <c r="AI75" s="439">
        <v>36.021743999999998</v>
      </c>
      <c r="AJ75" s="439">
        <v>36.883460999999997</v>
      </c>
      <c r="AK75" s="439">
        <v>37.773575000000001</v>
      </c>
      <c r="AL75" s="439">
        <v>38.597763</v>
      </c>
      <c r="AM75" s="439">
        <v>39.358097000000001</v>
      </c>
      <c r="AN75" s="439">
        <v>3.4000000000000002E-2</v>
      </c>
      <c r="AP75" s="4"/>
    </row>
    <row r="76" spans="1:42" x14ac:dyDescent="0.3">
      <c r="A76" t="s">
        <v>258</v>
      </c>
      <c r="B76" t="s">
        <v>341</v>
      </c>
      <c r="C76" t="s">
        <v>565</v>
      </c>
      <c r="D76" t="s">
        <v>331</v>
      </c>
      <c r="F76" s="439">
        <v>18.221125000000001</v>
      </c>
      <c r="G76" s="439">
        <v>22.200142</v>
      </c>
      <c r="H76" s="439">
        <v>23.188148000000002</v>
      </c>
      <c r="I76" s="439">
        <v>23.353354</v>
      </c>
      <c r="J76" s="439">
        <v>23.261517999999999</v>
      </c>
      <c r="K76" s="439">
        <v>23.002731000000001</v>
      </c>
      <c r="L76" s="439">
        <v>23.127258000000001</v>
      </c>
      <c r="M76" s="439">
        <v>23.737027999999999</v>
      </c>
      <c r="N76" s="439">
        <v>24.952206</v>
      </c>
      <c r="O76" s="439">
        <v>26.039473999999998</v>
      </c>
      <c r="P76" s="439">
        <v>27.497790999999999</v>
      </c>
      <c r="Q76" s="439">
        <v>28.403597000000001</v>
      </c>
      <c r="R76" s="439">
        <v>29.692049000000001</v>
      </c>
      <c r="S76" s="439">
        <v>30.590889000000001</v>
      </c>
      <c r="T76" s="439">
        <v>31.561115000000001</v>
      </c>
      <c r="U76" s="439">
        <v>32.686580999999997</v>
      </c>
      <c r="V76" s="439">
        <v>33.802737999999998</v>
      </c>
      <c r="W76" s="439">
        <v>34.672660999999998</v>
      </c>
      <c r="X76" s="439">
        <v>35.809108999999999</v>
      </c>
      <c r="Y76" s="439">
        <v>37.136260999999998</v>
      </c>
      <c r="Z76" s="439">
        <v>37.871220000000001</v>
      </c>
      <c r="AA76" s="439">
        <v>38.997047000000002</v>
      </c>
      <c r="AB76" s="439">
        <v>40.136608000000003</v>
      </c>
      <c r="AC76" s="439">
        <v>41.279121000000004</v>
      </c>
      <c r="AD76" s="439">
        <v>42.291901000000003</v>
      </c>
      <c r="AE76" s="439">
        <v>43.588715000000001</v>
      </c>
      <c r="AF76" s="439">
        <v>44.618034000000002</v>
      </c>
      <c r="AG76" s="439">
        <v>45.473948999999998</v>
      </c>
      <c r="AH76" s="439">
        <v>46.640621000000003</v>
      </c>
      <c r="AI76" s="439">
        <v>47.553122999999999</v>
      </c>
      <c r="AJ76" s="439">
        <v>48.465949999999999</v>
      </c>
      <c r="AK76" s="439">
        <v>49.727626999999998</v>
      </c>
      <c r="AL76" s="439">
        <v>50.829777</v>
      </c>
      <c r="AM76" s="439">
        <v>52.052605</v>
      </c>
      <c r="AN76" s="439">
        <v>2.7E-2</v>
      </c>
      <c r="AP76" s="4"/>
    </row>
    <row r="77" spans="1:42" x14ac:dyDescent="0.3">
      <c r="A77" t="s">
        <v>267</v>
      </c>
      <c r="B77" t="s">
        <v>342</v>
      </c>
      <c r="C77" t="s">
        <v>566</v>
      </c>
      <c r="D77" t="s">
        <v>331</v>
      </c>
      <c r="F77" s="439">
        <v>6.646528</v>
      </c>
      <c r="G77" s="439">
        <v>8.5998470000000005</v>
      </c>
      <c r="H77" s="439">
        <v>7.3688570000000002</v>
      </c>
      <c r="I77" s="439">
        <v>8.7889009999999992</v>
      </c>
      <c r="J77" s="439">
        <v>10.208793999999999</v>
      </c>
      <c r="K77" s="439">
        <v>11.473128000000001</v>
      </c>
      <c r="L77" s="439">
        <v>13.173812</v>
      </c>
      <c r="M77" s="439">
        <v>15.166762</v>
      </c>
      <c r="N77" s="439">
        <v>15.802787</v>
      </c>
      <c r="O77" s="439">
        <v>16.633641999999998</v>
      </c>
      <c r="P77" s="439">
        <v>17.707981</v>
      </c>
      <c r="Q77" s="439">
        <v>18.318663000000001</v>
      </c>
      <c r="R77" s="439">
        <v>19.257725000000001</v>
      </c>
      <c r="S77" s="439">
        <v>19.817757</v>
      </c>
      <c r="T77" s="439">
        <v>20.504887</v>
      </c>
      <c r="U77" s="439">
        <v>21.264807000000001</v>
      </c>
      <c r="V77" s="439">
        <v>21.930042</v>
      </c>
      <c r="W77" s="439">
        <v>22.564198999999999</v>
      </c>
      <c r="X77" s="439">
        <v>23.290925999999999</v>
      </c>
      <c r="Y77" s="439">
        <v>24.199114000000002</v>
      </c>
      <c r="Z77" s="439">
        <v>24.860379999999999</v>
      </c>
      <c r="AA77" s="439">
        <v>25.521538</v>
      </c>
      <c r="AB77" s="439">
        <v>26.321128999999999</v>
      </c>
      <c r="AC77" s="439">
        <v>27.129082</v>
      </c>
      <c r="AD77" s="439">
        <v>27.892530000000001</v>
      </c>
      <c r="AE77" s="439">
        <v>28.913136999999999</v>
      </c>
      <c r="AF77" s="439">
        <v>29.641220000000001</v>
      </c>
      <c r="AG77" s="439">
        <v>30.322340000000001</v>
      </c>
      <c r="AH77" s="439">
        <v>31.177128</v>
      </c>
      <c r="AI77" s="439">
        <v>31.929010000000002</v>
      </c>
      <c r="AJ77" s="439">
        <v>32.746608999999999</v>
      </c>
      <c r="AK77" s="439">
        <v>33.575400999999999</v>
      </c>
      <c r="AL77" s="439">
        <v>34.332996000000001</v>
      </c>
      <c r="AM77" s="439">
        <v>35.191822000000002</v>
      </c>
      <c r="AN77" s="439">
        <v>4.4999999999999998E-2</v>
      </c>
      <c r="AP77" s="4"/>
    </row>
    <row r="78" spans="1:42" x14ac:dyDescent="0.3">
      <c r="A78" t="s">
        <v>260</v>
      </c>
      <c r="B78" t="s">
        <v>343</v>
      </c>
      <c r="C78" t="s">
        <v>567</v>
      </c>
      <c r="D78" t="s">
        <v>331</v>
      </c>
      <c r="F78" s="439">
        <v>3.8076599999999998</v>
      </c>
      <c r="G78" s="439">
        <v>3.89018</v>
      </c>
      <c r="H78" s="439">
        <v>4.0261339999999999</v>
      </c>
      <c r="I78" s="439">
        <v>4.2026680000000001</v>
      </c>
      <c r="J78" s="439">
        <v>4.2175000000000002</v>
      </c>
      <c r="K78" s="439">
        <v>4.333507</v>
      </c>
      <c r="L78" s="439">
        <v>4.5736679999999996</v>
      </c>
      <c r="M78" s="439">
        <v>4.8583179999999997</v>
      </c>
      <c r="N78" s="439">
        <v>5.2276369999999996</v>
      </c>
      <c r="O78" s="439">
        <v>5.4399439999999997</v>
      </c>
      <c r="P78" s="439">
        <v>5.5853400000000004</v>
      </c>
      <c r="Q78" s="439">
        <v>5.8033799999999998</v>
      </c>
      <c r="R78" s="439">
        <v>5.9251480000000001</v>
      </c>
      <c r="S78" s="439">
        <v>6.0979929999999998</v>
      </c>
      <c r="T78" s="439">
        <v>6.2118070000000003</v>
      </c>
      <c r="U78" s="439">
        <v>6.516178</v>
      </c>
      <c r="V78" s="439">
        <v>6.7495820000000002</v>
      </c>
      <c r="W78" s="439">
        <v>6.9625120000000003</v>
      </c>
      <c r="X78" s="439">
        <v>7.175567</v>
      </c>
      <c r="Y78" s="439">
        <v>7.4391470000000002</v>
      </c>
      <c r="Z78" s="439">
        <v>7.6516400000000004</v>
      </c>
      <c r="AA78" s="439">
        <v>7.8336399999999999</v>
      </c>
      <c r="AB78" s="439">
        <v>8.0429399999999998</v>
      </c>
      <c r="AC78" s="439">
        <v>8.3205880000000008</v>
      </c>
      <c r="AD78" s="439">
        <v>8.5016870000000004</v>
      </c>
      <c r="AE78" s="439">
        <v>8.7668090000000003</v>
      </c>
      <c r="AF78" s="439">
        <v>9.0788390000000003</v>
      </c>
      <c r="AG78" s="439">
        <v>9.4396850000000008</v>
      </c>
      <c r="AH78" s="439">
        <v>9.8104060000000004</v>
      </c>
      <c r="AI78" s="439">
        <v>10.156618999999999</v>
      </c>
      <c r="AJ78" s="439">
        <v>10.547337000000001</v>
      </c>
      <c r="AK78" s="439">
        <v>11.055622</v>
      </c>
      <c r="AL78" s="439">
        <v>11.539883</v>
      </c>
      <c r="AM78" s="439">
        <v>12.002274999999999</v>
      </c>
      <c r="AN78" s="439">
        <v>3.5999999999999997E-2</v>
      </c>
      <c r="AP78" s="4"/>
    </row>
    <row r="79" spans="1:42" x14ac:dyDescent="0.3">
      <c r="A79" t="s">
        <v>276</v>
      </c>
      <c r="B79" t="s">
        <v>344</v>
      </c>
      <c r="C79" t="s">
        <v>568</v>
      </c>
      <c r="D79" t="s">
        <v>331</v>
      </c>
      <c r="F79" s="439">
        <v>4.56501</v>
      </c>
      <c r="G79" s="439">
        <v>5.232799</v>
      </c>
      <c r="H79" s="439">
        <v>5.0316280000000004</v>
      </c>
      <c r="I79" s="439">
        <v>5.0522640000000001</v>
      </c>
      <c r="J79" s="439">
        <v>4.9811529999999999</v>
      </c>
      <c r="K79" s="439">
        <v>5.0344129999999998</v>
      </c>
      <c r="L79" s="439">
        <v>5.1188320000000003</v>
      </c>
      <c r="M79" s="439">
        <v>5.2627300000000004</v>
      </c>
      <c r="N79" s="439">
        <v>5.4128249999999998</v>
      </c>
      <c r="O79" s="439">
        <v>5.5754910000000004</v>
      </c>
      <c r="P79" s="439">
        <v>5.7456610000000001</v>
      </c>
      <c r="Q79" s="439">
        <v>5.9073120000000001</v>
      </c>
      <c r="R79" s="439">
        <v>6.0978870000000001</v>
      </c>
      <c r="S79" s="439">
        <v>6.2590820000000003</v>
      </c>
      <c r="T79" s="439">
        <v>6.444706</v>
      </c>
      <c r="U79" s="439">
        <v>6.6261710000000003</v>
      </c>
      <c r="V79" s="439">
        <v>6.7873650000000003</v>
      </c>
      <c r="W79" s="439">
        <v>6.9581309999999998</v>
      </c>
      <c r="X79" s="439">
        <v>7.14534</v>
      </c>
      <c r="Y79" s="439">
        <v>7.339899</v>
      </c>
      <c r="Z79" s="439">
        <v>7.5224630000000001</v>
      </c>
      <c r="AA79" s="439">
        <v>7.7121899999999997</v>
      </c>
      <c r="AB79" s="439">
        <v>7.8990580000000001</v>
      </c>
      <c r="AC79" s="439">
        <v>8.0890210000000007</v>
      </c>
      <c r="AD79" s="439">
        <v>8.3006899999999995</v>
      </c>
      <c r="AE79" s="439">
        <v>8.5117279999999997</v>
      </c>
      <c r="AF79" s="439">
        <v>8.7258289999999992</v>
      </c>
      <c r="AG79" s="439">
        <v>8.9632360000000002</v>
      </c>
      <c r="AH79" s="439">
        <v>9.2288270000000008</v>
      </c>
      <c r="AI79" s="439">
        <v>9.4628390000000007</v>
      </c>
      <c r="AJ79" s="439">
        <v>9.7174630000000004</v>
      </c>
      <c r="AK79" s="439">
        <v>9.9810350000000003</v>
      </c>
      <c r="AL79" s="439">
        <v>10.247812</v>
      </c>
      <c r="AM79" s="439">
        <v>10.527559</v>
      </c>
      <c r="AN79" s="439">
        <v>2.1999999999999999E-2</v>
      </c>
      <c r="AP79" s="4"/>
    </row>
    <row r="80" spans="1:42" x14ac:dyDescent="0.3">
      <c r="A80" t="s">
        <v>278</v>
      </c>
      <c r="B80" t="s">
        <v>345</v>
      </c>
      <c r="C80" t="s">
        <v>569</v>
      </c>
      <c r="D80" t="s">
        <v>331</v>
      </c>
      <c r="F80" s="439">
        <v>2.7852540000000001</v>
      </c>
      <c r="G80" s="439">
        <v>3.2970389999999998</v>
      </c>
      <c r="H80" s="439">
        <v>3.3830490000000002</v>
      </c>
      <c r="I80" s="439">
        <v>3.631294</v>
      </c>
      <c r="J80" s="439">
        <v>3.701708</v>
      </c>
      <c r="K80" s="439">
        <v>3.8118300000000001</v>
      </c>
      <c r="L80" s="439">
        <v>3.907016</v>
      </c>
      <c r="M80" s="439">
        <v>3.9861049999999998</v>
      </c>
      <c r="N80" s="439">
        <v>4.1036210000000004</v>
      </c>
      <c r="O80" s="439">
        <v>4.213622</v>
      </c>
      <c r="P80" s="439">
        <v>4.329688</v>
      </c>
      <c r="Q80" s="439">
        <v>4.4287749999999999</v>
      </c>
      <c r="R80" s="439">
        <v>4.5448089999999999</v>
      </c>
      <c r="S80" s="439">
        <v>4.668253</v>
      </c>
      <c r="T80" s="439">
        <v>4.7870220000000003</v>
      </c>
      <c r="U80" s="439">
        <v>4.8901300000000001</v>
      </c>
      <c r="V80" s="439">
        <v>4.9959809999999996</v>
      </c>
      <c r="W80" s="439">
        <v>5.1089529999999996</v>
      </c>
      <c r="X80" s="439">
        <v>5.1918410000000002</v>
      </c>
      <c r="Y80" s="439">
        <v>5.3239580000000002</v>
      </c>
      <c r="Z80" s="439">
        <v>5.4549029999999998</v>
      </c>
      <c r="AA80" s="439">
        <v>5.5923509999999998</v>
      </c>
      <c r="AB80" s="439">
        <v>5.7299230000000003</v>
      </c>
      <c r="AC80" s="439">
        <v>5.8662850000000004</v>
      </c>
      <c r="AD80" s="439">
        <v>6.0063279999999999</v>
      </c>
      <c r="AE80" s="439">
        <v>6.157591</v>
      </c>
      <c r="AF80" s="439">
        <v>6.3111990000000002</v>
      </c>
      <c r="AG80" s="439">
        <v>6.4692879999999997</v>
      </c>
      <c r="AH80" s="439">
        <v>6.6366930000000002</v>
      </c>
      <c r="AI80" s="439">
        <v>6.8129530000000003</v>
      </c>
      <c r="AJ80" s="439">
        <v>6.9888190000000003</v>
      </c>
      <c r="AK80" s="439">
        <v>7.1764979999999996</v>
      </c>
      <c r="AL80" s="439">
        <v>7.371918</v>
      </c>
      <c r="AM80" s="439">
        <v>7.5751840000000001</v>
      </c>
      <c r="AN80" s="439">
        <v>2.5999999999999999E-2</v>
      </c>
      <c r="AP80" s="4"/>
    </row>
    <row r="81" spans="1:42" x14ac:dyDescent="0.3">
      <c r="A81" t="s">
        <v>280</v>
      </c>
      <c r="B81" t="s">
        <v>346</v>
      </c>
      <c r="C81" t="s">
        <v>570</v>
      </c>
      <c r="D81" t="s">
        <v>331</v>
      </c>
      <c r="F81" s="439">
        <v>0</v>
      </c>
      <c r="G81" s="439">
        <v>0</v>
      </c>
      <c r="H81" s="439">
        <v>0</v>
      </c>
      <c r="I81" s="439">
        <v>0</v>
      </c>
      <c r="J81" s="439">
        <v>0</v>
      </c>
      <c r="K81" s="439">
        <v>0</v>
      </c>
      <c r="L81" s="439">
        <v>0</v>
      </c>
      <c r="M81" s="439">
        <v>0</v>
      </c>
      <c r="N81" s="439">
        <v>0</v>
      </c>
      <c r="O81" s="439">
        <v>0</v>
      </c>
      <c r="P81" s="439">
        <v>0</v>
      </c>
      <c r="Q81" s="439">
        <v>0</v>
      </c>
      <c r="R81" s="439">
        <v>0</v>
      </c>
      <c r="S81" s="439">
        <v>0</v>
      </c>
      <c r="T81" s="439">
        <v>0</v>
      </c>
      <c r="U81" s="439">
        <v>0</v>
      </c>
      <c r="V81" s="439">
        <v>0</v>
      </c>
      <c r="W81" s="439">
        <v>0</v>
      </c>
      <c r="X81" s="439">
        <v>0</v>
      </c>
      <c r="Y81" s="439">
        <v>0</v>
      </c>
      <c r="Z81" s="439">
        <v>0</v>
      </c>
      <c r="AA81" s="439">
        <v>0</v>
      </c>
      <c r="AB81" s="439">
        <v>0</v>
      </c>
      <c r="AC81" s="439">
        <v>0</v>
      </c>
      <c r="AD81" s="439">
        <v>0</v>
      </c>
      <c r="AE81" s="439">
        <v>0</v>
      </c>
      <c r="AF81" s="439">
        <v>0</v>
      </c>
      <c r="AG81" s="439">
        <v>0</v>
      </c>
      <c r="AH81" s="439">
        <v>0</v>
      </c>
      <c r="AI81" s="439">
        <v>0</v>
      </c>
      <c r="AJ81" s="439">
        <v>0</v>
      </c>
      <c r="AK81" s="439">
        <v>0</v>
      </c>
      <c r="AL81" s="439">
        <v>0</v>
      </c>
      <c r="AM81" s="439">
        <v>0</v>
      </c>
      <c r="AN81" s="439" t="s">
        <v>282</v>
      </c>
    </row>
    <row r="82" spans="1:42" x14ac:dyDescent="0.3">
      <c r="A82" t="s">
        <v>262</v>
      </c>
      <c r="B82" t="s">
        <v>347</v>
      </c>
      <c r="C82" t="s">
        <v>571</v>
      </c>
      <c r="D82" t="s">
        <v>331</v>
      </c>
      <c r="F82" s="439">
        <v>20.152407</v>
      </c>
      <c r="G82" s="439">
        <v>20.940262000000001</v>
      </c>
      <c r="H82" s="439">
        <v>21.369485999999998</v>
      </c>
      <c r="I82" s="439">
        <v>20.928249000000001</v>
      </c>
      <c r="J82" s="439">
        <v>21.065231000000001</v>
      </c>
      <c r="K82" s="439">
        <v>21.538418</v>
      </c>
      <c r="L82" s="439">
        <v>22.055921999999999</v>
      </c>
      <c r="M82" s="439">
        <v>22.694873999999999</v>
      </c>
      <c r="N82" s="439">
        <v>23.565472</v>
      </c>
      <c r="O82" s="439">
        <v>24.223942000000001</v>
      </c>
      <c r="P82" s="439">
        <v>24.734901000000001</v>
      </c>
      <c r="Q82" s="439">
        <v>25.30752</v>
      </c>
      <c r="R82" s="439">
        <v>25.811057999999999</v>
      </c>
      <c r="S82" s="439">
        <v>26.435400000000001</v>
      </c>
      <c r="T82" s="439">
        <v>26.987559999999998</v>
      </c>
      <c r="U82" s="439">
        <v>27.709795</v>
      </c>
      <c r="V82" s="439">
        <v>28.348644</v>
      </c>
      <c r="W82" s="439">
        <v>28.996241000000001</v>
      </c>
      <c r="X82" s="439">
        <v>29.629674999999999</v>
      </c>
      <c r="Y82" s="439">
        <v>30.365316</v>
      </c>
      <c r="Z82" s="439">
        <v>31.097291999999999</v>
      </c>
      <c r="AA82" s="439">
        <v>31.757683</v>
      </c>
      <c r="AB82" s="439">
        <v>32.414524</v>
      </c>
      <c r="AC82" s="439">
        <v>32.994605999999997</v>
      </c>
      <c r="AD82" s="439">
        <v>33.818553999999999</v>
      </c>
      <c r="AE82" s="439">
        <v>34.469383000000001</v>
      </c>
      <c r="AF82" s="439">
        <v>35.259566999999997</v>
      </c>
      <c r="AG82" s="439">
        <v>36.025928</v>
      </c>
      <c r="AH82" s="439">
        <v>36.916248000000003</v>
      </c>
      <c r="AI82" s="439">
        <v>37.852820999999999</v>
      </c>
      <c r="AJ82" s="439">
        <v>38.856586</v>
      </c>
      <c r="AK82" s="439">
        <v>39.912967999999999</v>
      </c>
      <c r="AL82" s="439">
        <v>40.966510999999997</v>
      </c>
      <c r="AM82" s="439">
        <v>42.015689999999999</v>
      </c>
      <c r="AN82" s="439">
        <v>2.1999999999999999E-2</v>
      </c>
      <c r="AP82" s="4"/>
    </row>
    <row r="83" spans="1:42" x14ac:dyDescent="0.3">
      <c r="A83" t="s">
        <v>284</v>
      </c>
      <c r="C83" t="s">
        <v>572</v>
      </c>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39"/>
      <c r="AL83" s="439"/>
      <c r="AM83" s="439"/>
      <c r="AN83" s="439"/>
    </row>
    <row r="84" spans="1:42" x14ac:dyDescent="0.3">
      <c r="A84" t="s">
        <v>256</v>
      </c>
      <c r="B84" t="s">
        <v>348</v>
      </c>
      <c r="C84" t="s">
        <v>573</v>
      </c>
      <c r="D84" t="s">
        <v>331</v>
      </c>
      <c r="F84" s="439">
        <v>18.726102999999998</v>
      </c>
      <c r="G84" s="439">
        <v>18.011908999999999</v>
      </c>
      <c r="H84" s="439">
        <v>18.653372000000001</v>
      </c>
      <c r="I84" s="439">
        <v>19.081011</v>
      </c>
      <c r="J84" s="439">
        <v>19.858301000000001</v>
      </c>
      <c r="K84" s="439">
        <v>20.892289999999999</v>
      </c>
      <c r="L84" s="439">
        <v>21.773728999999999</v>
      </c>
      <c r="M84" s="439">
        <v>22.813623</v>
      </c>
      <c r="N84" s="439">
        <v>23.895285000000001</v>
      </c>
      <c r="O84" s="439">
        <v>24.869633</v>
      </c>
      <c r="P84" s="439">
        <v>25.727194000000001</v>
      </c>
      <c r="Q84" s="439">
        <v>26.512398000000001</v>
      </c>
      <c r="R84" s="439">
        <v>27.989557000000001</v>
      </c>
      <c r="S84" s="439">
        <v>28.640841999999999</v>
      </c>
      <c r="T84" s="439">
        <v>29.4147</v>
      </c>
      <c r="U84" s="439">
        <v>30.242198999999999</v>
      </c>
      <c r="V84" s="439">
        <v>31.132345000000001</v>
      </c>
      <c r="W84" s="439">
        <v>32.025249000000002</v>
      </c>
      <c r="X84" s="439">
        <v>32.909869999999998</v>
      </c>
      <c r="Y84" s="439">
        <v>33.851233999999998</v>
      </c>
      <c r="Z84" s="439">
        <v>34.733283999999998</v>
      </c>
      <c r="AA84" s="439">
        <v>35.597003999999998</v>
      </c>
      <c r="AB84" s="439">
        <v>36.496657999999996</v>
      </c>
      <c r="AC84" s="439">
        <v>37.416542</v>
      </c>
      <c r="AD84" s="439">
        <v>38.303626999999999</v>
      </c>
      <c r="AE84" s="439">
        <v>39.265633000000001</v>
      </c>
      <c r="AF84" s="439">
        <v>40.277256000000001</v>
      </c>
      <c r="AG84" s="439">
        <v>41.307594000000002</v>
      </c>
      <c r="AH84" s="439">
        <v>42.320411999999997</v>
      </c>
      <c r="AI84" s="439">
        <v>43.319130000000001</v>
      </c>
      <c r="AJ84" s="439">
        <v>44.337131999999997</v>
      </c>
      <c r="AK84" s="439">
        <v>45.394756000000001</v>
      </c>
      <c r="AL84" s="439">
        <v>46.413597000000003</v>
      </c>
      <c r="AM84" s="439">
        <v>47.392384</v>
      </c>
      <c r="AN84" s="439">
        <v>3.1E-2</v>
      </c>
      <c r="AP84" s="4"/>
    </row>
    <row r="85" spans="1:42" ht="15" thickBot="1" x14ac:dyDescent="0.35">
      <c r="A85" t="s">
        <v>286</v>
      </c>
      <c r="B85" t="s">
        <v>349</v>
      </c>
      <c r="C85" t="s">
        <v>574</v>
      </c>
      <c r="D85" t="s">
        <v>331</v>
      </c>
      <c r="F85" s="439">
        <v>21.720039</v>
      </c>
      <c r="G85" s="439">
        <v>29.232935000000001</v>
      </c>
      <c r="H85" s="439">
        <v>34.891410999999998</v>
      </c>
      <c r="I85" s="439">
        <v>34.741745000000002</v>
      </c>
      <c r="J85" s="439">
        <v>35.350867999999998</v>
      </c>
      <c r="K85" s="439">
        <v>35.222641000000003</v>
      </c>
      <c r="L85" s="439">
        <v>35.804755999999998</v>
      </c>
      <c r="M85" s="439">
        <v>34.189574999999998</v>
      </c>
      <c r="N85" s="439">
        <v>32.103703000000003</v>
      </c>
      <c r="O85" s="439">
        <v>32.615952</v>
      </c>
      <c r="P85" s="439">
        <v>32.591793000000003</v>
      </c>
      <c r="Q85" s="439">
        <v>32.421042999999997</v>
      </c>
      <c r="R85" s="439">
        <v>33.485866999999999</v>
      </c>
      <c r="S85" s="439">
        <v>32.947239000000003</v>
      </c>
      <c r="T85" s="439">
        <v>33.740574000000002</v>
      </c>
      <c r="U85" s="439">
        <v>34.550556</v>
      </c>
      <c r="V85" s="439">
        <v>34.953902999999997</v>
      </c>
      <c r="W85" s="439">
        <v>35.225540000000002</v>
      </c>
      <c r="X85" s="439">
        <v>36.017197000000003</v>
      </c>
      <c r="Y85" s="439">
        <v>36.872810000000001</v>
      </c>
      <c r="Z85" s="439">
        <v>37.480274000000001</v>
      </c>
      <c r="AA85" s="439">
        <v>38.647461</v>
      </c>
      <c r="AB85" s="439">
        <v>40.188701999999999</v>
      </c>
      <c r="AC85" s="439">
        <v>41.916328</v>
      </c>
      <c r="AD85" s="439">
        <v>44.086089999999999</v>
      </c>
      <c r="AE85" s="439">
        <v>46.499226</v>
      </c>
      <c r="AF85" s="439">
        <v>49.098163999999997</v>
      </c>
      <c r="AG85" s="439">
        <v>51.215519</v>
      </c>
      <c r="AH85" s="439">
        <v>53.426372999999998</v>
      </c>
      <c r="AI85" s="439">
        <v>57.644576999999998</v>
      </c>
      <c r="AJ85" s="439">
        <v>63.124572999999998</v>
      </c>
      <c r="AK85" s="439">
        <v>67.720214999999996</v>
      </c>
      <c r="AL85" s="439">
        <v>69.317497000000003</v>
      </c>
      <c r="AM85" s="439">
        <v>70.789375000000007</v>
      </c>
      <c r="AN85" s="439">
        <v>2.8000000000000001E-2</v>
      </c>
      <c r="AP85" s="4"/>
    </row>
    <row r="86" spans="1:42" ht="15" thickBot="1" x14ac:dyDescent="0.35">
      <c r="A86" s="241" t="s">
        <v>288</v>
      </c>
      <c r="B86" s="241" t="s">
        <v>350</v>
      </c>
      <c r="C86" s="241" t="s">
        <v>575</v>
      </c>
      <c r="D86" s="241" t="s">
        <v>331</v>
      </c>
      <c r="E86" s="241"/>
      <c r="F86" s="443">
        <v>21.106005</v>
      </c>
      <c r="G86" s="441">
        <v>24.06465</v>
      </c>
      <c r="H86" s="442">
        <v>24.832108000000002</v>
      </c>
      <c r="I86" s="442">
        <v>26.283646000000001</v>
      </c>
      <c r="J86" s="442">
        <v>27.186351999999999</v>
      </c>
      <c r="K86" s="442">
        <v>27.95365</v>
      </c>
      <c r="L86" s="442">
        <v>29.041056000000001</v>
      </c>
      <c r="M86" s="442">
        <v>30.136413999999998</v>
      </c>
      <c r="N86" s="442">
        <v>31.173594999999999</v>
      </c>
      <c r="O86" s="442">
        <v>32.145988000000003</v>
      </c>
      <c r="P86" s="442">
        <v>33.555850999999997</v>
      </c>
      <c r="Q86" s="442">
        <v>34.554381999999997</v>
      </c>
      <c r="R86" s="442">
        <v>36.190018000000002</v>
      </c>
      <c r="S86" s="442">
        <v>37.124904999999998</v>
      </c>
      <c r="T86" s="442">
        <v>38.335602000000002</v>
      </c>
      <c r="U86" s="442">
        <v>39.497101000000001</v>
      </c>
      <c r="V86" s="442">
        <v>40.524765000000002</v>
      </c>
      <c r="W86" s="442">
        <v>41.714244999999998</v>
      </c>
      <c r="X86" s="442">
        <v>42.912388</v>
      </c>
      <c r="Y86" s="442">
        <v>44.238357999999998</v>
      </c>
      <c r="Z86" s="442">
        <v>45.226230999999999</v>
      </c>
      <c r="AA86" s="442">
        <v>46.504803000000003</v>
      </c>
      <c r="AB86" s="442">
        <v>47.853076999999999</v>
      </c>
      <c r="AC86" s="442">
        <v>49.280064000000003</v>
      </c>
      <c r="AD86" s="442">
        <v>50.580986000000003</v>
      </c>
      <c r="AE86" s="442">
        <v>52.147530000000003</v>
      </c>
      <c r="AF86" s="442">
        <v>53.443351999999997</v>
      </c>
      <c r="AG86" s="442">
        <v>54.693924000000003</v>
      </c>
      <c r="AH86" s="442">
        <v>56.108283999999998</v>
      </c>
      <c r="AI86" s="442">
        <v>57.617764000000001</v>
      </c>
      <c r="AJ86" s="442">
        <v>59.144694999999999</v>
      </c>
      <c r="AK86" s="442">
        <v>60.873173000000001</v>
      </c>
      <c r="AL86" s="442">
        <v>62.402484999999999</v>
      </c>
      <c r="AM86" s="442">
        <v>63.938034000000002</v>
      </c>
      <c r="AN86" s="442">
        <v>3.1E-2</v>
      </c>
      <c r="AO86" s="242"/>
      <c r="AP86" s="244"/>
    </row>
    <row r="87" spans="1:42" x14ac:dyDescent="0.3">
      <c r="A87" t="s">
        <v>290</v>
      </c>
      <c r="B87" t="s">
        <v>351</v>
      </c>
      <c r="C87" t="s">
        <v>576</v>
      </c>
      <c r="D87" t="s">
        <v>331</v>
      </c>
      <c r="F87" s="439">
        <v>12.124298</v>
      </c>
      <c r="G87" s="439">
        <v>16.156372000000001</v>
      </c>
      <c r="H87" s="439">
        <v>16.620868999999999</v>
      </c>
      <c r="I87" s="439">
        <v>18.313101</v>
      </c>
      <c r="J87" s="439">
        <v>18.593015999999999</v>
      </c>
      <c r="K87" s="439">
        <v>18.807867000000002</v>
      </c>
      <c r="L87" s="439">
        <v>19.561724000000002</v>
      </c>
      <c r="M87" s="439">
        <v>20.351047999999999</v>
      </c>
      <c r="N87" s="439">
        <v>21.153175000000001</v>
      </c>
      <c r="O87" s="439">
        <v>22.103016</v>
      </c>
      <c r="P87" s="439">
        <v>23.231895000000002</v>
      </c>
      <c r="Q87" s="439">
        <v>24.239923000000001</v>
      </c>
      <c r="R87" s="439">
        <v>25.698830000000001</v>
      </c>
      <c r="S87" s="439">
        <v>26.415628000000002</v>
      </c>
      <c r="T87" s="439">
        <v>27.342039</v>
      </c>
      <c r="U87" s="439">
        <v>28.491802</v>
      </c>
      <c r="V87" s="439">
        <v>29.430499999999999</v>
      </c>
      <c r="W87" s="439">
        <v>30.305695</v>
      </c>
      <c r="X87" s="439">
        <v>31.389648000000001</v>
      </c>
      <c r="Y87" s="439">
        <v>32.592571</v>
      </c>
      <c r="Z87" s="439">
        <v>33.388401000000002</v>
      </c>
      <c r="AA87" s="439">
        <v>34.461044000000001</v>
      </c>
      <c r="AB87" s="439">
        <v>35.543506999999998</v>
      </c>
      <c r="AC87" s="439">
        <v>36.545707999999998</v>
      </c>
      <c r="AD87" s="439">
        <v>37.576270999999998</v>
      </c>
      <c r="AE87" s="439">
        <v>38.845142000000003</v>
      </c>
      <c r="AF87" s="439">
        <v>39.943061999999998</v>
      </c>
      <c r="AG87" s="439">
        <v>40.807957000000002</v>
      </c>
      <c r="AH87" s="439">
        <v>42.076374000000001</v>
      </c>
      <c r="AI87" s="439">
        <v>43.050224</v>
      </c>
      <c r="AJ87" s="439">
        <v>44.199173000000002</v>
      </c>
      <c r="AK87" s="439">
        <v>45.561484999999998</v>
      </c>
      <c r="AL87" s="439">
        <v>46.610537999999998</v>
      </c>
      <c r="AM87" s="439">
        <v>47.752560000000003</v>
      </c>
      <c r="AN87" s="439">
        <v>3.4000000000000002E-2</v>
      </c>
      <c r="AP87" s="4"/>
    </row>
    <row r="88" spans="1:42" x14ac:dyDescent="0.3">
      <c r="A88" t="s">
        <v>292</v>
      </c>
      <c r="B88" t="s">
        <v>352</v>
      </c>
      <c r="C88" t="s">
        <v>577</v>
      </c>
      <c r="D88" t="s">
        <v>331</v>
      </c>
      <c r="F88" s="439">
        <v>19.208932999999998</v>
      </c>
      <c r="G88" s="439">
        <v>23.159742000000001</v>
      </c>
      <c r="H88" s="439">
        <v>23.279947</v>
      </c>
      <c r="I88" s="439">
        <v>25.483034</v>
      </c>
      <c r="J88" s="439">
        <v>26.248508000000001</v>
      </c>
      <c r="K88" s="439">
        <v>26.688186999999999</v>
      </c>
      <c r="L88" s="439">
        <v>27.644843999999999</v>
      </c>
      <c r="M88" s="439">
        <v>28.879657999999999</v>
      </c>
      <c r="N88" s="439">
        <v>30.002300000000002</v>
      </c>
      <c r="O88" s="439">
        <v>30.906182999999999</v>
      </c>
      <c r="P88" s="439">
        <v>32.476261000000001</v>
      </c>
      <c r="Q88" s="439">
        <v>33.501251000000003</v>
      </c>
      <c r="R88" s="439">
        <v>35.338073999999999</v>
      </c>
      <c r="S88" s="439">
        <v>36.382503999999997</v>
      </c>
      <c r="T88" s="439">
        <v>37.565562999999997</v>
      </c>
      <c r="U88" s="439">
        <v>38.820521999999997</v>
      </c>
      <c r="V88" s="439">
        <v>40.060768000000003</v>
      </c>
      <c r="W88" s="439">
        <v>41.070549</v>
      </c>
      <c r="X88" s="439">
        <v>42.382255999999998</v>
      </c>
      <c r="Y88" s="439">
        <v>43.833286000000001</v>
      </c>
      <c r="Z88" s="439">
        <v>44.718440999999999</v>
      </c>
      <c r="AA88" s="439">
        <v>46.002712000000002</v>
      </c>
      <c r="AB88" s="439">
        <v>47.291981</v>
      </c>
      <c r="AC88" s="439">
        <v>48.589995999999999</v>
      </c>
      <c r="AD88" s="439">
        <v>49.737079999999999</v>
      </c>
      <c r="AE88" s="439">
        <v>51.167628999999998</v>
      </c>
      <c r="AF88" s="439">
        <v>52.356994999999998</v>
      </c>
      <c r="AG88" s="439">
        <v>53.360512</v>
      </c>
      <c r="AH88" s="439">
        <v>54.697947999999997</v>
      </c>
      <c r="AI88" s="439">
        <v>55.732162000000002</v>
      </c>
      <c r="AJ88" s="439">
        <v>56.779640000000001</v>
      </c>
      <c r="AK88" s="439">
        <v>58.210182000000003</v>
      </c>
      <c r="AL88" s="439">
        <v>59.515408000000001</v>
      </c>
      <c r="AM88" s="439">
        <v>60.97401</v>
      </c>
      <c r="AN88" s="439">
        <v>3.1E-2</v>
      </c>
      <c r="AP88" s="4"/>
    </row>
    <row r="89" spans="1:42" x14ac:dyDescent="0.3">
      <c r="A89" t="s">
        <v>267</v>
      </c>
      <c r="B89" t="s">
        <v>353</v>
      </c>
      <c r="C89" t="s">
        <v>578</v>
      </c>
      <c r="D89" t="s">
        <v>331</v>
      </c>
      <c r="F89" s="439">
        <v>8.4763780000000004</v>
      </c>
      <c r="G89" s="439">
        <v>10.938333999999999</v>
      </c>
      <c r="H89" s="439">
        <v>11.404419000000001</v>
      </c>
      <c r="I89" s="439">
        <v>12.370260999999999</v>
      </c>
      <c r="J89" s="439">
        <v>12.712895</v>
      </c>
      <c r="K89" s="439">
        <v>11.558486</v>
      </c>
      <c r="L89" s="439">
        <v>12.2516</v>
      </c>
      <c r="M89" s="439">
        <v>13.102289000000001</v>
      </c>
      <c r="N89" s="439">
        <v>13.769024999999999</v>
      </c>
      <c r="O89" s="439">
        <v>14.514442000000001</v>
      </c>
      <c r="P89" s="439">
        <v>15.365705</v>
      </c>
      <c r="Q89" s="439">
        <v>15.943873</v>
      </c>
      <c r="R89" s="439">
        <v>16.689201000000001</v>
      </c>
      <c r="S89" s="439">
        <v>17.784604999999999</v>
      </c>
      <c r="T89" s="439">
        <v>18.374607000000001</v>
      </c>
      <c r="U89" s="439">
        <v>18.944063</v>
      </c>
      <c r="V89" s="439">
        <v>19.592278</v>
      </c>
      <c r="W89" s="439">
        <v>20.951547999999999</v>
      </c>
      <c r="X89" s="439">
        <v>21.895810999999998</v>
      </c>
      <c r="Y89" s="439">
        <v>22.611854999999998</v>
      </c>
      <c r="Z89" s="439">
        <v>23.869430999999999</v>
      </c>
      <c r="AA89" s="439">
        <v>24.499603</v>
      </c>
      <c r="AB89" s="439">
        <v>25.186313999999999</v>
      </c>
      <c r="AC89" s="439">
        <v>25.915956000000001</v>
      </c>
      <c r="AD89" s="439">
        <v>26.624389999999998</v>
      </c>
      <c r="AE89" s="439">
        <v>27.532281999999999</v>
      </c>
      <c r="AF89" s="439">
        <v>28.22514</v>
      </c>
      <c r="AG89" s="439">
        <v>28.515276</v>
      </c>
      <c r="AH89" s="439">
        <v>29.24823</v>
      </c>
      <c r="AI89" s="439">
        <v>30.947132</v>
      </c>
      <c r="AJ89" s="439">
        <v>32.401618999999997</v>
      </c>
      <c r="AK89" s="439">
        <v>32.147208999999997</v>
      </c>
      <c r="AL89" s="439">
        <v>32.922226000000002</v>
      </c>
      <c r="AM89" s="439">
        <v>34.523738999999999</v>
      </c>
      <c r="AN89" s="439">
        <v>3.6999999999999998E-2</v>
      </c>
      <c r="AP89" s="4"/>
    </row>
    <row r="90" spans="1:42" x14ac:dyDescent="0.3">
      <c r="A90" t="s">
        <v>260</v>
      </c>
      <c r="B90" t="s">
        <v>354</v>
      </c>
      <c r="C90" t="s">
        <v>579</v>
      </c>
      <c r="D90" t="s">
        <v>331</v>
      </c>
      <c r="F90" s="439">
        <v>14.460276</v>
      </c>
      <c r="G90" s="439">
        <v>14.392683999999999</v>
      </c>
      <c r="H90" s="439">
        <v>14.47261</v>
      </c>
      <c r="I90" s="439">
        <v>14.742255999999999</v>
      </c>
      <c r="J90" s="439">
        <v>14.279502000000001</v>
      </c>
      <c r="K90" s="439">
        <v>14.721894000000001</v>
      </c>
      <c r="L90" s="439">
        <v>15.078810000000001</v>
      </c>
      <c r="M90" s="439">
        <v>15.445606</v>
      </c>
      <c r="N90" s="439">
        <v>15.898394</v>
      </c>
      <c r="O90" s="439">
        <v>16.108136999999999</v>
      </c>
      <c r="P90" s="439">
        <v>16.187760999999998</v>
      </c>
      <c r="Q90" s="439">
        <v>16.356731</v>
      </c>
      <c r="R90" s="439">
        <v>17.311312000000001</v>
      </c>
      <c r="S90" s="439">
        <v>17.421500999999999</v>
      </c>
      <c r="T90" s="439">
        <v>17.666487</v>
      </c>
      <c r="U90" s="439">
        <v>17.999475</v>
      </c>
      <c r="V90" s="439">
        <v>18.285080000000001</v>
      </c>
      <c r="W90" s="439">
        <v>18.579295999999999</v>
      </c>
      <c r="X90" s="439">
        <v>18.903396999999998</v>
      </c>
      <c r="Y90" s="439">
        <v>19.282226999999999</v>
      </c>
      <c r="Z90" s="439">
        <v>19.641335999999999</v>
      </c>
      <c r="AA90" s="439">
        <v>19.970379000000001</v>
      </c>
      <c r="AB90" s="439">
        <v>20.345237999999998</v>
      </c>
      <c r="AC90" s="439">
        <v>20.805427999999999</v>
      </c>
      <c r="AD90" s="439">
        <v>21.191203999999999</v>
      </c>
      <c r="AE90" s="439">
        <v>21.680872000000001</v>
      </c>
      <c r="AF90" s="439">
        <v>22.216795000000001</v>
      </c>
      <c r="AG90" s="439">
        <v>22.828543</v>
      </c>
      <c r="AH90" s="439">
        <v>23.466792999999999</v>
      </c>
      <c r="AI90" s="439">
        <v>24.104016999999999</v>
      </c>
      <c r="AJ90" s="439">
        <v>24.79513</v>
      </c>
      <c r="AK90" s="439">
        <v>25.614820000000002</v>
      </c>
      <c r="AL90" s="439">
        <v>26.436444999999999</v>
      </c>
      <c r="AM90" s="439">
        <v>27.243462000000001</v>
      </c>
      <c r="AN90" s="439">
        <v>0.02</v>
      </c>
      <c r="AP90" s="4"/>
    </row>
    <row r="91" spans="1:42" x14ac:dyDescent="0.3">
      <c r="A91" t="s">
        <v>262</v>
      </c>
      <c r="B91" t="s">
        <v>355</v>
      </c>
      <c r="C91" t="s">
        <v>580</v>
      </c>
      <c r="D91" t="s">
        <v>331</v>
      </c>
      <c r="F91" s="439">
        <v>28.54092</v>
      </c>
      <c r="G91" s="439">
        <v>33.287472000000001</v>
      </c>
      <c r="H91" s="439">
        <v>36.171764000000003</v>
      </c>
      <c r="I91" s="439">
        <v>37.545284000000002</v>
      </c>
      <c r="J91" s="439">
        <v>39.066142999999997</v>
      </c>
      <c r="K91" s="439">
        <v>40.868771000000002</v>
      </c>
      <c r="L91" s="439">
        <v>42.598697999999999</v>
      </c>
      <c r="M91" s="439">
        <v>44.092574999999997</v>
      </c>
      <c r="N91" s="439">
        <v>45.713847999999999</v>
      </c>
      <c r="O91" s="439">
        <v>47.289760999999999</v>
      </c>
      <c r="P91" s="439">
        <v>48.446219999999997</v>
      </c>
      <c r="Q91" s="439">
        <v>49.571182</v>
      </c>
      <c r="R91" s="439">
        <v>50.660431000000003</v>
      </c>
      <c r="S91" s="439">
        <v>51.811793999999999</v>
      </c>
      <c r="T91" s="439">
        <v>52.931984</v>
      </c>
      <c r="U91" s="439">
        <v>54.319938999999998</v>
      </c>
      <c r="V91" s="439">
        <v>55.623409000000002</v>
      </c>
      <c r="W91" s="439">
        <v>56.658192</v>
      </c>
      <c r="X91" s="439">
        <v>57.667136999999997</v>
      </c>
      <c r="Y91" s="439">
        <v>58.850718999999998</v>
      </c>
      <c r="Z91" s="439">
        <v>60.063381</v>
      </c>
      <c r="AA91" s="439">
        <v>61.021393000000003</v>
      </c>
      <c r="AB91" s="439">
        <v>62.008602000000003</v>
      </c>
      <c r="AC91" s="439">
        <v>63.035873000000002</v>
      </c>
      <c r="AD91" s="439">
        <v>64.128540000000001</v>
      </c>
      <c r="AE91" s="439">
        <v>65.214134000000001</v>
      </c>
      <c r="AF91" s="439">
        <v>66.196724000000003</v>
      </c>
      <c r="AG91" s="439">
        <v>67.392570000000006</v>
      </c>
      <c r="AH91" s="439">
        <v>68.763489000000007</v>
      </c>
      <c r="AI91" s="439">
        <v>70.211678000000006</v>
      </c>
      <c r="AJ91" s="439">
        <v>71.618088</v>
      </c>
      <c r="AK91" s="439">
        <v>73.098099000000005</v>
      </c>
      <c r="AL91" s="439">
        <v>74.613495</v>
      </c>
      <c r="AM91" s="439">
        <v>76.029242999999994</v>
      </c>
      <c r="AN91" s="439">
        <v>2.5999999999999999E-2</v>
      </c>
      <c r="AP91" s="4"/>
    </row>
    <row r="92" spans="1:42" x14ac:dyDescent="0.3">
      <c r="A92" t="s">
        <v>297</v>
      </c>
      <c r="C92" t="s">
        <v>581</v>
      </c>
      <c r="F92" s="439"/>
      <c r="G92" s="439"/>
      <c r="H92" s="439"/>
      <c r="I92" s="439"/>
      <c r="J92" s="439"/>
      <c r="K92" s="439"/>
      <c r="L92" s="439"/>
      <c r="M92" s="439"/>
      <c r="N92" s="439"/>
      <c r="O92" s="439"/>
      <c r="P92" s="439"/>
      <c r="Q92" s="439"/>
      <c r="R92" s="439"/>
      <c r="S92" s="439"/>
      <c r="T92" s="439"/>
      <c r="U92" s="439"/>
      <c r="V92" s="439"/>
      <c r="W92" s="439"/>
      <c r="X92" s="439"/>
      <c r="Y92" s="439"/>
      <c r="Z92" s="439"/>
      <c r="AA92" s="439"/>
      <c r="AB92" s="439"/>
      <c r="AC92" s="439"/>
      <c r="AD92" s="439"/>
      <c r="AE92" s="439"/>
      <c r="AF92" s="439"/>
      <c r="AG92" s="439"/>
      <c r="AH92" s="439"/>
      <c r="AI92" s="439"/>
      <c r="AJ92" s="439"/>
      <c r="AK92" s="439"/>
      <c r="AL92" s="439"/>
      <c r="AM92" s="439"/>
      <c r="AN92" s="439"/>
    </row>
    <row r="93" spans="1:42" x14ac:dyDescent="0.3">
      <c r="A93" t="s">
        <v>258</v>
      </c>
      <c r="B93" t="s">
        <v>356</v>
      </c>
      <c r="C93" t="s">
        <v>582</v>
      </c>
      <c r="D93" t="s">
        <v>331</v>
      </c>
      <c r="F93" s="439">
        <v>18.334174999999998</v>
      </c>
      <c r="G93" s="439">
        <v>22.239955999999999</v>
      </c>
      <c r="H93" s="439">
        <v>23.196081</v>
      </c>
      <c r="I93" s="439">
        <v>23.339624000000001</v>
      </c>
      <c r="J93" s="439">
        <v>23.134888</v>
      </c>
      <c r="K93" s="439">
        <v>22.649619999999999</v>
      </c>
      <c r="L93" s="439">
        <v>22.62726</v>
      </c>
      <c r="M93" s="439">
        <v>22.968745999999999</v>
      </c>
      <c r="N93" s="439">
        <v>23.914152000000001</v>
      </c>
      <c r="O93" s="439">
        <v>24.935444</v>
      </c>
      <c r="P93" s="439">
        <v>26.274536000000001</v>
      </c>
      <c r="Q93" s="439">
        <v>26.974316000000002</v>
      </c>
      <c r="R93" s="439">
        <v>28.245131000000001</v>
      </c>
      <c r="S93" s="439">
        <v>29.013866</v>
      </c>
      <c r="T93" s="439">
        <v>29.732491</v>
      </c>
      <c r="U93" s="439">
        <v>30.746939000000001</v>
      </c>
      <c r="V93" s="439">
        <v>31.878958000000001</v>
      </c>
      <c r="W93" s="439">
        <v>32.630263999999997</v>
      </c>
      <c r="X93" s="439">
        <v>33.686169</v>
      </c>
      <c r="Y93" s="439">
        <v>35.004879000000003</v>
      </c>
      <c r="Z93" s="439">
        <v>35.684593</v>
      </c>
      <c r="AA93" s="439">
        <v>36.658867000000001</v>
      </c>
      <c r="AB93" s="439">
        <v>37.76173</v>
      </c>
      <c r="AC93" s="439">
        <v>38.917149000000002</v>
      </c>
      <c r="AD93" s="439">
        <v>39.949511999999999</v>
      </c>
      <c r="AE93" s="439">
        <v>41.258738999999998</v>
      </c>
      <c r="AF93" s="439">
        <v>42.291359</v>
      </c>
      <c r="AG93" s="439">
        <v>43.242302000000002</v>
      </c>
      <c r="AH93" s="439">
        <v>44.381526999999998</v>
      </c>
      <c r="AI93" s="439">
        <v>45.453102000000001</v>
      </c>
      <c r="AJ93" s="439">
        <v>46.598109999999998</v>
      </c>
      <c r="AK93" s="439">
        <v>47.876685999999999</v>
      </c>
      <c r="AL93" s="439">
        <v>48.931128999999999</v>
      </c>
      <c r="AM93" s="439">
        <v>50.093327000000002</v>
      </c>
      <c r="AN93" s="439">
        <v>2.5999999999999999E-2</v>
      </c>
      <c r="AP93" s="4"/>
    </row>
    <row r="94" spans="1:42" x14ac:dyDescent="0.3">
      <c r="A94" t="s">
        <v>267</v>
      </c>
      <c r="B94" t="s">
        <v>357</v>
      </c>
      <c r="C94" t="s">
        <v>583</v>
      </c>
      <c r="D94" t="s">
        <v>331</v>
      </c>
      <c r="F94" s="439">
        <v>10.613985</v>
      </c>
      <c r="G94" s="439">
        <v>12.712944</v>
      </c>
      <c r="H94" s="439">
        <v>12.502980000000001</v>
      </c>
      <c r="I94" s="439">
        <v>12.74579</v>
      </c>
      <c r="J94" s="439">
        <v>15.125146000000001</v>
      </c>
      <c r="K94" s="439">
        <v>15.333114</v>
      </c>
      <c r="L94" s="439">
        <v>15.930792</v>
      </c>
      <c r="M94" s="439">
        <v>16.766296000000001</v>
      </c>
      <c r="N94" s="439">
        <v>17.512765999999999</v>
      </c>
      <c r="O94" s="439">
        <v>18.419906999999998</v>
      </c>
      <c r="P94" s="439">
        <v>19.512305999999999</v>
      </c>
      <c r="Q94" s="439">
        <v>20.236740000000001</v>
      </c>
      <c r="R94" s="439">
        <v>21.194458000000001</v>
      </c>
      <c r="S94" s="439">
        <v>21.775065999999999</v>
      </c>
      <c r="T94" s="439">
        <v>22.493912000000002</v>
      </c>
      <c r="U94" s="439">
        <v>23.289698000000001</v>
      </c>
      <c r="V94" s="439">
        <v>24.020347999999998</v>
      </c>
      <c r="W94" s="439">
        <v>24.688395</v>
      </c>
      <c r="X94" s="439">
        <v>25.479161999999999</v>
      </c>
      <c r="Y94" s="439">
        <v>26.421949000000001</v>
      </c>
      <c r="Z94" s="439">
        <v>27.117739</v>
      </c>
      <c r="AA94" s="439">
        <v>27.816040000000001</v>
      </c>
      <c r="AB94" s="439">
        <v>28.60173</v>
      </c>
      <c r="AC94" s="439">
        <v>29.373787</v>
      </c>
      <c r="AD94" s="439">
        <v>30.017161999999999</v>
      </c>
      <c r="AE94" s="439">
        <v>30.959637000000001</v>
      </c>
      <c r="AF94" s="439">
        <v>31.429220000000001</v>
      </c>
      <c r="AG94" s="439">
        <v>31.702052999999999</v>
      </c>
      <c r="AH94" s="439">
        <v>32.091479999999997</v>
      </c>
      <c r="AI94" s="439">
        <v>32.878943999999997</v>
      </c>
      <c r="AJ94" s="439">
        <v>33.740127999999999</v>
      </c>
      <c r="AK94" s="439">
        <v>34.619278000000001</v>
      </c>
      <c r="AL94" s="439">
        <v>35.429130999999998</v>
      </c>
      <c r="AM94" s="439">
        <v>36.341037999999998</v>
      </c>
      <c r="AN94" s="439">
        <v>3.3000000000000002E-2</v>
      </c>
      <c r="AP94" s="4"/>
    </row>
    <row r="95" spans="1:42" x14ac:dyDescent="0.3">
      <c r="A95" t="s">
        <v>260</v>
      </c>
      <c r="B95" t="s">
        <v>358</v>
      </c>
      <c r="C95" t="s">
        <v>584</v>
      </c>
      <c r="D95" t="s">
        <v>331</v>
      </c>
      <c r="F95" s="439">
        <v>3.3997850000000001</v>
      </c>
      <c r="G95" s="439">
        <v>3.4226549999999998</v>
      </c>
      <c r="H95" s="439">
        <v>3.3620899999999998</v>
      </c>
      <c r="I95" s="439">
        <v>3.5886779999999998</v>
      </c>
      <c r="J95" s="439">
        <v>3.6256400000000002</v>
      </c>
      <c r="K95" s="439">
        <v>3.77982</v>
      </c>
      <c r="L95" s="439">
        <v>4.0644539999999996</v>
      </c>
      <c r="M95" s="439">
        <v>4.4210940000000001</v>
      </c>
      <c r="N95" s="439">
        <v>4.7908390000000001</v>
      </c>
      <c r="O95" s="439">
        <v>4.9814379999999998</v>
      </c>
      <c r="P95" s="439">
        <v>5.1045939999999996</v>
      </c>
      <c r="Q95" s="439">
        <v>5.3180079999999998</v>
      </c>
      <c r="R95" s="439">
        <v>5.4285730000000001</v>
      </c>
      <c r="S95" s="439">
        <v>5.5963010000000004</v>
      </c>
      <c r="T95" s="439">
        <v>5.7035729999999996</v>
      </c>
      <c r="U95" s="439">
        <v>6.0376799999999999</v>
      </c>
      <c r="V95" s="439">
        <v>6.2480729999999998</v>
      </c>
      <c r="W95" s="439">
        <v>6.4442269999999997</v>
      </c>
      <c r="X95" s="439">
        <v>6.6420360000000001</v>
      </c>
      <c r="Y95" s="439">
        <v>6.9032450000000001</v>
      </c>
      <c r="Z95" s="439">
        <v>7.0737350000000001</v>
      </c>
      <c r="AA95" s="439">
        <v>7.231096</v>
      </c>
      <c r="AB95" s="439">
        <v>7.4234159999999996</v>
      </c>
      <c r="AC95" s="439">
        <v>7.7068989999999999</v>
      </c>
      <c r="AD95" s="439">
        <v>7.8497469999999998</v>
      </c>
      <c r="AE95" s="439">
        <v>8.1045259999999999</v>
      </c>
      <c r="AF95" s="439">
        <v>8.4027229999999999</v>
      </c>
      <c r="AG95" s="439">
        <v>8.7626000000000008</v>
      </c>
      <c r="AH95" s="439">
        <v>9.1032670000000007</v>
      </c>
      <c r="AI95" s="439">
        <v>9.4228210000000008</v>
      </c>
      <c r="AJ95" s="439">
        <v>9.7942520000000002</v>
      </c>
      <c r="AK95" s="439">
        <v>10.319222999999999</v>
      </c>
      <c r="AL95" s="439">
        <v>10.761327</v>
      </c>
      <c r="AM95" s="439">
        <v>11.213918</v>
      </c>
      <c r="AN95" s="439">
        <v>3.7999999999999999E-2</v>
      </c>
      <c r="AP95" s="4"/>
    </row>
    <row r="96" spans="1:42" x14ac:dyDescent="0.3">
      <c r="A96" t="s">
        <v>301</v>
      </c>
      <c r="B96" t="s">
        <v>359</v>
      </c>
      <c r="C96" t="s">
        <v>585</v>
      </c>
      <c r="D96" t="s">
        <v>331</v>
      </c>
      <c r="F96" s="439">
        <v>2.052813</v>
      </c>
      <c r="G96" s="439">
        <v>2.105029</v>
      </c>
      <c r="H96" s="439">
        <v>2.1468250000000002</v>
      </c>
      <c r="I96" s="439">
        <v>2.2058409999999999</v>
      </c>
      <c r="J96" s="439">
        <v>2.3650410000000002</v>
      </c>
      <c r="K96" s="439">
        <v>2.4328430000000001</v>
      </c>
      <c r="L96" s="439">
        <v>2.4946820000000001</v>
      </c>
      <c r="M96" s="439">
        <v>2.5106660000000001</v>
      </c>
      <c r="N96" s="439">
        <v>2.582322</v>
      </c>
      <c r="O96" s="439">
        <v>2.6352959999999999</v>
      </c>
      <c r="P96" s="439">
        <v>2.7018589999999998</v>
      </c>
      <c r="Q96" s="439">
        <v>2.7679130000000001</v>
      </c>
      <c r="R96" s="439">
        <v>2.8595320000000002</v>
      </c>
      <c r="S96" s="439">
        <v>2.9462609999999998</v>
      </c>
      <c r="T96" s="439">
        <v>3.0036719999999999</v>
      </c>
      <c r="U96" s="439">
        <v>3.0515720000000002</v>
      </c>
      <c r="V96" s="439">
        <v>3.1218900000000001</v>
      </c>
      <c r="W96" s="439">
        <v>3.1863030000000001</v>
      </c>
      <c r="X96" s="439">
        <v>3.2665310000000001</v>
      </c>
      <c r="Y96" s="439">
        <v>3.349631</v>
      </c>
      <c r="Z96" s="439">
        <v>3.4330630000000002</v>
      </c>
      <c r="AA96" s="439">
        <v>3.5188619999999999</v>
      </c>
      <c r="AB96" s="439">
        <v>3.607415</v>
      </c>
      <c r="AC96" s="439">
        <v>3.6949299999999998</v>
      </c>
      <c r="AD96" s="439">
        <v>3.7805339999999998</v>
      </c>
      <c r="AE96" s="439">
        <v>3.8665210000000001</v>
      </c>
      <c r="AF96" s="439">
        <v>3.9529100000000001</v>
      </c>
      <c r="AG96" s="439">
        <v>4.0427439999999999</v>
      </c>
      <c r="AH96" s="439">
        <v>4.1399010000000001</v>
      </c>
      <c r="AI96" s="439">
        <v>4.2389840000000003</v>
      </c>
      <c r="AJ96" s="439">
        <v>4.3355759999999997</v>
      </c>
      <c r="AK96" s="439">
        <v>4.4425369999999997</v>
      </c>
      <c r="AL96" s="439">
        <v>4.5548580000000003</v>
      </c>
      <c r="AM96" s="439">
        <v>4.668431</v>
      </c>
      <c r="AN96" s="439">
        <v>2.5000000000000001E-2</v>
      </c>
      <c r="AP96" s="4"/>
    </row>
    <row r="97" spans="1:42" x14ac:dyDescent="0.3">
      <c r="A97" t="s">
        <v>303</v>
      </c>
      <c r="B97" t="s">
        <v>360</v>
      </c>
      <c r="C97" t="s">
        <v>586</v>
      </c>
      <c r="D97" t="s">
        <v>331</v>
      </c>
      <c r="F97" s="439">
        <v>0.64700000000000002</v>
      </c>
      <c r="G97" s="439">
        <v>0.66174599999999995</v>
      </c>
      <c r="H97" s="439">
        <v>0.67909900000000001</v>
      </c>
      <c r="I97" s="439">
        <v>0.70003599999999999</v>
      </c>
      <c r="J97" s="439">
        <v>0.71981099999999998</v>
      </c>
      <c r="K97" s="439">
        <v>0.73925799999999997</v>
      </c>
      <c r="L97" s="439">
        <v>0.75983100000000003</v>
      </c>
      <c r="M97" s="439">
        <v>0.778999</v>
      </c>
      <c r="N97" s="439">
        <v>0.79931600000000003</v>
      </c>
      <c r="O97" s="439">
        <v>0.81876400000000005</v>
      </c>
      <c r="P97" s="439">
        <v>0.83864099999999997</v>
      </c>
      <c r="Q97" s="439">
        <v>0.85877599999999998</v>
      </c>
      <c r="R97" s="439">
        <v>0.88055700000000003</v>
      </c>
      <c r="S97" s="439">
        <v>0.90229300000000001</v>
      </c>
      <c r="T97" s="439">
        <v>0.92308299999999999</v>
      </c>
      <c r="U97" s="439">
        <v>0.945967</v>
      </c>
      <c r="V97" s="439">
        <v>0.96953699999999998</v>
      </c>
      <c r="W97" s="439">
        <v>0.99224800000000002</v>
      </c>
      <c r="X97" s="439">
        <v>1.0172600000000001</v>
      </c>
      <c r="Y97" s="439">
        <v>1.043137</v>
      </c>
      <c r="Z97" s="439">
        <v>1.068074</v>
      </c>
      <c r="AA97" s="439">
        <v>1.0952059999999999</v>
      </c>
      <c r="AB97" s="439">
        <v>1.1231</v>
      </c>
      <c r="AC97" s="439">
        <v>1.151885</v>
      </c>
      <c r="AD97" s="439">
        <v>1.179926</v>
      </c>
      <c r="AE97" s="439">
        <v>1.2105090000000001</v>
      </c>
      <c r="AF97" s="439">
        <v>1.24224</v>
      </c>
      <c r="AG97" s="439">
        <v>1.2749630000000001</v>
      </c>
      <c r="AH97" s="439">
        <v>1.308848</v>
      </c>
      <c r="AI97" s="439">
        <v>1.3437300000000001</v>
      </c>
      <c r="AJ97" s="439">
        <v>1.379861</v>
      </c>
      <c r="AK97" s="439">
        <v>1.4174420000000001</v>
      </c>
      <c r="AL97" s="439">
        <v>1.4564330000000001</v>
      </c>
      <c r="AM97" s="439">
        <v>1.49692</v>
      </c>
      <c r="AN97" s="439">
        <v>2.5999999999999999E-2</v>
      </c>
      <c r="AP97" s="4"/>
    </row>
    <row r="98" spans="1:42" x14ac:dyDescent="0.3">
      <c r="A98" t="s">
        <v>305</v>
      </c>
      <c r="C98" t="s">
        <v>587</v>
      </c>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row>
    <row r="99" spans="1:42" x14ac:dyDescent="0.3">
      <c r="A99" t="s">
        <v>256</v>
      </c>
      <c r="B99" t="s">
        <v>361</v>
      </c>
      <c r="C99" t="s">
        <v>588</v>
      </c>
      <c r="D99" t="s">
        <v>331</v>
      </c>
      <c r="F99" s="439">
        <v>15.265119</v>
      </c>
      <c r="G99" s="439">
        <v>17.358468999999999</v>
      </c>
      <c r="H99" s="439">
        <v>19.461561</v>
      </c>
      <c r="I99" s="439">
        <v>22.325887999999999</v>
      </c>
      <c r="J99" s="439">
        <v>23.749877999999999</v>
      </c>
      <c r="K99" s="439">
        <v>25.293576999999999</v>
      </c>
      <c r="L99" s="439">
        <v>26.646038000000001</v>
      </c>
      <c r="M99" s="439">
        <v>28.118850999999999</v>
      </c>
      <c r="N99" s="439">
        <v>29.630775</v>
      </c>
      <c r="O99" s="439">
        <v>31.036276000000001</v>
      </c>
      <c r="P99" s="439">
        <v>32.301563000000002</v>
      </c>
      <c r="Q99" s="439">
        <v>33.439444999999999</v>
      </c>
      <c r="R99" s="439">
        <v>34.569873999999999</v>
      </c>
      <c r="S99" s="439">
        <v>35.455238000000001</v>
      </c>
      <c r="T99" s="439">
        <v>36.321522000000002</v>
      </c>
      <c r="U99" s="439">
        <v>37.327517999999998</v>
      </c>
      <c r="V99" s="439">
        <v>38.436607000000002</v>
      </c>
      <c r="W99" s="439">
        <v>39.564574999999998</v>
      </c>
      <c r="X99" s="439">
        <v>40.695678999999998</v>
      </c>
      <c r="Y99" s="439">
        <v>41.893360000000001</v>
      </c>
      <c r="Z99" s="439">
        <v>43.026409000000001</v>
      </c>
      <c r="AA99" s="439">
        <v>44.126311999999999</v>
      </c>
      <c r="AB99" s="439">
        <v>45.263137999999998</v>
      </c>
      <c r="AC99" s="439">
        <v>46.417023</v>
      </c>
      <c r="AD99" s="439">
        <v>47.531559000000001</v>
      </c>
      <c r="AE99" s="439">
        <v>48.723391999999997</v>
      </c>
      <c r="AF99" s="439">
        <v>49.969817999999997</v>
      </c>
      <c r="AG99" s="439">
        <v>51.239170000000001</v>
      </c>
      <c r="AH99" s="439">
        <v>52.492232999999999</v>
      </c>
      <c r="AI99" s="439">
        <v>53.717964000000002</v>
      </c>
      <c r="AJ99" s="439">
        <v>54.95834</v>
      </c>
      <c r="AK99" s="439">
        <v>56.231461000000003</v>
      </c>
      <c r="AL99" s="439">
        <v>57.461421999999999</v>
      </c>
      <c r="AM99" s="439">
        <v>58.628627999999999</v>
      </c>
      <c r="AN99" s="439">
        <v>3.9E-2</v>
      </c>
      <c r="AP99" s="4"/>
    </row>
    <row r="100" spans="1:42" x14ac:dyDescent="0.3">
      <c r="A100" t="s">
        <v>286</v>
      </c>
      <c r="B100" t="s">
        <v>362</v>
      </c>
      <c r="C100" t="s">
        <v>589</v>
      </c>
      <c r="D100" t="s">
        <v>331</v>
      </c>
      <c r="F100" s="439">
        <v>21.720039</v>
      </c>
      <c r="G100" s="439">
        <v>29.232935000000001</v>
      </c>
      <c r="H100" s="439">
        <v>34.891410999999998</v>
      </c>
      <c r="I100" s="439">
        <v>34.741745000000002</v>
      </c>
      <c r="J100" s="439">
        <v>35.350867999999998</v>
      </c>
      <c r="K100" s="439">
        <v>35.222641000000003</v>
      </c>
      <c r="L100" s="439">
        <v>35.804755999999998</v>
      </c>
      <c r="M100" s="439">
        <v>34.189574999999998</v>
      </c>
      <c r="N100" s="439">
        <v>32.103703000000003</v>
      </c>
      <c r="O100" s="439">
        <v>32.615952</v>
      </c>
      <c r="P100" s="439">
        <v>32.591793000000003</v>
      </c>
      <c r="Q100" s="439">
        <v>32.421042999999997</v>
      </c>
      <c r="R100" s="439">
        <v>33.485866999999999</v>
      </c>
      <c r="S100" s="439">
        <v>32.947239000000003</v>
      </c>
      <c r="T100" s="439">
        <v>33.740574000000002</v>
      </c>
      <c r="U100" s="439">
        <v>34.550556</v>
      </c>
      <c r="V100" s="439">
        <v>34.953902999999997</v>
      </c>
      <c r="W100" s="439">
        <v>35.225540000000002</v>
      </c>
      <c r="X100" s="439">
        <v>36.017197000000003</v>
      </c>
      <c r="Y100" s="439">
        <v>36.872810000000001</v>
      </c>
      <c r="Z100" s="439">
        <v>37.480274000000001</v>
      </c>
      <c r="AA100" s="439">
        <v>38.647461</v>
      </c>
      <c r="AB100" s="439">
        <v>40.188701999999999</v>
      </c>
      <c r="AC100" s="439">
        <v>41.916328</v>
      </c>
      <c r="AD100" s="439">
        <v>44.086089999999999</v>
      </c>
      <c r="AE100" s="439">
        <v>46.499226</v>
      </c>
      <c r="AF100" s="439">
        <v>49.098163999999997</v>
      </c>
      <c r="AG100" s="439">
        <v>51.215519</v>
      </c>
      <c r="AH100" s="439">
        <v>53.426372999999998</v>
      </c>
      <c r="AI100" s="439">
        <v>57.644576999999998</v>
      </c>
      <c r="AJ100" s="439">
        <v>63.124572999999998</v>
      </c>
      <c r="AK100" s="439">
        <v>67.720214999999996</v>
      </c>
      <c r="AL100" s="439">
        <v>69.317497000000003</v>
      </c>
      <c r="AM100" s="439">
        <v>70.789375000000007</v>
      </c>
      <c r="AN100" s="439">
        <v>2.8000000000000001E-2</v>
      </c>
      <c r="AP100" s="4"/>
    </row>
    <row r="101" spans="1:42" x14ac:dyDescent="0.3">
      <c r="A101" t="s">
        <v>288</v>
      </c>
      <c r="B101" t="s">
        <v>363</v>
      </c>
      <c r="C101" t="s">
        <v>590</v>
      </c>
      <c r="D101" t="s">
        <v>331</v>
      </c>
      <c r="F101" s="439">
        <v>21.082930000000001</v>
      </c>
      <c r="G101" s="439">
        <v>24.037481</v>
      </c>
      <c r="H101" s="439">
        <v>24.809709999999999</v>
      </c>
      <c r="I101" s="439">
        <v>26.265539</v>
      </c>
      <c r="J101" s="439">
        <v>27.173220000000001</v>
      </c>
      <c r="K101" s="439">
        <v>27.945952999999999</v>
      </c>
      <c r="L101" s="439">
        <v>29.039797</v>
      </c>
      <c r="M101" s="439">
        <v>30.142807000000001</v>
      </c>
      <c r="N101" s="439">
        <v>31.181252000000001</v>
      </c>
      <c r="O101" s="439">
        <v>32.154494999999997</v>
      </c>
      <c r="P101" s="439">
        <v>33.565102000000003</v>
      </c>
      <c r="Q101" s="439">
        <v>34.564587000000003</v>
      </c>
      <c r="R101" s="439">
        <v>36.199866999999998</v>
      </c>
      <c r="S101" s="439">
        <v>37.135894999999998</v>
      </c>
      <c r="T101" s="439">
        <v>38.347797</v>
      </c>
      <c r="U101" s="439">
        <v>39.510596999999997</v>
      </c>
      <c r="V101" s="439">
        <v>40.539462999999998</v>
      </c>
      <c r="W101" s="439">
        <v>41.730651999999999</v>
      </c>
      <c r="X101" s="439">
        <v>42.930244000000002</v>
      </c>
      <c r="Y101" s="439">
        <v>44.257477000000002</v>
      </c>
      <c r="Z101" s="439">
        <v>45.245998</v>
      </c>
      <c r="AA101" s="439">
        <v>46.525523999999997</v>
      </c>
      <c r="AB101" s="439">
        <v>47.874125999999997</v>
      </c>
      <c r="AC101" s="439">
        <v>49.302104999999997</v>
      </c>
      <c r="AD101" s="439">
        <v>50.603797999999998</v>
      </c>
      <c r="AE101" s="439">
        <v>52.170901999999998</v>
      </c>
      <c r="AF101" s="439">
        <v>53.467274000000003</v>
      </c>
      <c r="AG101" s="439">
        <v>54.718055999999997</v>
      </c>
      <c r="AH101" s="439">
        <v>56.132496000000003</v>
      </c>
      <c r="AI101" s="439">
        <v>57.643425000000001</v>
      </c>
      <c r="AJ101" s="439">
        <v>59.170479</v>
      </c>
      <c r="AK101" s="439">
        <v>60.899303000000003</v>
      </c>
      <c r="AL101" s="439">
        <v>62.428978000000001</v>
      </c>
      <c r="AM101" s="439">
        <v>63.964919999999999</v>
      </c>
      <c r="AN101" s="439">
        <v>3.1E-2</v>
      </c>
      <c r="AP101" s="4"/>
    </row>
    <row r="102" spans="1:42" x14ac:dyDescent="0.3">
      <c r="A102" t="s">
        <v>290</v>
      </c>
      <c r="B102" t="s">
        <v>364</v>
      </c>
      <c r="C102" t="s">
        <v>591</v>
      </c>
      <c r="D102" t="s">
        <v>331</v>
      </c>
      <c r="F102" s="439">
        <v>12.124298</v>
      </c>
      <c r="G102" s="439">
        <v>16.156372000000001</v>
      </c>
      <c r="H102" s="439">
        <v>16.620868999999999</v>
      </c>
      <c r="I102" s="439">
        <v>18.313101</v>
      </c>
      <c r="J102" s="439">
        <v>18.593015999999999</v>
      </c>
      <c r="K102" s="439">
        <v>18.807867000000002</v>
      </c>
      <c r="L102" s="439">
        <v>19.561724000000002</v>
      </c>
      <c r="M102" s="439">
        <v>20.351047999999999</v>
      </c>
      <c r="N102" s="439">
        <v>21.153175000000001</v>
      </c>
      <c r="O102" s="439">
        <v>22.103016</v>
      </c>
      <c r="P102" s="439">
        <v>23.231895000000002</v>
      </c>
      <c r="Q102" s="439">
        <v>24.239923000000001</v>
      </c>
      <c r="R102" s="439">
        <v>25.698830000000001</v>
      </c>
      <c r="S102" s="439">
        <v>26.415628000000002</v>
      </c>
      <c r="T102" s="439">
        <v>27.342039</v>
      </c>
      <c r="U102" s="439">
        <v>28.491802</v>
      </c>
      <c r="V102" s="439">
        <v>29.430499999999999</v>
      </c>
      <c r="W102" s="439">
        <v>30.305695</v>
      </c>
      <c r="X102" s="439">
        <v>31.389648000000001</v>
      </c>
      <c r="Y102" s="439">
        <v>32.592571</v>
      </c>
      <c r="Z102" s="439">
        <v>33.388401000000002</v>
      </c>
      <c r="AA102" s="439">
        <v>34.461044000000001</v>
      </c>
      <c r="AB102" s="439">
        <v>35.543506999999998</v>
      </c>
      <c r="AC102" s="439">
        <v>36.545707999999998</v>
      </c>
      <c r="AD102" s="439">
        <v>37.576270999999998</v>
      </c>
      <c r="AE102" s="439">
        <v>38.845142000000003</v>
      </c>
      <c r="AF102" s="439">
        <v>39.943061999999998</v>
      </c>
      <c r="AG102" s="439">
        <v>40.807957000000002</v>
      </c>
      <c r="AH102" s="439">
        <v>42.076374000000001</v>
      </c>
      <c r="AI102" s="439">
        <v>43.050224</v>
      </c>
      <c r="AJ102" s="439">
        <v>44.199173000000002</v>
      </c>
      <c r="AK102" s="439">
        <v>45.561484999999998</v>
      </c>
      <c r="AL102" s="439">
        <v>46.610537999999998</v>
      </c>
      <c r="AM102" s="439">
        <v>47.752560000000003</v>
      </c>
      <c r="AN102" s="439">
        <v>3.4000000000000002E-2</v>
      </c>
      <c r="AP102" s="4"/>
    </row>
    <row r="103" spans="1:42" x14ac:dyDescent="0.3">
      <c r="A103" t="s">
        <v>258</v>
      </c>
      <c r="B103" t="s">
        <v>365</v>
      </c>
      <c r="C103" t="s">
        <v>592</v>
      </c>
      <c r="D103" t="s">
        <v>331</v>
      </c>
      <c r="F103" s="439">
        <v>18.969168</v>
      </c>
      <c r="G103" s="439">
        <v>22.923410000000001</v>
      </c>
      <c r="H103" s="439">
        <v>23.256927000000001</v>
      </c>
      <c r="I103" s="439">
        <v>25.030548</v>
      </c>
      <c r="J103" s="439">
        <v>25.554570999999999</v>
      </c>
      <c r="K103" s="439">
        <v>25.951782000000001</v>
      </c>
      <c r="L103" s="439">
        <v>26.752783000000001</v>
      </c>
      <c r="M103" s="439">
        <v>27.878610999999999</v>
      </c>
      <c r="N103" s="439">
        <v>29.012453000000001</v>
      </c>
      <c r="O103" s="439">
        <v>29.96603</v>
      </c>
      <c r="P103" s="439">
        <v>31.513888999999999</v>
      </c>
      <c r="Q103" s="439">
        <v>32.512920000000001</v>
      </c>
      <c r="R103" s="439">
        <v>34.203003000000002</v>
      </c>
      <c r="S103" s="439">
        <v>35.209266999999997</v>
      </c>
      <c r="T103" s="439">
        <v>36.327286000000001</v>
      </c>
      <c r="U103" s="439">
        <v>37.548698000000002</v>
      </c>
      <c r="V103" s="439">
        <v>38.752929999999999</v>
      </c>
      <c r="W103" s="439">
        <v>39.730995</v>
      </c>
      <c r="X103" s="439">
        <v>40.983704000000003</v>
      </c>
      <c r="Y103" s="439">
        <v>42.404114</v>
      </c>
      <c r="Z103" s="439">
        <v>43.251086999999998</v>
      </c>
      <c r="AA103" s="439">
        <v>44.487358</v>
      </c>
      <c r="AB103" s="439">
        <v>45.739100999999998</v>
      </c>
      <c r="AC103" s="439">
        <v>46.997447999999999</v>
      </c>
      <c r="AD103" s="439">
        <v>48.109504999999999</v>
      </c>
      <c r="AE103" s="439">
        <v>49.504196</v>
      </c>
      <c r="AF103" s="439">
        <v>50.651511999999997</v>
      </c>
      <c r="AG103" s="439">
        <v>51.621245999999999</v>
      </c>
      <c r="AH103" s="439">
        <v>52.915218000000003</v>
      </c>
      <c r="AI103" s="439">
        <v>53.921706999999998</v>
      </c>
      <c r="AJ103" s="439">
        <v>54.926246999999996</v>
      </c>
      <c r="AK103" s="439">
        <v>56.327750999999999</v>
      </c>
      <c r="AL103" s="439">
        <v>57.583908000000001</v>
      </c>
      <c r="AM103" s="439">
        <v>58.967624999999998</v>
      </c>
      <c r="AN103" s="439">
        <v>0.03</v>
      </c>
      <c r="AP103" s="4"/>
    </row>
    <row r="104" spans="1:42" x14ac:dyDescent="0.3">
      <c r="A104" t="s">
        <v>267</v>
      </c>
      <c r="B104" t="s">
        <v>366</v>
      </c>
      <c r="C104" t="s">
        <v>593</v>
      </c>
      <c r="D104" t="s">
        <v>331</v>
      </c>
      <c r="F104" s="439">
        <v>8.7360100000000003</v>
      </c>
      <c r="G104" s="439">
        <v>10.952370999999999</v>
      </c>
      <c r="H104" s="439">
        <v>11.051567</v>
      </c>
      <c r="I104" s="439">
        <v>11.832860999999999</v>
      </c>
      <c r="J104" s="439">
        <v>12.511023</v>
      </c>
      <c r="K104" s="439">
        <v>11.756562000000001</v>
      </c>
      <c r="L104" s="439">
        <v>12.537531</v>
      </c>
      <c r="M104" s="439">
        <v>13.488200000000001</v>
      </c>
      <c r="N104" s="439">
        <v>14.143303</v>
      </c>
      <c r="O104" s="439">
        <v>14.908284999999999</v>
      </c>
      <c r="P104" s="439">
        <v>15.797535999999999</v>
      </c>
      <c r="Q104" s="439">
        <v>16.383545000000002</v>
      </c>
      <c r="R104" s="439">
        <v>17.154534999999999</v>
      </c>
      <c r="S104" s="439">
        <v>18.180320999999999</v>
      </c>
      <c r="T104" s="439">
        <v>18.786843999999999</v>
      </c>
      <c r="U104" s="439">
        <v>19.386339</v>
      </c>
      <c r="V104" s="439">
        <v>20.038758999999999</v>
      </c>
      <c r="W104" s="439">
        <v>21.291461999999999</v>
      </c>
      <c r="X104" s="439">
        <v>22.221146000000001</v>
      </c>
      <c r="Y104" s="439">
        <v>22.967123000000001</v>
      </c>
      <c r="Z104" s="439">
        <v>24.130027999999999</v>
      </c>
      <c r="AA104" s="439">
        <v>24.762968000000001</v>
      </c>
      <c r="AB104" s="439">
        <v>25.463643999999999</v>
      </c>
      <c r="AC104" s="439">
        <v>26.199010999999999</v>
      </c>
      <c r="AD104" s="439">
        <v>26.897938</v>
      </c>
      <c r="AE104" s="439">
        <v>27.810997</v>
      </c>
      <c r="AF104" s="439">
        <v>28.477142000000001</v>
      </c>
      <c r="AG104" s="439">
        <v>28.804404999999999</v>
      </c>
      <c r="AH104" s="439">
        <v>29.527640999999999</v>
      </c>
      <c r="AI104" s="439">
        <v>31.080818000000001</v>
      </c>
      <c r="AJ104" s="439">
        <v>32.432011000000003</v>
      </c>
      <c r="AK104" s="439">
        <v>32.345993</v>
      </c>
      <c r="AL104" s="439">
        <v>33.113567000000003</v>
      </c>
      <c r="AM104" s="439">
        <v>34.591171000000003</v>
      </c>
      <c r="AN104" s="439">
        <v>3.6999999999999998E-2</v>
      </c>
      <c r="AP104" s="4"/>
    </row>
    <row r="105" spans="1:42" x14ac:dyDescent="0.3">
      <c r="A105" t="s">
        <v>260</v>
      </c>
      <c r="B105" t="s">
        <v>367</v>
      </c>
      <c r="C105" t="s">
        <v>594</v>
      </c>
      <c r="D105" t="s">
        <v>331</v>
      </c>
      <c r="F105" s="439">
        <v>5.3795549999999999</v>
      </c>
      <c r="G105" s="439">
        <v>5.3754080000000002</v>
      </c>
      <c r="H105" s="439">
        <v>5.4377420000000001</v>
      </c>
      <c r="I105" s="439">
        <v>5.655437</v>
      </c>
      <c r="J105" s="439">
        <v>5.7804650000000004</v>
      </c>
      <c r="K105" s="439">
        <v>5.9814600000000002</v>
      </c>
      <c r="L105" s="439">
        <v>6.3185070000000003</v>
      </c>
      <c r="M105" s="439">
        <v>6.7083190000000004</v>
      </c>
      <c r="N105" s="439">
        <v>7.0994450000000002</v>
      </c>
      <c r="O105" s="439">
        <v>7.3394579999999996</v>
      </c>
      <c r="P105" s="439">
        <v>7.5283499999999997</v>
      </c>
      <c r="Q105" s="439">
        <v>7.7822550000000001</v>
      </c>
      <c r="R105" s="439">
        <v>8.0749490000000002</v>
      </c>
      <c r="S105" s="439">
        <v>8.3090349999999997</v>
      </c>
      <c r="T105" s="439">
        <v>8.4905690000000007</v>
      </c>
      <c r="U105" s="439">
        <v>8.8249469999999999</v>
      </c>
      <c r="V105" s="439">
        <v>9.1171980000000001</v>
      </c>
      <c r="W105" s="439">
        <v>9.3813630000000003</v>
      </c>
      <c r="X105" s="439">
        <v>9.6534680000000002</v>
      </c>
      <c r="Y105" s="439">
        <v>9.9772429999999996</v>
      </c>
      <c r="Z105" s="439">
        <v>10.248727000000001</v>
      </c>
      <c r="AA105" s="439">
        <v>10.493119</v>
      </c>
      <c r="AB105" s="439">
        <v>10.774818</v>
      </c>
      <c r="AC105" s="439">
        <v>11.114891</v>
      </c>
      <c r="AD105" s="439">
        <v>11.370231</v>
      </c>
      <c r="AE105" s="439">
        <v>11.702680000000001</v>
      </c>
      <c r="AF105" s="439">
        <v>12.089853</v>
      </c>
      <c r="AG105" s="439">
        <v>12.515069</v>
      </c>
      <c r="AH105" s="439">
        <v>12.945826</v>
      </c>
      <c r="AI105" s="439">
        <v>13.378560999999999</v>
      </c>
      <c r="AJ105" s="439">
        <v>13.856415999999999</v>
      </c>
      <c r="AK105" s="439">
        <v>14.436835</v>
      </c>
      <c r="AL105" s="439">
        <v>15.009404999999999</v>
      </c>
      <c r="AM105" s="439">
        <v>15.560862999999999</v>
      </c>
      <c r="AN105" s="439">
        <v>3.4000000000000002E-2</v>
      </c>
      <c r="AP105" s="4"/>
    </row>
    <row r="106" spans="1:42" x14ac:dyDescent="0.3">
      <c r="A106" t="s">
        <v>276</v>
      </c>
      <c r="B106" t="s">
        <v>368</v>
      </c>
      <c r="C106" t="s">
        <v>595</v>
      </c>
      <c r="D106" t="s">
        <v>331</v>
      </c>
      <c r="F106" s="439">
        <v>4.56501</v>
      </c>
      <c r="G106" s="439">
        <v>5.232799</v>
      </c>
      <c r="H106" s="439">
        <v>5.0316280000000004</v>
      </c>
      <c r="I106" s="439">
        <v>5.0522640000000001</v>
      </c>
      <c r="J106" s="439">
        <v>4.9811529999999999</v>
      </c>
      <c r="K106" s="439">
        <v>5.0344129999999998</v>
      </c>
      <c r="L106" s="439">
        <v>5.1188320000000003</v>
      </c>
      <c r="M106" s="439">
        <v>5.2627300000000004</v>
      </c>
      <c r="N106" s="439">
        <v>5.4128249999999998</v>
      </c>
      <c r="O106" s="439">
        <v>5.5754910000000004</v>
      </c>
      <c r="P106" s="439">
        <v>5.7456610000000001</v>
      </c>
      <c r="Q106" s="439">
        <v>5.9073120000000001</v>
      </c>
      <c r="R106" s="439">
        <v>6.0978870000000001</v>
      </c>
      <c r="S106" s="439">
        <v>6.2590820000000003</v>
      </c>
      <c r="T106" s="439">
        <v>6.444706</v>
      </c>
      <c r="U106" s="439">
        <v>6.6261710000000003</v>
      </c>
      <c r="V106" s="439">
        <v>6.7873650000000003</v>
      </c>
      <c r="W106" s="439">
        <v>6.9581309999999998</v>
      </c>
      <c r="X106" s="439">
        <v>7.14534</v>
      </c>
      <c r="Y106" s="439">
        <v>7.339899</v>
      </c>
      <c r="Z106" s="439">
        <v>7.5224630000000001</v>
      </c>
      <c r="AA106" s="439">
        <v>7.7121899999999997</v>
      </c>
      <c r="AB106" s="439">
        <v>7.8990580000000001</v>
      </c>
      <c r="AC106" s="439">
        <v>8.0890210000000007</v>
      </c>
      <c r="AD106" s="439">
        <v>8.3006899999999995</v>
      </c>
      <c r="AE106" s="439">
        <v>8.5117279999999997</v>
      </c>
      <c r="AF106" s="439">
        <v>8.7258289999999992</v>
      </c>
      <c r="AG106" s="439">
        <v>8.9632360000000002</v>
      </c>
      <c r="AH106" s="439">
        <v>9.2288270000000008</v>
      </c>
      <c r="AI106" s="439">
        <v>9.4628390000000007</v>
      </c>
      <c r="AJ106" s="439">
        <v>9.7174630000000004</v>
      </c>
      <c r="AK106" s="439">
        <v>9.9810350000000003</v>
      </c>
      <c r="AL106" s="439">
        <v>10.247812</v>
      </c>
      <c r="AM106" s="439">
        <v>10.527559</v>
      </c>
      <c r="AN106" s="439">
        <v>2.1999999999999999E-2</v>
      </c>
      <c r="AP106" s="4"/>
    </row>
    <row r="107" spans="1:42" x14ac:dyDescent="0.3">
      <c r="A107" t="s">
        <v>314</v>
      </c>
      <c r="B107" t="s">
        <v>369</v>
      </c>
      <c r="C107" t="s">
        <v>596</v>
      </c>
      <c r="D107" t="s">
        <v>331</v>
      </c>
      <c r="F107" s="439">
        <v>2.0945309999999999</v>
      </c>
      <c r="G107" s="439">
        <v>2.1693920000000002</v>
      </c>
      <c r="H107" s="439">
        <v>2.2160250000000001</v>
      </c>
      <c r="I107" s="439">
        <v>2.2919149999999999</v>
      </c>
      <c r="J107" s="439">
        <v>2.4501940000000002</v>
      </c>
      <c r="K107" s="439">
        <v>2.5224199999999999</v>
      </c>
      <c r="L107" s="439">
        <v>2.5870129999999998</v>
      </c>
      <c r="M107" s="439">
        <v>2.606827</v>
      </c>
      <c r="N107" s="439">
        <v>2.6824840000000001</v>
      </c>
      <c r="O107" s="439">
        <v>2.7403140000000001</v>
      </c>
      <c r="P107" s="439">
        <v>2.8108339999999998</v>
      </c>
      <c r="Q107" s="439">
        <v>2.8793890000000002</v>
      </c>
      <c r="R107" s="439">
        <v>2.9702190000000002</v>
      </c>
      <c r="S107" s="439">
        <v>3.0578150000000002</v>
      </c>
      <c r="T107" s="439">
        <v>3.1197940000000002</v>
      </c>
      <c r="U107" s="439">
        <v>3.1735220000000002</v>
      </c>
      <c r="V107" s="439">
        <v>3.244923</v>
      </c>
      <c r="W107" s="439">
        <v>3.3129810000000002</v>
      </c>
      <c r="X107" s="439">
        <v>3.3924479999999999</v>
      </c>
      <c r="Y107" s="439">
        <v>3.4784250000000001</v>
      </c>
      <c r="Z107" s="439">
        <v>3.5657399999999999</v>
      </c>
      <c r="AA107" s="439">
        <v>3.6548479999999999</v>
      </c>
      <c r="AB107" s="439">
        <v>3.7463329999999999</v>
      </c>
      <c r="AC107" s="439">
        <v>3.8365109999999998</v>
      </c>
      <c r="AD107" s="439">
        <v>3.9263050000000002</v>
      </c>
      <c r="AE107" s="439">
        <v>4.0164340000000003</v>
      </c>
      <c r="AF107" s="439">
        <v>4.1074400000000004</v>
      </c>
      <c r="AG107" s="439">
        <v>4.2012320000000001</v>
      </c>
      <c r="AH107" s="439">
        <v>4.3022749999999998</v>
      </c>
      <c r="AI107" s="439">
        <v>4.4063679999999996</v>
      </c>
      <c r="AJ107" s="439">
        <v>4.5078230000000001</v>
      </c>
      <c r="AK107" s="439">
        <v>4.6195329999999997</v>
      </c>
      <c r="AL107" s="439">
        <v>4.7370200000000002</v>
      </c>
      <c r="AM107" s="439">
        <v>4.8562029999999998</v>
      </c>
      <c r="AN107" s="439">
        <v>2.5999999999999999E-2</v>
      </c>
      <c r="AP107" s="4"/>
    </row>
    <row r="108" spans="1:42" x14ac:dyDescent="0.3">
      <c r="A108" t="s">
        <v>280</v>
      </c>
      <c r="B108" t="s">
        <v>370</v>
      </c>
      <c r="C108" t="s">
        <v>597</v>
      </c>
      <c r="D108" t="s">
        <v>331</v>
      </c>
      <c r="F108" s="439">
        <v>0</v>
      </c>
      <c r="G108" s="439">
        <v>0</v>
      </c>
      <c r="H108" s="439">
        <v>0</v>
      </c>
      <c r="I108" s="439">
        <v>0</v>
      </c>
      <c r="J108" s="439">
        <v>0</v>
      </c>
      <c r="K108" s="439">
        <v>0</v>
      </c>
      <c r="L108" s="439">
        <v>0</v>
      </c>
      <c r="M108" s="439">
        <v>0</v>
      </c>
      <c r="N108" s="439">
        <v>0</v>
      </c>
      <c r="O108" s="439">
        <v>0</v>
      </c>
      <c r="P108" s="439">
        <v>0</v>
      </c>
      <c r="Q108" s="439">
        <v>0</v>
      </c>
      <c r="R108" s="439">
        <v>0</v>
      </c>
      <c r="S108" s="439">
        <v>0</v>
      </c>
      <c r="T108" s="439">
        <v>0</v>
      </c>
      <c r="U108" s="439">
        <v>0</v>
      </c>
      <c r="V108" s="439">
        <v>0</v>
      </c>
      <c r="W108" s="439">
        <v>0</v>
      </c>
      <c r="X108" s="439">
        <v>0</v>
      </c>
      <c r="Y108" s="439">
        <v>0</v>
      </c>
      <c r="Z108" s="439">
        <v>0</v>
      </c>
      <c r="AA108" s="439">
        <v>0</v>
      </c>
      <c r="AB108" s="439">
        <v>0</v>
      </c>
      <c r="AC108" s="439">
        <v>0</v>
      </c>
      <c r="AD108" s="439">
        <v>0</v>
      </c>
      <c r="AE108" s="439">
        <v>0</v>
      </c>
      <c r="AF108" s="439">
        <v>0</v>
      </c>
      <c r="AG108" s="439">
        <v>0</v>
      </c>
      <c r="AH108" s="439">
        <v>0</v>
      </c>
      <c r="AI108" s="439">
        <v>0</v>
      </c>
      <c r="AJ108" s="439">
        <v>0</v>
      </c>
      <c r="AK108" s="439">
        <v>0</v>
      </c>
      <c r="AL108" s="439">
        <v>0</v>
      </c>
      <c r="AM108" s="439">
        <v>0</v>
      </c>
      <c r="AN108" s="439" t="s">
        <v>282</v>
      </c>
    </row>
    <row r="109" spans="1:42" x14ac:dyDescent="0.3">
      <c r="A109" t="s">
        <v>262</v>
      </c>
      <c r="B109" t="s">
        <v>371</v>
      </c>
      <c r="C109" t="s">
        <v>598</v>
      </c>
      <c r="D109" t="s">
        <v>331</v>
      </c>
      <c r="F109" s="439">
        <v>31.052944</v>
      </c>
      <c r="G109" s="439">
        <v>30.935385</v>
      </c>
      <c r="H109" s="439">
        <v>31.390553000000001</v>
      </c>
      <c r="I109" s="439">
        <v>31.604368000000001</v>
      </c>
      <c r="J109" s="439">
        <v>32.046768</v>
      </c>
      <c r="K109" s="439">
        <v>32.852539</v>
      </c>
      <c r="L109" s="439">
        <v>33.716434</v>
      </c>
      <c r="M109" s="439">
        <v>34.763629999999999</v>
      </c>
      <c r="N109" s="439">
        <v>35.97784</v>
      </c>
      <c r="O109" s="439">
        <v>37.056106999999997</v>
      </c>
      <c r="P109" s="439">
        <v>37.930779000000001</v>
      </c>
      <c r="Q109" s="439">
        <v>38.862895999999999</v>
      </c>
      <c r="R109" s="439">
        <v>39.693134000000001</v>
      </c>
      <c r="S109" s="439">
        <v>40.682682</v>
      </c>
      <c r="T109" s="439">
        <v>41.616576999999999</v>
      </c>
      <c r="U109" s="439">
        <v>42.741706999999998</v>
      </c>
      <c r="V109" s="439">
        <v>43.780349999999999</v>
      </c>
      <c r="W109" s="439">
        <v>44.804271999999997</v>
      </c>
      <c r="X109" s="439">
        <v>45.805653</v>
      </c>
      <c r="Y109" s="439">
        <v>46.914368000000003</v>
      </c>
      <c r="Z109" s="439">
        <v>48.056666999999997</v>
      </c>
      <c r="AA109" s="439">
        <v>49.083958000000003</v>
      </c>
      <c r="AB109" s="439">
        <v>50.089134000000001</v>
      </c>
      <c r="AC109" s="439">
        <v>50.992016</v>
      </c>
      <c r="AD109" s="439">
        <v>52.283969999999997</v>
      </c>
      <c r="AE109" s="439">
        <v>53.330452000000001</v>
      </c>
      <c r="AF109" s="439">
        <v>54.512824999999999</v>
      </c>
      <c r="AG109" s="439">
        <v>55.700817000000001</v>
      </c>
      <c r="AH109" s="439">
        <v>57.034229000000003</v>
      </c>
      <c r="AI109" s="439">
        <v>58.435993000000003</v>
      </c>
      <c r="AJ109" s="439">
        <v>59.902256000000001</v>
      </c>
      <c r="AK109" s="439">
        <v>61.432453000000002</v>
      </c>
      <c r="AL109" s="439">
        <v>62.939335</v>
      </c>
      <c r="AM109" s="439">
        <v>64.392798999999997</v>
      </c>
      <c r="AN109" s="439">
        <v>2.3E-2</v>
      </c>
      <c r="AP109" s="4"/>
    </row>
    <row r="110" spans="1:42" x14ac:dyDescent="0.3">
      <c r="A110" t="s">
        <v>318</v>
      </c>
      <c r="C110" t="s">
        <v>599</v>
      </c>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c r="AL110" s="439"/>
      <c r="AM110" s="439"/>
      <c r="AN110" s="439"/>
    </row>
    <row r="111" spans="1:42" x14ac:dyDescent="0.3">
      <c r="A111" t="s">
        <v>372</v>
      </c>
      <c r="C111" t="s">
        <v>600</v>
      </c>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c r="AL111" s="439"/>
      <c r="AM111" s="439"/>
      <c r="AN111" s="439"/>
    </row>
    <row r="112" spans="1:42" x14ac:dyDescent="0.3">
      <c r="A112" t="s">
        <v>255</v>
      </c>
      <c r="B112" t="s">
        <v>373</v>
      </c>
      <c r="C112" t="s">
        <v>601</v>
      </c>
      <c r="D112" t="s">
        <v>374</v>
      </c>
      <c r="F112" s="439">
        <v>243.18483000000001</v>
      </c>
      <c r="G112" s="439">
        <v>255.95361299999999</v>
      </c>
      <c r="H112" s="439">
        <v>258.12356599999998</v>
      </c>
      <c r="I112" s="439">
        <v>264.503784</v>
      </c>
      <c r="J112" s="439">
        <v>270.19378699999999</v>
      </c>
      <c r="K112" s="439">
        <v>277.95639</v>
      </c>
      <c r="L112" s="439">
        <v>287.03527800000001</v>
      </c>
      <c r="M112" s="439">
        <v>297.06582600000002</v>
      </c>
      <c r="N112" s="439">
        <v>307.46069299999999</v>
      </c>
      <c r="O112" s="439">
        <v>317.29620399999999</v>
      </c>
      <c r="P112" s="439">
        <v>326.08898900000003</v>
      </c>
      <c r="Q112" s="439">
        <v>335.47280899999998</v>
      </c>
      <c r="R112" s="439">
        <v>345.969696</v>
      </c>
      <c r="S112" s="439">
        <v>355.27868699999999</v>
      </c>
      <c r="T112" s="439">
        <v>364.90289300000001</v>
      </c>
      <c r="U112" s="439">
        <v>375.83236699999998</v>
      </c>
      <c r="V112" s="439">
        <v>386.585083</v>
      </c>
      <c r="W112" s="439">
        <v>397.39798000000002</v>
      </c>
      <c r="X112" s="439">
        <v>408.45361300000002</v>
      </c>
      <c r="Y112" s="439">
        <v>420.32702599999999</v>
      </c>
      <c r="Z112" s="439">
        <v>432.616241</v>
      </c>
      <c r="AA112" s="439">
        <v>444.29089399999998</v>
      </c>
      <c r="AB112" s="439">
        <v>456.11712599999998</v>
      </c>
      <c r="AC112" s="439">
        <v>467.68533300000001</v>
      </c>
      <c r="AD112" s="439">
        <v>481.41033900000002</v>
      </c>
      <c r="AE112" s="439">
        <v>494.180542</v>
      </c>
      <c r="AF112" s="439">
        <v>507.94241299999999</v>
      </c>
      <c r="AG112" s="439">
        <v>522.24408000000005</v>
      </c>
      <c r="AH112" s="439">
        <v>537.96612500000003</v>
      </c>
      <c r="AI112" s="439">
        <v>554.32232699999997</v>
      </c>
      <c r="AJ112" s="439">
        <v>571.238159</v>
      </c>
      <c r="AK112" s="439">
        <v>589.03820800000005</v>
      </c>
      <c r="AL112" s="439">
        <v>606.942993</v>
      </c>
      <c r="AM112" s="439">
        <v>624.61309800000004</v>
      </c>
      <c r="AN112" s="439">
        <v>2.8000000000000001E-2</v>
      </c>
      <c r="AP112" s="4"/>
    </row>
    <row r="113" spans="1:42" x14ac:dyDescent="0.3">
      <c r="A113" t="s">
        <v>264</v>
      </c>
      <c r="B113" t="s">
        <v>375</v>
      </c>
      <c r="C113" t="s">
        <v>602</v>
      </c>
      <c r="D113" t="s">
        <v>374</v>
      </c>
      <c r="F113" s="439">
        <v>188.06220999999999</v>
      </c>
      <c r="G113" s="439">
        <v>194.48608400000001</v>
      </c>
      <c r="H113" s="439">
        <v>196.78689600000001</v>
      </c>
      <c r="I113" s="439">
        <v>200.54539500000001</v>
      </c>
      <c r="J113" s="439">
        <v>205.11764500000001</v>
      </c>
      <c r="K113" s="439">
        <v>211.71525600000001</v>
      </c>
      <c r="L113" s="439">
        <v>218.60600299999999</v>
      </c>
      <c r="M113" s="439">
        <v>226.82427999999999</v>
      </c>
      <c r="N113" s="439">
        <v>235.745926</v>
      </c>
      <c r="O113" s="439">
        <v>243.25460799999999</v>
      </c>
      <c r="P113" s="439">
        <v>250.08058199999999</v>
      </c>
      <c r="Q113" s="439">
        <v>257.31518599999998</v>
      </c>
      <c r="R113" s="439">
        <v>265.50207499999999</v>
      </c>
      <c r="S113" s="439">
        <v>272.60150099999998</v>
      </c>
      <c r="T113" s="439">
        <v>279.85720800000001</v>
      </c>
      <c r="U113" s="439">
        <v>288.43734699999999</v>
      </c>
      <c r="V113" s="439">
        <v>296.60424799999998</v>
      </c>
      <c r="W113" s="439">
        <v>304.80285600000002</v>
      </c>
      <c r="X113" s="439">
        <v>313.23895299999998</v>
      </c>
      <c r="Y113" s="439">
        <v>322.60736100000003</v>
      </c>
      <c r="Z113" s="439">
        <v>332.00582900000001</v>
      </c>
      <c r="AA113" s="439">
        <v>341.09362800000002</v>
      </c>
      <c r="AB113" s="439">
        <v>350.31601000000001</v>
      </c>
      <c r="AC113" s="439">
        <v>358.977844</v>
      </c>
      <c r="AD113" s="439">
        <v>370.037689</v>
      </c>
      <c r="AE113" s="439">
        <v>380.28634599999998</v>
      </c>
      <c r="AF113" s="439">
        <v>391.73684700000001</v>
      </c>
      <c r="AG113" s="439">
        <v>403.41439800000001</v>
      </c>
      <c r="AH113" s="439">
        <v>416.48529100000002</v>
      </c>
      <c r="AI113" s="439">
        <v>430.23178100000001</v>
      </c>
      <c r="AJ113" s="439">
        <v>444.87072799999999</v>
      </c>
      <c r="AK113" s="439">
        <v>460.70248400000003</v>
      </c>
      <c r="AL113" s="439">
        <v>476.97256499999997</v>
      </c>
      <c r="AM113" s="439">
        <v>493.19854700000002</v>
      </c>
      <c r="AN113" s="439">
        <v>0.03</v>
      </c>
      <c r="AP113" s="4"/>
    </row>
    <row r="114" spans="1:42" x14ac:dyDescent="0.3">
      <c r="A114" t="s">
        <v>271</v>
      </c>
      <c r="B114" t="s">
        <v>376</v>
      </c>
      <c r="C114" t="s">
        <v>603</v>
      </c>
      <c r="D114" t="s">
        <v>374</v>
      </c>
      <c r="F114" s="439">
        <v>172.930939</v>
      </c>
      <c r="G114" s="439">
        <v>194.92755099999999</v>
      </c>
      <c r="H114" s="439">
        <v>206.476257</v>
      </c>
      <c r="I114" s="439">
        <v>210.30462600000001</v>
      </c>
      <c r="J114" s="439">
        <v>221.490341</v>
      </c>
      <c r="K114" s="439">
        <v>233.32557700000001</v>
      </c>
      <c r="L114" s="439">
        <v>245.87338299999999</v>
      </c>
      <c r="M114" s="439">
        <v>262.07217400000002</v>
      </c>
      <c r="N114" s="439">
        <v>279.37091099999998</v>
      </c>
      <c r="O114" s="439">
        <v>293.48620599999998</v>
      </c>
      <c r="P114" s="439">
        <v>308.749573</v>
      </c>
      <c r="Q114" s="439">
        <v>321.96218900000002</v>
      </c>
      <c r="R114" s="439">
        <v>335.90963699999998</v>
      </c>
      <c r="S114" s="439">
        <v>346.95919800000001</v>
      </c>
      <c r="T114" s="439">
        <v>358.79119900000001</v>
      </c>
      <c r="U114" s="439">
        <v>374.26342799999998</v>
      </c>
      <c r="V114" s="439">
        <v>388.59182700000002</v>
      </c>
      <c r="W114" s="439">
        <v>400.038116</v>
      </c>
      <c r="X114" s="439">
        <v>414.40261800000002</v>
      </c>
      <c r="Y114" s="439">
        <v>432.29702800000001</v>
      </c>
      <c r="Z114" s="439">
        <v>444.73144500000001</v>
      </c>
      <c r="AA114" s="439">
        <v>461.262451</v>
      </c>
      <c r="AB114" s="439">
        <v>476.702698</v>
      </c>
      <c r="AC114" s="439">
        <v>492.00366200000002</v>
      </c>
      <c r="AD114" s="439">
        <v>508.13815299999999</v>
      </c>
      <c r="AE114" s="439">
        <v>525.92511000000002</v>
      </c>
      <c r="AF114" s="439">
        <v>541.96405000000004</v>
      </c>
      <c r="AG114" s="439">
        <v>559.605591</v>
      </c>
      <c r="AH114" s="439">
        <v>579.30181900000002</v>
      </c>
      <c r="AI114" s="439">
        <v>598.58435099999997</v>
      </c>
      <c r="AJ114" s="439">
        <v>619.24157700000001</v>
      </c>
      <c r="AK114" s="439">
        <v>643.88647500000002</v>
      </c>
      <c r="AL114" s="439">
        <v>664.81011999999998</v>
      </c>
      <c r="AM114" s="439">
        <v>687.45916699999998</v>
      </c>
      <c r="AN114" s="439">
        <v>0.04</v>
      </c>
      <c r="AP114" s="4"/>
    </row>
    <row r="115" spans="1:42" x14ac:dyDescent="0.3">
      <c r="A115" t="s">
        <v>284</v>
      </c>
      <c r="B115" t="s">
        <v>377</v>
      </c>
      <c r="C115" t="s">
        <v>604</v>
      </c>
      <c r="D115" t="s">
        <v>374</v>
      </c>
      <c r="F115" s="439">
        <v>522.878784</v>
      </c>
      <c r="G115" s="439">
        <v>619.67913799999997</v>
      </c>
      <c r="H115" s="439">
        <v>641.01934800000004</v>
      </c>
      <c r="I115" s="439">
        <v>681.36505099999999</v>
      </c>
      <c r="J115" s="439">
        <v>692.21716300000003</v>
      </c>
      <c r="K115" s="439">
        <v>700.27374299999997</v>
      </c>
      <c r="L115" s="439">
        <v>717.38043200000004</v>
      </c>
      <c r="M115" s="439">
        <v>734.75122099999999</v>
      </c>
      <c r="N115" s="439">
        <v>749.13269000000003</v>
      </c>
      <c r="O115" s="439">
        <v>764.88861099999997</v>
      </c>
      <c r="P115" s="439">
        <v>790.58422900000005</v>
      </c>
      <c r="Q115" s="439">
        <v>807.25701900000001</v>
      </c>
      <c r="R115" s="439">
        <v>838.46380599999998</v>
      </c>
      <c r="S115" s="439">
        <v>852.18957499999999</v>
      </c>
      <c r="T115" s="439">
        <v>871.98144500000001</v>
      </c>
      <c r="U115" s="439">
        <v>892.88830600000006</v>
      </c>
      <c r="V115" s="439">
        <v>911.39569100000006</v>
      </c>
      <c r="W115" s="439">
        <v>931.16302499999995</v>
      </c>
      <c r="X115" s="439">
        <v>954.72210700000005</v>
      </c>
      <c r="Y115" s="439">
        <v>982.57501200000002</v>
      </c>
      <c r="Z115" s="439">
        <v>1002.867371</v>
      </c>
      <c r="AA115" s="439">
        <v>1031.0703120000001</v>
      </c>
      <c r="AB115" s="439">
        <v>1061.169067</v>
      </c>
      <c r="AC115" s="439">
        <v>1092.580933</v>
      </c>
      <c r="AD115" s="439">
        <v>1123.371216</v>
      </c>
      <c r="AE115" s="439">
        <v>1161.0238039999999</v>
      </c>
      <c r="AF115" s="439">
        <v>1194.9298100000001</v>
      </c>
      <c r="AG115" s="439">
        <v>1226.846802</v>
      </c>
      <c r="AH115" s="439">
        <v>1265.732422</v>
      </c>
      <c r="AI115" s="439">
        <v>1305.8740230000001</v>
      </c>
      <c r="AJ115" s="439">
        <v>1348.778442</v>
      </c>
      <c r="AK115" s="439">
        <v>1396.231812</v>
      </c>
      <c r="AL115" s="439">
        <v>1437.176025</v>
      </c>
      <c r="AM115" s="439">
        <v>1480.4395750000001</v>
      </c>
      <c r="AN115" s="439">
        <v>2.8000000000000001E-2</v>
      </c>
      <c r="AP115" s="4"/>
    </row>
    <row r="116" spans="1:42" x14ac:dyDescent="0.3">
      <c r="A116" t="s">
        <v>323</v>
      </c>
      <c r="B116" t="s">
        <v>378</v>
      </c>
      <c r="C116" t="s">
        <v>605</v>
      </c>
      <c r="D116" t="s">
        <v>374</v>
      </c>
      <c r="F116" s="439">
        <v>1127.056763</v>
      </c>
      <c r="G116" s="439">
        <v>1265.0463870000001</v>
      </c>
      <c r="H116" s="439">
        <v>1302.4061280000001</v>
      </c>
      <c r="I116" s="439">
        <v>1356.7188719999999</v>
      </c>
      <c r="J116" s="439">
        <v>1389.0187989999999</v>
      </c>
      <c r="K116" s="439">
        <v>1423.270874</v>
      </c>
      <c r="L116" s="439">
        <v>1468.8951420000001</v>
      </c>
      <c r="M116" s="439">
        <v>1520.7136230000001</v>
      </c>
      <c r="N116" s="439">
        <v>1571.710327</v>
      </c>
      <c r="O116" s="439">
        <v>1618.9255370000001</v>
      </c>
      <c r="P116" s="439">
        <v>1675.5032960000001</v>
      </c>
      <c r="Q116" s="439">
        <v>1722.007202</v>
      </c>
      <c r="R116" s="439">
        <v>1785.8452150000001</v>
      </c>
      <c r="S116" s="439">
        <v>1827.0289310000001</v>
      </c>
      <c r="T116" s="439">
        <v>1875.532837</v>
      </c>
      <c r="U116" s="439">
        <v>1931.4212649999999</v>
      </c>
      <c r="V116" s="439">
        <v>1983.17688</v>
      </c>
      <c r="W116" s="439">
        <v>2033.4021</v>
      </c>
      <c r="X116" s="439">
        <v>2090.8171390000002</v>
      </c>
      <c r="Y116" s="439">
        <v>2157.8063959999999</v>
      </c>
      <c r="Z116" s="439">
        <v>2212.2209469999998</v>
      </c>
      <c r="AA116" s="439">
        <v>2277.717529</v>
      </c>
      <c r="AB116" s="439">
        <v>2344.3051759999998</v>
      </c>
      <c r="AC116" s="439">
        <v>2411.2478030000002</v>
      </c>
      <c r="AD116" s="439">
        <v>2482.9572750000002</v>
      </c>
      <c r="AE116" s="439">
        <v>2561.4157709999999</v>
      </c>
      <c r="AF116" s="439">
        <v>2636.5732419999999</v>
      </c>
      <c r="AG116" s="439">
        <v>2712.110596</v>
      </c>
      <c r="AH116" s="439">
        <v>2799.485596</v>
      </c>
      <c r="AI116" s="439">
        <v>2889.0124510000001</v>
      </c>
      <c r="AJ116" s="439">
        <v>2984.1289059999999</v>
      </c>
      <c r="AK116" s="439">
        <v>3089.8591310000002</v>
      </c>
      <c r="AL116" s="439">
        <v>3185.9018550000001</v>
      </c>
      <c r="AM116" s="439">
        <v>3285.7104490000002</v>
      </c>
      <c r="AN116" s="439">
        <v>0.03</v>
      </c>
      <c r="AP116" s="4"/>
    </row>
    <row r="117" spans="1:42" x14ac:dyDescent="0.3">
      <c r="A117" t="s">
        <v>325</v>
      </c>
      <c r="B117" t="s">
        <v>379</v>
      </c>
      <c r="C117" t="s">
        <v>606</v>
      </c>
      <c r="D117" t="s">
        <v>374</v>
      </c>
      <c r="F117" s="439">
        <v>0.19928599999999999</v>
      </c>
      <c r="G117" s="439">
        <v>1.197551</v>
      </c>
      <c r="H117" s="439">
        <v>1.4815970000000001</v>
      </c>
      <c r="I117" s="439">
        <v>1.7405379999999999</v>
      </c>
      <c r="J117" s="439">
        <v>2.1381429999999999</v>
      </c>
      <c r="K117" s="439">
        <v>2.3998910000000002</v>
      </c>
      <c r="L117" s="439">
        <v>2.6259459999999999</v>
      </c>
      <c r="M117" s="439">
        <v>3.4103309999999998</v>
      </c>
      <c r="N117" s="439">
        <v>4.3967280000000004</v>
      </c>
      <c r="O117" s="439">
        <v>4.5747609999999996</v>
      </c>
      <c r="P117" s="439">
        <v>5.1675199999999997</v>
      </c>
      <c r="Q117" s="439">
        <v>5.6038860000000001</v>
      </c>
      <c r="R117" s="439">
        <v>6.2784680000000002</v>
      </c>
      <c r="S117" s="439">
        <v>6.809761</v>
      </c>
      <c r="T117" s="439">
        <v>7.1398820000000001</v>
      </c>
      <c r="U117" s="439">
        <v>7.3992899999999997</v>
      </c>
      <c r="V117" s="439">
        <v>7.7033149999999999</v>
      </c>
      <c r="W117" s="439">
        <v>8.1701390000000007</v>
      </c>
      <c r="X117" s="439">
        <v>8.4984380000000002</v>
      </c>
      <c r="Y117" s="439">
        <v>8.9535490000000006</v>
      </c>
      <c r="Z117" s="439">
        <v>9.3010020000000004</v>
      </c>
      <c r="AA117" s="439">
        <v>9.6879050000000007</v>
      </c>
      <c r="AB117" s="439">
        <v>9.9978130000000007</v>
      </c>
      <c r="AC117" s="439">
        <v>10.303668</v>
      </c>
      <c r="AD117" s="439">
        <v>10.35652</v>
      </c>
      <c r="AE117" s="439">
        <v>10.4573</v>
      </c>
      <c r="AF117" s="439">
        <v>10.271963</v>
      </c>
      <c r="AG117" s="439">
        <v>10.16719</v>
      </c>
      <c r="AH117" s="439">
        <v>10.121464</v>
      </c>
      <c r="AI117" s="439">
        <v>9.3999120000000005</v>
      </c>
      <c r="AJ117" s="439">
        <v>8.2141079999999995</v>
      </c>
      <c r="AK117" s="439">
        <v>7.4732419999999999</v>
      </c>
      <c r="AL117" s="439">
        <v>7.6345689999999999</v>
      </c>
      <c r="AM117" s="439">
        <v>7.8015749999999997</v>
      </c>
      <c r="AN117" s="439">
        <v>0.06</v>
      </c>
      <c r="AP117" s="4"/>
    </row>
    <row r="118" spans="1:42" x14ac:dyDescent="0.3">
      <c r="A118" t="s">
        <v>327</v>
      </c>
      <c r="B118" t="s">
        <v>380</v>
      </c>
      <c r="C118" t="s">
        <v>607</v>
      </c>
      <c r="D118" t="s">
        <v>374</v>
      </c>
      <c r="F118" s="439">
        <v>1127.2561040000001</v>
      </c>
      <c r="G118" s="439">
        <v>1266.2438959999999</v>
      </c>
      <c r="H118" s="439">
        <v>1303.887573</v>
      </c>
      <c r="I118" s="439">
        <v>1358.459351</v>
      </c>
      <c r="J118" s="439">
        <v>1391.156982</v>
      </c>
      <c r="K118" s="439">
        <v>1425.6707759999999</v>
      </c>
      <c r="L118" s="439">
        <v>1471.5211179999999</v>
      </c>
      <c r="M118" s="439">
        <v>1524.1240230000001</v>
      </c>
      <c r="N118" s="439">
        <v>1576.1069339999999</v>
      </c>
      <c r="O118" s="439">
        <v>1623.5002440000001</v>
      </c>
      <c r="P118" s="439">
        <v>1680.6708980000001</v>
      </c>
      <c r="Q118" s="439">
        <v>1727.6110839999999</v>
      </c>
      <c r="R118" s="439">
        <v>1792.1239009999999</v>
      </c>
      <c r="S118" s="439">
        <v>1833.838745</v>
      </c>
      <c r="T118" s="439">
        <v>1882.6728519999999</v>
      </c>
      <c r="U118" s="439">
        <v>1938.8206789999999</v>
      </c>
      <c r="V118" s="439">
        <v>1990.8801269999999</v>
      </c>
      <c r="W118" s="439">
        <v>2041.572144</v>
      </c>
      <c r="X118" s="439">
        <v>2099.3156739999999</v>
      </c>
      <c r="Y118" s="439">
        <v>2166.76001</v>
      </c>
      <c r="Z118" s="439">
        <v>2221.5219729999999</v>
      </c>
      <c r="AA118" s="439">
        <v>2287.4052729999999</v>
      </c>
      <c r="AB118" s="439">
        <v>2354.3027339999999</v>
      </c>
      <c r="AC118" s="439">
        <v>2421.5515140000002</v>
      </c>
      <c r="AD118" s="439">
        <v>2493.3139649999998</v>
      </c>
      <c r="AE118" s="439">
        <v>2571.873047</v>
      </c>
      <c r="AF118" s="439">
        <v>2646.8452149999998</v>
      </c>
      <c r="AG118" s="439">
        <v>2722.2778320000002</v>
      </c>
      <c r="AH118" s="439">
        <v>2809.6071780000002</v>
      </c>
      <c r="AI118" s="439">
        <v>2898.4125979999999</v>
      </c>
      <c r="AJ118" s="439">
        <v>2992.343018</v>
      </c>
      <c r="AK118" s="439">
        <v>3097.3322750000002</v>
      </c>
      <c r="AL118" s="439">
        <v>3193.5363769999999</v>
      </c>
      <c r="AM118" s="439">
        <v>3293.5117190000001</v>
      </c>
      <c r="AN118" s="439">
        <v>0.03</v>
      </c>
      <c r="AP118" s="4"/>
    </row>
  </sheetData>
  <hyperlinks>
    <hyperlink ref="A2" r:id="rId1" xr:uid="{9A60F52C-7B94-4F0F-B6B0-22C74863887D}"/>
  </hyperlinks>
  <pageMargins left="0.7" right="0.7" top="0.75" bottom="0.75" header="0.3" footer="0.3"/>
  <pageSetup orientation="portrait" verticalDpi="120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810B-267C-4318-95D5-426276D76816}">
  <dimension ref="B3:J34"/>
  <sheetViews>
    <sheetView zoomScale="90" zoomScaleNormal="90" workbookViewId="0">
      <selection activeCell="B17" sqref="B17"/>
    </sheetView>
  </sheetViews>
  <sheetFormatPr defaultRowHeight="14.4" x14ac:dyDescent="0.3"/>
  <cols>
    <col min="2" max="2" width="42.5546875" customWidth="1"/>
    <col min="3" max="4" width="19.88671875" customWidth="1"/>
    <col min="5" max="5" width="16.33203125" bestFit="1" customWidth="1"/>
    <col min="6" max="6" width="13.88671875" bestFit="1" customWidth="1"/>
    <col min="7" max="8" width="16.6640625" customWidth="1"/>
    <col min="9" max="9" width="16.6640625" style="72" customWidth="1"/>
    <col min="10" max="10" width="17.88671875" bestFit="1" customWidth="1"/>
  </cols>
  <sheetData>
    <row r="3" spans="2:9" ht="15" thickBot="1" x14ac:dyDescent="0.35">
      <c r="C3" t="s">
        <v>453</v>
      </c>
      <c r="D3" t="s">
        <v>454</v>
      </c>
      <c r="E3" t="s">
        <v>455</v>
      </c>
    </row>
    <row r="4" spans="2:9" x14ac:dyDescent="0.3">
      <c r="B4" s="301" t="s">
        <v>194</v>
      </c>
      <c r="C4" s="303">
        <v>60206210.82468468</v>
      </c>
      <c r="D4" s="303">
        <v>47872963.803881958</v>
      </c>
      <c r="E4" s="391">
        <v>42015303.770953983</v>
      </c>
    </row>
    <row r="5" spans="2:9" x14ac:dyDescent="0.3">
      <c r="B5" s="154" t="s">
        <v>197</v>
      </c>
      <c r="C5" s="304">
        <v>1.5545936515304559E-2</v>
      </c>
      <c r="D5" s="304">
        <v>1.3595506867827956E-2</v>
      </c>
      <c r="E5" s="392">
        <v>1.2594934055897733E-2</v>
      </c>
    </row>
    <row r="6" spans="2:9" x14ac:dyDescent="0.3">
      <c r="B6" s="154" t="s">
        <v>404</v>
      </c>
      <c r="C6" s="305">
        <v>-11125812.210011514</v>
      </c>
      <c r="D6" s="305">
        <v>-11125812.210011514</v>
      </c>
      <c r="E6" s="393">
        <v>-11125812.210011514</v>
      </c>
    </row>
    <row r="7" spans="2:9" x14ac:dyDescent="0.3">
      <c r="B7" s="154" t="s">
        <v>413</v>
      </c>
      <c r="C7" s="305">
        <v>1090683.7731061548</v>
      </c>
      <c r="D7" s="305">
        <v>1090683.7731061548</v>
      </c>
      <c r="E7" s="393">
        <v>1090683.7731061548</v>
      </c>
    </row>
    <row r="8" spans="2:9" x14ac:dyDescent="0.3">
      <c r="B8" s="154" t="s">
        <v>414</v>
      </c>
      <c r="C8" s="306">
        <v>2.554426688708351E-2</v>
      </c>
      <c r="D8" s="306">
        <v>2.554426688708351E-2</v>
      </c>
      <c r="E8" s="394">
        <v>2.554426688708351E-2</v>
      </c>
    </row>
    <row r="9" spans="2:9" x14ac:dyDescent="0.3">
      <c r="B9" s="154" t="s">
        <v>412</v>
      </c>
      <c r="C9" s="305">
        <v>-210129589.70661712</v>
      </c>
      <c r="D9" s="305">
        <v>-210129589.70661712</v>
      </c>
      <c r="E9" s="393">
        <v>-210129589.70661712</v>
      </c>
    </row>
    <row r="10" spans="2:9" x14ac:dyDescent="0.3">
      <c r="B10" s="154" t="s">
        <v>401</v>
      </c>
      <c r="C10" s="305">
        <v>23871806515.618439</v>
      </c>
      <c r="D10" s="305">
        <v>23871806515.618439</v>
      </c>
      <c r="E10" s="393">
        <v>23871806515.618439</v>
      </c>
    </row>
    <row r="11" spans="2:9" ht="15" thickBot="1" x14ac:dyDescent="0.35">
      <c r="B11" s="167" t="s">
        <v>402</v>
      </c>
      <c r="C11" s="307">
        <v>10831128.183129963</v>
      </c>
      <c r="D11" s="307">
        <v>10831128.183129963</v>
      </c>
      <c r="E11" s="395">
        <v>10831128.183129963</v>
      </c>
    </row>
    <row r="13" spans="2:9" x14ac:dyDescent="0.3">
      <c r="B13" s="155" t="s">
        <v>750</v>
      </c>
      <c r="C13" s="387"/>
      <c r="D13" s="387"/>
      <c r="E13" s="387"/>
      <c r="F13" s="387"/>
      <c r="G13" s="387"/>
    </row>
    <row r="14" spans="2:9" s="29" customFormat="1" x14ac:dyDescent="0.3">
      <c r="I14" s="571"/>
    </row>
    <row r="20" spans="2:10" ht="15" thickBot="1" x14ac:dyDescent="0.35"/>
    <row r="21" spans="2:10" ht="29.4" thickBot="1" x14ac:dyDescent="0.35">
      <c r="B21" s="361"/>
      <c r="C21" s="373" t="s">
        <v>465</v>
      </c>
      <c r="D21" s="362" t="s">
        <v>466</v>
      </c>
      <c r="E21" s="565" t="s">
        <v>478</v>
      </c>
      <c r="G21" s="390" t="s">
        <v>479</v>
      </c>
      <c r="H21" s="569" t="s">
        <v>480</v>
      </c>
      <c r="I21" s="224" t="s">
        <v>478</v>
      </c>
    </row>
    <row r="22" spans="2:10" x14ac:dyDescent="0.3">
      <c r="B22" s="363" t="s">
        <v>457</v>
      </c>
      <c r="C22" s="374" t="s">
        <v>456</v>
      </c>
      <c r="D22" s="364" t="s">
        <v>446</v>
      </c>
      <c r="E22" s="566" t="s">
        <v>83</v>
      </c>
      <c r="G22" s="205"/>
      <c r="H22" s="72"/>
      <c r="I22" s="279"/>
    </row>
    <row r="23" spans="2:10" x14ac:dyDescent="0.3">
      <c r="B23" s="363" t="s">
        <v>458</v>
      </c>
      <c r="C23" s="375" t="s">
        <v>456</v>
      </c>
      <c r="D23" s="364" t="s">
        <v>446</v>
      </c>
      <c r="E23" s="567" t="s">
        <v>86</v>
      </c>
      <c r="G23" s="205"/>
      <c r="H23" s="72"/>
      <c r="I23" s="279"/>
    </row>
    <row r="24" spans="2:10" x14ac:dyDescent="0.3">
      <c r="B24" s="363" t="s">
        <v>459</v>
      </c>
      <c r="C24" s="376">
        <v>0.9</v>
      </c>
      <c r="D24" s="364" t="s">
        <v>461</v>
      </c>
      <c r="E24" s="568">
        <v>0.25</v>
      </c>
      <c r="G24" s="205"/>
      <c r="H24" s="72"/>
      <c r="I24" s="279"/>
    </row>
    <row r="25" spans="2:10" x14ac:dyDescent="0.3">
      <c r="B25" s="363" t="s">
        <v>460</v>
      </c>
      <c r="C25" s="377" t="s">
        <v>446</v>
      </c>
      <c r="D25" s="364" t="s">
        <v>456</v>
      </c>
      <c r="E25" s="364" t="s">
        <v>446</v>
      </c>
      <c r="G25" s="205"/>
      <c r="H25" s="72"/>
      <c r="I25" s="279"/>
    </row>
    <row r="26" spans="2:10" ht="4.5" customHeight="1" x14ac:dyDescent="0.3">
      <c r="B26" s="363"/>
      <c r="C26" s="377"/>
      <c r="D26" s="364"/>
      <c r="E26" s="364"/>
      <c r="G26" s="205"/>
      <c r="H26" s="72"/>
      <c r="I26" s="279"/>
    </row>
    <row r="27" spans="2:10" x14ac:dyDescent="0.3">
      <c r="B27" s="365" t="s">
        <v>462</v>
      </c>
      <c r="C27" s="378">
        <f t="shared" ref="C27:E28" si="0">ROUND(G27,-6)</f>
        <v>87000000</v>
      </c>
      <c r="D27" s="366">
        <f t="shared" si="0"/>
        <v>13000000</v>
      </c>
      <c r="E27" s="366">
        <f t="shared" si="0"/>
        <v>31000000</v>
      </c>
      <c r="G27" s="389">
        <v>87423299.962764382</v>
      </c>
      <c r="H27" s="570">
        <v>12801677.694651306</v>
      </c>
      <c r="I27" s="572">
        <v>31352625.558550578</v>
      </c>
    </row>
    <row r="28" spans="2:10" x14ac:dyDescent="0.3">
      <c r="B28" s="365" t="s">
        <v>463</v>
      </c>
      <c r="C28" s="378">
        <f t="shared" si="0"/>
        <v>80000000</v>
      </c>
      <c r="D28" s="366">
        <f t="shared" si="0"/>
        <v>71000000</v>
      </c>
      <c r="E28" s="366">
        <f t="shared" si="0"/>
        <v>83000000</v>
      </c>
      <c r="G28" s="389">
        <v>79731449.107092038</v>
      </c>
      <c r="H28" s="570">
        <v>71110402.461946651</v>
      </c>
      <c r="I28" s="572">
        <v>82632433.333007157</v>
      </c>
    </row>
    <row r="29" spans="2:10" hidden="1" x14ac:dyDescent="0.3">
      <c r="B29" s="365"/>
      <c r="C29" s="378"/>
      <c r="D29" s="366"/>
      <c r="E29" s="366"/>
      <c r="G29" s="389">
        <v>134645863.80109298</v>
      </c>
      <c r="H29" s="570">
        <v>99402721.197316572</v>
      </c>
      <c r="I29" s="572">
        <v>109599078.24840729</v>
      </c>
    </row>
    <row r="30" spans="2:10" hidden="1" x14ac:dyDescent="0.3">
      <c r="B30" s="365"/>
      <c r="C30" s="378"/>
      <c r="D30" s="366"/>
      <c r="E30" s="366"/>
      <c r="G30" s="389">
        <v>-175611761.95714936</v>
      </c>
      <c r="H30" s="570">
        <v>-176916471.30393872</v>
      </c>
      <c r="I30" s="572">
        <v>-175711173.33608308</v>
      </c>
    </row>
    <row r="31" spans="2:10" x14ac:dyDescent="0.3">
      <c r="B31" s="367" t="s">
        <v>464</v>
      </c>
      <c r="C31" s="379">
        <f t="shared" ref="C31:E32" si="1">ROUND(G31,-6)</f>
        <v>-41000000</v>
      </c>
      <c r="D31" s="382">
        <f t="shared" si="1"/>
        <v>-78000000</v>
      </c>
      <c r="E31" s="368">
        <f t="shared" si="1"/>
        <v>-66000000</v>
      </c>
      <c r="G31" s="573">
        <f>SUM(G29:G30)</f>
        <v>-40965898.156056374</v>
      </c>
      <c r="H31" s="85">
        <f>SUM(H29:H30)</f>
        <v>-77513750.106622145</v>
      </c>
      <c r="I31" s="572">
        <f>SUM(I29:I30)</f>
        <v>-66112095.087675795</v>
      </c>
      <c r="J31" s="32"/>
    </row>
    <row r="32" spans="2:10" ht="15" thickBot="1" x14ac:dyDescent="0.35">
      <c r="B32" s="369" t="s">
        <v>194</v>
      </c>
      <c r="C32" s="380">
        <f t="shared" si="1"/>
        <v>126000000</v>
      </c>
      <c r="D32" s="370">
        <f t="shared" si="1"/>
        <v>6000000</v>
      </c>
      <c r="E32" s="370">
        <f t="shared" si="1"/>
        <v>48000000</v>
      </c>
      <c r="G32" s="574">
        <f>SUM(G27:G30)</f>
        <v>126188850.91380003</v>
      </c>
      <c r="H32" s="575">
        <f>SUM(H27:H30)</f>
        <v>6398330.0499758124</v>
      </c>
      <c r="I32" s="576">
        <f>SUM(I27:I30)</f>
        <v>47872963.803881943</v>
      </c>
      <c r="J32" s="32"/>
    </row>
    <row r="33" spans="2:10" ht="15" thickBot="1" x14ac:dyDescent="0.35">
      <c r="B33" s="371" t="s">
        <v>197</v>
      </c>
      <c r="C33" s="381">
        <v>2.7514153941749164E-2</v>
      </c>
      <c r="D33" s="372">
        <v>-1.6756711898244792E-3</v>
      </c>
      <c r="E33" s="372">
        <v>1.3595506867827956E-2</v>
      </c>
      <c r="J33" s="32"/>
    </row>
    <row r="34" spans="2:10" x14ac:dyDescent="0.3">
      <c r="B34" s="232"/>
      <c r="C34" s="232"/>
      <c r="D34" s="232"/>
      <c r="J34" s="32"/>
    </row>
  </sheetData>
  <pageMargins left="0.7" right="0.7" top="0.75" bottom="0.75" header="0.3" footer="0.3"/>
  <pageSetup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9"/>
  <sheetViews>
    <sheetView topLeftCell="A2" zoomScale="80" zoomScaleNormal="80" workbookViewId="0">
      <selection activeCell="D15" sqref="D15"/>
    </sheetView>
  </sheetViews>
  <sheetFormatPr defaultRowHeight="14.4" x14ac:dyDescent="0.3"/>
  <cols>
    <col min="1" max="1" width="13.5546875" style="318" customWidth="1"/>
    <col min="2" max="2" width="43.5546875" bestFit="1" customWidth="1"/>
    <col min="3" max="3" width="1.6640625" customWidth="1"/>
    <col min="4" max="4" width="10.6640625" style="1" bestFit="1" customWidth="1"/>
    <col min="5" max="5" width="8.88671875" bestFit="1" customWidth="1"/>
    <col min="6" max="6" width="68.6640625" bestFit="1" customWidth="1"/>
    <col min="7" max="7" width="2.109375" hidden="1" customWidth="1"/>
    <col min="8" max="8" width="10.6640625" style="1" bestFit="1" customWidth="1"/>
    <col min="9" max="10" width="13.44140625" style="1" bestFit="1" customWidth="1"/>
    <col min="11" max="11" width="60.5546875" style="400" customWidth="1"/>
  </cols>
  <sheetData>
    <row r="1" spans="1:11" ht="28.8" x14ac:dyDescent="0.3">
      <c r="D1" s="225" t="s">
        <v>475</v>
      </c>
      <c r="H1" s="225" t="s">
        <v>475</v>
      </c>
      <c r="I1" s="225" t="s">
        <v>476</v>
      </c>
      <c r="J1" s="225" t="s">
        <v>475</v>
      </c>
      <c r="K1" s="399"/>
    </row>
    <row r="2" spans="1:11" ht="56.4" customHeight="1" x14ac:dyDescent="0.3">
      <c r="A2" s="317" t="s">
        <v>424</v>
      </c>
      <c r="B2" s="192" t="s">
        <v>212</v>
      </c>
    </row>
    <row r="3" spans="1:11" ht="4.2" customHeight="1" x14ac:dyDescent="0.3">
      <c r="B3" s="20"/>
    </row>
    <row r="4" spans="1:11" x14ac:dyDescent="0.3">
      <c r="B4" s="19" t="s">
        <v>170</v>
      </c>
      <c r="D4" s="1">
        <v>2019</v>
      </c>
      <c r="H4" s="1">
        <v>2019</v>
      </c>
      <c r="I4" s="1">
        <f>base_year</f>
        <v>2019</v>
      </c>
      <c r="J4" s="1">
        <v>2019</v>
      </c>
    </row>
    <row r="5" spans="1:11" x14ac:dyDescent="0.3">
      <c r="A5" s="318" t="s">
        <v>33</v>
      </c>
      <c r="B5" s="19" t="s">
        <v>19</v>
      </c>
      <c r="D5" s="184">
        <v>1.9E-2</v>
      </c>
      <c r="H5" s="184">
        <v>1.9E-2</v>
      </c>
      <c r="I5" s="184">
        <v>1.9E-2</v>
      </c>
      <c r="J5" s="184">
        <v>1.9E-2</v>
      </c>
      <c r="K5" s="401"/>
    </row>
    <row r="6" spans="1:11" x14ac:dyDescent="0.3">
      <c r="A6" s="318" t="s">
        <v>33</v>
      </c>
      <c r="B6" s="19" t="s">
        <v>20</v>
      </c>
      <c r="D6" s="185">
        <v>0.06</v>
      </c>
      <c r="H6" s="185">
        <v>0.06</v>
      </c>
      <c r="I6" s="185">
        <v>0.06</v>
      </c>
      <c r="J6" s="185">
        <v>0.06</v>
      </c>
      <c r="K6" s="402"/>
    </row>
    <row r="7" spans="1:11" x14ac:dyDescent="0.3">
      <c r="A7" s="318" t="s">
        <v>33</v>
      </c>
      <c r="B7" s="19" t="s">
        <v>207</v>
      </c>
      <c r="D7" s="185">
        <v>-0.01</v>
      </c>
      <c r="H7" s="185">
        <v>-0.01</v>
      </c>
      <c r="I7" s="185">
        <v>-0.01</v>
      </c>
      <c r="J7" s="185">
        <v>-0.01</v>
      </c>
      <c r="K7" s="402"/>
    </row>
    <row r="8" spans="1:11" x14ac:dyDescent="0.3">
      <c r="B8" s="19"/>
      <c r="D8" s="185"/>
      <c r="H8" s="185"/>
      <c r="I8" s="185"/>
      <c r="J8" s="185"/>
      <c r="K8" s="402"/>
    </row>
    <row r="9" spans="1:11" s="19" customFormat="1" x14ac:dyDescent="0.3">
      <c r="A9" s="319" t="s">
        <v>32</v>
      </c>
      <c r="B9" s="19" t="s">
        <v>31</v>
      </c>
      <c r="D9" s="384" t="s">
        <v>86</v>
      </c>
      <c r="E9" s="25"/>
      <c r="F9" s="25" t="s">
        <v>175</v>
      </c>
      <c r="H9" s="384" t="s">
        <v>86</v>
      </c>
      <c r="I9" s="384" t="s">
        <v>456</v>
      </c>
      <c r="J9" s="384" t="s">
        <v>446</v>
      </c>
      <c r="K9" s="403" t="s">
        <v>175</v>
      </c>
    </row>
    <row r="10" spans="1:11" s="19" customFormat="1" x14ac:dyDescent="0.3">
      <c r="A10" s="319" t="s">
        <v>43</v>
      </c>
      <c r="B10" s="19" t="s">
        <v>195</v>
      </c>
      <c r="D10" s="384" t="s">
        <v>83</v>
      </c>
      <c r="F10" t="s">
        <v>97</v>
      </c>
      <c r="H10" s="384" t="s">
        <v>83</v>
      </c>
      <c r="I10" s="384" t="s">
        <v>456</v>
      </c>
      <c r="J10" s="384" t="s">
        <v>446</v>
      </c>
      <c r="K10" s="403" t="s">
        <v>97</v>
      </c>
    </row>
    <row r="11" spans="1:11" s="19" customFormat="1" x14ac:dyDescent="0.3">
      <c r="A11" s="319"/>
      <c r="D11" s="187"/>
      <c r="F11"/>
      <c r="H11" s="187"/>
      <c r="I11" s="187"/>
      <c r="J11" s="187"/>
      <c r="K11" s="404"/>
    </row>
    <row r="12" spans="1:11" x14ac:dyDescent="0.3">
      <c r="A12" s="318" t="s">
        <v>43</v>
      </c>
      <c r="B12" s="19" t="s">
        <v>21</v>
      </c>
      <c r="D12" s="191">
        <v>171.8</v>
      </c>
      <c r="F12" t="s">
        <v>481</v>
      </c>
      <c r="H12" s="411">
        <v>171.8</v>
      </c>
      <c r="I12" s="411">
        <v>179.3</v>
      </c>
      <c r="J12" s="411">
        <v>171.8</v>
      </c>
      <c r="K12" s="412" t="s">
        <v>408</v>
      </c>
    </row>
    <row r="13" spans="1:11" x14ac:dyDescent="0.3">
      <c r="A13" s="318" t="s">
        <v>43</v>
      </c>
      <c r="B13" s="19" t="s">
        <v>22</v>
      </c>
      <c r="D13" s="194">
        <v>2.1999999999999999E-2</v>
      </c>
      <c r="H13" s="413">
        <v>2.1999999999999999E-2</v>
      </c>
      <c r="I13" s="413">
        <v>2.1999999999999999E-2</v>
      </c>
      <c r="J13" s="413">
        <v>2.1999999999999999E-2</v>
      </c>
      <c r="K13" s="414"/>
    </row>
    <row r="14" spans="1:11" x14ac:dyDescent="0.3">
      <c r="B14" s="19"/>
    </row>
    <row r="15" spans="1:11" s="19" customFormat="1" x14ac:dyDescent="0.3">
      <c r="A15" s="319" t="s">
        <v>32</v>
      </c>
      <c r="B15" s="19" t="s">
        <v>183</v>
      </c>
      <c r="D15" s="384" t="s">
        <v>456</v>
      </c>
      <c r="F15" t="s">
        <v>97</v>
      </c>
      <c r="H15" s="384" t="s">
        <v>83</v>
      </c>
      <c r="I15" s="384" t="s">
        <v>446</v>
      </c>
      <c r="J15" s="384" t="s">
        <v>456</v>
      </c>
      <c r="K15" s="403" t="s">
        <v>97</v>
      </c>
    </row>
    <row r="16" spans="1:11" s="19" customFormat="1" x14ac:dyDescent="0.3">
      <c r="A16" s="319"/>
      <c r="B16" s="19" t="s">
        <v>178</v>
      </c>
      <c r="D16" s="186">
        <v>-0.01</v>
      </c>
      <c r="E16" s="142" t="s">
        <v>32</v>
      </c>
      <c r="H16" s="186">
        <v>-0.01</v>
      </c>
      <c r="I16" s="186">
        <v>-0.01</v>
      </c>
      <c r="J16" s="186">
        <v>-0.01</v>
      </c>
      <c r="K16" s="403"/>
    </row>
    <row r="17" spans="1:11" s="19" customFormat="1" x14ac:dyDescent="0.3">
      <c r="A17" s="319"/>
      <c r="B17" s="19" t="s">
        <v>179</v>
      </c>
      <c r="D17" s="188">
        <v>1.6E-2</v>
      </c>
      <c r="E17" s="142" t="s">
        <v>43</v>
      </c>
      <c r="F17" s="19" t="s">
        <v>181</v>
      </c>
      <c r="H17" s="188">
        <v>1.6E-2</v>
      </c>
      <c r="I17" s="188">
        <v>1.6E-2</v>
      </c>
      <c r="J17" s="188">
        <v>1.6E-2</v>
      </c>
      <c r="K17" s="405" t="s">
        <v>181</v>
      </c>
    </row>
    <row r="18" spans="1:11" s="19" customFormat="1" x14ac:dyDescent="0.3">
      <c r="A18" s="319"/>
      <c r="B18" s="19" t="s">
        <v>180</v>
      </c>
      <c r="D18" s="186">
        <v>0.05</v>
      </c>
      <c r="E18" s="142" t="s">
        <v>33</v>
      </c>
      <c r="F18" s="19" t="s">
        <v>382</v>
      </c>
      <c r="H18" s="186">
        <v>0.05</v>
      </c>
      <c r="I18" s="186">
        <v>0.05</v>
      </c>
      <c r="J18" s="186">
        <v>0.05</v>
      </c>
      <c r="K18" s="403" t="s">
        <v>382</v>
      </c>
    </row>
    <row r="19" spans="1:11" s="19" customFormat="1" x14ac:dyDescent="0.3">
      <c r="A19" s="319"/>
      <c r="D19" s="186"/>
      <c r="E19" s="142"/>
      <c r="H19" s="186"/>
      <c r="I19" s="186"/>
      <c r="J19" s="186"/>
      <c r="K19" s="403"/>
    </row>
    <row r="20" spans="1:11" x14ac:dyDescent="0.3">
      <c r="A20" s="318" t="s">
        <v>43</v>
      </c>
      <c r="B20" s="20" t="s">
        <v>172</v>
      </c>
    </row>
    <row r="21" spans="1:11" x14ac:dyDescent="0.3">
      <c r="B21" t="s">
        <v>6</v>
      </c>
      <c r="D21" s="189">
        <v>0.3</v>
      </c>
      <c r="H21" s="189">
        <v>0.3</v>
      </c>
      <c r="I21" s="189">
        <v>0.3</v>
      </c>
      <c r="J21" s="189">
        <v>0.3</v>
      </c>
      <c r="K21" s="406"/>
    </row>
    <row r="22" spans="1:11" x14ac:dyDescent="0.3">
      <c r="B22" t="s">
        <v>7</v>
      </c>
      <c r="D22" s="189">
        <v>0.45</v>
      </c>
      <c r="H22" s="189">
        <v>0.45</v>
      </c>
      <c r="I22" s="189">
        <v>0.35</v>
      </c>
      <c r="J22" s="189">
        <v>0.45</v>
      </c>
      <c r="K22" s="406"/>
    </row>
    <row r="23" spans="1:11" x14ac:dyDescent="0.3">
      <c r="B23" t="s">
        <v>24</v>
      </c>
      <c r="D23" s="189">
        <v>0.05</v>
      </c>
      <c r="H23" s="189">
        <v>0.05</v>
      </c>
      <c r="I23" s="189">
        <v>0.15</v>
      </c>
      <c r="J23" s="189">
        <v>0.05</v>
      </c>
      <c r="K23" s="406"/>
    </row>
    <row r="24" spans="1:11" x14ac:dyDescent="0.3">
      <c r="B24" t="s">
        <v>23</v>
      </c>
      <c r="D24" s="189">
        <v>0.15</v>
      </c>
      <c r="H24" s="189">
        <v>0.15</v>
      </c>
      <c r="I24" s="189">
        <v>0.15</v>
      </c>
      <c r="J24" s="189">
        <v>0.15</v>
      </c>
      <c r="K24" s="406"/>
    </row>
    <row r="25" spans="1:11" x14ac:dyDescent="0.3">
      <c r="B25" s="21" t="s">
        <v>70</v>
      </c>
      <c r="C25" s="21"/>
      <c r="D25" s="277">
        <v>0.05</v>
      </c>
      <c r="H25" s="277">
        <v>0.05</v>
      </c>
      <c r="I25" s="277">
        <v>0.05</v>
      </c>
      <c r="J25" s="277">
        <v>0.05</v>
      </c>
      <c r="K25" s="407"/>
    </row>
    <row r="26" spans="1:11" x14ac:dyDescent="0.3">
      <c r="B26" s="37" t="s">
        <v>8</v>
      </c>
      <c r="D26" s="189">
        <f>SUM(D21:D25)</f>
        <v>1</v>
      </c>
      <c r="H26" s="189">
        <v>1</v>
      </c>
      <c r="I26" s="189">
        <v>1</v>
      </c>
      <c r="J26" s="189">
        <v>1</v>
      </c>
      <c r="K26" s="406"/>
    </row>
    <row r="27" spans="1:11" s="72" customFormat="1" x14ac:dyDescent="0.3">
      <c r="A27" s="320"/>
      <c r="D27" s="190"/>
      <c r="H27" s="190"/>
      <c r="I27" s="190"/>
      <c r="J27" s="190"/>
      <c r="K27" s="408"/>
    </row>
    <row r="28" spans="1:11" s="72" customFormat="1" x14ac:dyDescent="0.3">
      <c r="A28" s="320"/>
      <c r="B28" s="20" t="s">
        <v>477</v>
      </c>
      <c r="C28"/>
      <c r="D28" s="1"/>
      <c r="E28" s="396" t="s">
        <v>455</v>
      </c>
      <c r="F28" s="396" t="s">
        <v>453</v>
      </c>
      <c r="H28" s="1"/>
      <c r="I28" s="1"/>
      <c r="J28" s="1"/>
      <c r="K28" s="400"/>
    </row>
    <row r="29" spans="1:11" s="72" customFormat="1" x14ac:dyDescent="0.3">
      <c r="A29" s="320"/>
      <c r="B29" t="s">
        <v>6</v>
      </c>
      <c r="C29"/>
      <c r="D29" s="346">
        <v>25</v>
      </c>
      <c r="E29" s="397">
        <f>D29*0.75</f>
        <v>18.75</v>
      </c>
      <c r="F29" s="398">
        <f>D29*1.3</f>
        <v>32.5</v>
      </c>
      <c r="H29" s="346">
        <v>25</v>
      </c>
      <c r="I29" s="346">
        <v>25</v>
      </c>
      <c r="J29" s="346">
        <v>25</v>
      </c>
      <c r="K29" s="409"/>
    </row>
    <row r="30" spans="1:11" s="72" customFormat="1" x14ac:dyDescent="0.3">
      <c r="A30" s="320"/>
      <c r="B30" t="s">
        <v>7</v>
      </c>
      <c r="C30"/>
      <c r="D30" s="346">
        <v>30</v>
      </c>
      <c r="E30" s="397">
        <f t="shared" ref="E30:E32" si="0">D30*0.75</f>
        <v>22.5</v>
      </c>
      <c r="F30" s="398">
        <f t="shared" ref="F30:F32" si="1">D30*1.3</f>
        <v>39</v>
      </c>
      <c r="H30" s="346">
        <v>30</v>
      </c>
      <c r="I30" s="346">
        <v>30</v>
      </c>
      <c r="J30" s="346">
        <v>30</v>
      </c>
      <c r="K30" s="409"/>
    </row>
    <row r="31" spans="1:11" s="72" customFormat="1" x14ac:dyDescent="0.3">
      <c r="A31" s="320"/>
      <c r="B31" t="s">
        <v>24</v>
      </c>
      <c r="C31"/>
      <c r="D31" s="346">
        <v>20</v>
      </c>
      <c r="E31" s="397">
        <f t="shared" si="0"/>
        <v>15</v>
      </c>
      <c r="F31" s="398">
        <f t="shared" si="1"/>
        <v>26</v>
      </c>
      <c r="H31" s="346">
        <v>20</v>
      </c>
      <c r="I31" s="346">
        <v>20</v>
      </c>
      <c r="J31" s="346">
        <v>20</v>
      </c>
      <c r="K31" s="409"/>
    </row>
    <row r="32" spans="1:11" s="72" customFormat="1" x14ac:dyDescent="0.3">
      <c r="A32" s="320"/>
      <c r="B32" t="s">
        <v>23</v>
      </c>
      <c r="C32"/>
      <c r="D32" s="346">
        <v>12</v>
      </c>
      <c r="E32" s="397">
        <f t="shared" si="0"/>
        <v>9</v>
      </c>
      <c r="F32" s="398">
        <f t="shared" si="1"/>
        <v>15.600000000000001</v>
      </c>
      <c r="H32" s="346">
        <v>12</v>
      </c>
      <c r="I32" s="346">
        <v>12</v>
      </c>
      <c r="J32" s="346">
        <v>12</v>
      </c>
      <c r="K32" s="409"/>
    </row>
    <row r="33" spans="1:11" s="72" customFormat="1" x14ac:dyDescent="0.3">
      <c r="A33" s="320"/>
      <c r="B33" s="37"/>
      <c r="C33"/>
      <c r="D33" s="189"/>
      <c r="H33" s="189"/>
      <c r="I33" s="189"/>
      <c r="J33" s="189"/>
      <c r="K33" s="406"/>
    </row>
    <row r="34" spans="1:11" x14ac:dyDescent="0.3">
      <c r="B34" s="20" t="s">
        <v>443</v>
      </c>
    </row>
    <row r="35" spans="1:11" x14ac:dyDescent="0.3">
      <c r="B35" t="s">
        <v>6</v>
      </c>
      <c r="D35" s="189">
        <v>0</v>
      </c>
      <c r="H35" s="189">
        <v>0</v>
      </c>
      <c r="I35" s="189">
        <v>0</v>
      </c>
      <c r="J35" s="189">
        <v>0</v>
      </c>
      <c r="K35" s="406"/>
    </row>
    <row r="36" spans="1:11" x14ac:dyDescent="0.3">
      <c r="B36" t="s">
        <v>7</v>
      </c>
      <c r="D36" s="189">
        <v>-0.02</v>
      </c>
      <c r="H36" s="189">
        <v>-0.02</v>
      </c>
      <c r="I36" s="189">
        <v>0</v>
      </c>
      <c r="J36" s="189">
        <v>-0.02</v>
      </c>
      <c r="K36" s="406"/>
    </row>
    <row r="37" spans="1:11" x14ac:dyDescent="0.3">
      <c r="B37" t="s">
        <v>24</v>
      </c>
      <c r="D37" s="189">
        <v>0</v>
      </c>
      <c r="H37" s="189">
        <v>0</v>
      </c>
      <c r="I37" s="189">
        <v>0</v>
      </c>
      <c r="J37" s="189">
        <v>0</v>
      </c>
      <c r="K37" s="406"/>
    </row>
    <row r="38" spans="1:11" x14ac:dyDescent="0.3">
      <c r="B38" t="s">
        <v>23</v>
      </c>
      <c r="D38" s="189">
        <v>0.15</v>
      </c>
      <c r="H38" s="189">
        <v>0.15</v>
      </c>
      <c r="I38" s="189">
        <v>0.15</v>
      </c>
      <c r="J38" s="189">
        <v>0.15</v>
      </c>
      <c r="K38" s="406"/>
    </row>
    <row r="39" spans="1:11" x14ac:dyDescent="0.3">
      <c r="B39" s="21" t="s">
        <v>70</v>
      </c>
      <c r="C39" s="21"/>
      <c r="D39" s="277">
        <v>0</v>
      </c>
      <c r="H39" s="277">
        <v>0</v>
      </c>
      <c r="I39" s="277">
        <v>0</v>
      </c>
      <c r="J39" s="277">
        <v>0</v>
      </c>
      <c r="K39" s="407"/>
    </row>
    <row r="40" spans="1:11" x14ac:dyDescent="0.3">
      <c r="A40"/>
      <c r="D40"/>
      <c r="H40"/>
      <c r="I40"/>
      <c r="J40"/>
    </row>
    <row r="41" spans="1:11" x14ac:dyDescent="0.3">
      <c r="B41" t="s">
        <v>161</v>
      </c>
      <c r="D41" s="1">
        <v>1.05</v>
      </c>
      <c r="H41" s="1">
        <v>1.05</v>
      </c>
      <c r="I41" s="1">
        <v>1.05</v>
      </c>
      <c r="J41" s="1">
        <v>1.05</v>
      </c>
    </row>
    <row r="42" spans="1:11" x14ac:dyDescent="0.3">
      <c r="B42" t="s">
        <v>162</v>
      </c>
      <c r="D42" s="1">
        <v>0.97</v>
      </c>
      <c r="H42" s="1">
        <v>0.97</v>
      </c>
      <c r="I42" s="1">
        <v>0.97</v>
      </c>
      <c r="J42" s="1">
        <v>0.97</v>
      </c>
    </row>
    <row r="43" spans="1:11" x14ac:dyDescent="0.3">
      <c r="B43" t="s">
        <v>163</v>
      </c>
      <c r="D43" s="1">
        <v>1</v>
      </c>
      <c r="H43" s="1">
        <v>1</v>
      </c>
      <c r="I43" s="1">
        <v>1</v>
      </c>
      <c r="J43" s="1">
        <v>1</v>
      </c>
    </row>
    <row r="44" spans="1:11" x14ac:dyDescent="0.3">
      <c r="B44" t="s">
        <v>164</v>
      </c>
      <c r="D44" s="1">
        <v>1</v>
      </c>
      <c r="H44" s="1">
        <v>1</v>
      </c>
      <c r="I44" s="1">
        <v>1</v>
      </c>
      <c r="J44" s="1">
        <v>1</v>
      </c>
    </row>
    <row r="45" spans="1:11" x14ac:dyDescent="0.3">
      <c r="B45" t="s">
        <v>165</v>
      </c>
      <c r="D45" s="385">
        <v>0.25</v>
      </c>
      <c r="F45" t="s">
        <v>167</v>
      </c>
      <c r="H45" s="385">
        <v>0.25</v>
      </c>
      <c r="I45" s="385">
        <v>0.9</v>
      </c>
      <c r="J45" s="385">
        <v>0.1</v>
      </c>
    </row>
    <row r="46" spans="1:11" x14ac:dyDescent="0.3">
      <c r="B46" t="s">
        <v>166</v>
      </c>
      <c r="D46" s="385">
        <v>0.25</v>
      </c>
      <c r="F46" t="s">
        <v>167</v>
      </c>
      <c r="H46" s="385">
        <v>0.25</v>
      </c>
      <c r="I46" s="385">
        <v>0.9</v>
      </c>
      <c r="J46" s="385">
        <v>0.1</v>
      </c>
    </row>
    <row r="48" spans="1:11" x14ac:dyDescent="0.3">
      <c r="B48" t="s">
        <v>441</v>
      </c>
      <c r="D48" s="347">
        <v>200000</v>
      </c>
      <c r="H48" s="347">
        <v>200000</v>
      </c>
      <c r="I48" s="347">
        <v>200000</v>
      </c>
      <c r="J48" s="347">
        <v>200000</v>
      </c>
      <c r="K48" s="410"/>
    </row>
    <row r="49" spans="2:11" x14ac:dyDescent="0.3">
      <c r="B49" t="s">
        <v>442</v>
      </c>
      <c r="D49" s="189">
        <v>0.03</v>
      </c>
      <c r="H49" s="189">
        <v>0.03</v>
      </c>
      <c r="I49" s="189">
        <v>0.03</v>
      </c>
      <c r="J49" s="189">
        <v>0.03</v>
      </c>
      <c r="K49" s="406"/>
    </row>
  </sheetData>
  <conditionalFormatting sqref="H26">
    <cfRule type="cellIs" dxfId="7" priority="23" operator="notEqual">
      <formula>1</formula>
    </cfRule>
    <cfRule type="cellIs" dxfId="6" priority="24" operator="equal">
      <formula>1</formula>
    </cfRule>
  </conditionalFormatting>
  <conditionalFormatting sqref="I26">
    <cfRule type="cellIs" dxfId="5" priority="21" operator="notEqual">
      <formula>1</formula>
    </cfRule>
    <cfRule type="cellIs" dxfId="4" priority="22" operator="equal">
      <formula>1</formula>
    </cfRule>
  </conditionalFormatting>
  <conditionalFormatting sqref="J26">
    <cfRule type="cellIs" dxfId="3" priority="19" operator="notEqual">
      <formula>1</formula>
    </cfRule>
    <cfRule type="cellIs" dxfId="2" priority="20" operator="equal">
      <formula>1</formula>
    </cfRule>
  </conditionalFormatting>
  <conditionalFormatting sqref="D26">
    <cfRule type="cellIs" dxfId="1" priority="1" operator="notEqual">
      <formula>1</formula>
    </cfRule>
    <cfRule type="cellIs" dxfId="0" priority="2" operator="equal">
      <formula>1</formula>
    </cfRule>
  </conditionalFormatting>
  <pageMargins left="0.7" right="0.7" top="0.75" bottom="0.75" header="0.3" footer="0.3"/>
  <pageSetup scale="37" orientation="portrait"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43"/>
  <sheetViews>
    <sheetView zoomScale="80" zoomScaleNormal="80" workbookViewId="0">
      <selection activeCell="E45" sqref="E45"/>
    </sheetView>
  </sheetViews>
  <sheetFormatPr defaultColWidth="9" defaultRowHeight="14.4" x14ac:dyDescent="0.3"/>
  <cols>
    <col min="1" max="1" width="17.109375" style="11" customWidth="1"/>
    <col min="2" max="2" width="21.44140625" style="11" bestFit="1" customWidth="1"/>
    <col min="3" max="3" width="7.44140625" style="11" bestFit="1" customWidth="1"/>
    <col min="4" max="4" width="11.109375" style="11" bestFit="1" customWidth="1"/>
    <col min="5" max="24" width="11.109375" style="11" customWidth="1"/>
    <col min="25" max="25" width="3" style="6" customWidth="1"/>
    <col min="26" max="28" width="11.109375" style="6" customWidth="1"/>
    <col min="29" max="29" width="10.44140625" style="6" customWidth="1"/>
    <col min="30" max="34" width="10.44140625" style="11" customWidth="1"/>
    <col min="35" max="16384" width="9" style="11"/>
  </cols>
  <sheetData>
    <row r="1" spans="1:34" s="6" customFormat="1" x14ac:dyDescent="0.3"/>
    <row r="2" spans="1:34" s="14" customFormat="1" x14ac:dyDescent="0.3">
      <c r="D2" s="15">
        <v>2017</v>
      </c>
      <c r="E2" s="15">
        <v>2018</v>
      </c>
      <c r="F2" s="15">
        <v>2019</v>
      </c>
      <c r="G2" s="15">
        <v>2020</v>
      </c>
      <c r="H2" s="15">
        <v>2021</v>
      </c>
      <c r="I2" s="15">
        <v>2022</v>
      </c>
      <c r="J2" s="15">
        <v>2023</v>
      </c>
      <c r="K2" s="15">
        <v>2024</v>
      </c>
      <c r="L2" s="15">
        <v>2025</v>
      </c>
      <c r="M2" s="15">
        <v>2026</v>
      </c>
      <c r="N2" s="15">
        <v>2027</v>
      </c>
      <c r="O2" s="15">
        <v>2028</v>
      </c>
      <c r="P2" s="15">
        <v>2029</v>
      </c>
      <c r="Q2" s="15">
        <v>2030</v>
      </c>
      <c r="R2" s="15">
        <v>2031</v>
      </c>
      <c r="S2" s="15">
        <v>2032</v>
      </c>
      <c r="T2" s="15">
        <v>2033</v>
      </c>
      <c r="U2" s="15">
        <v>2034</v>
      </c>
      <c r="V2" s="15">
        <v>2035</v>
      </c>
      <c r="W2" s="15">
        <v>2036</v>
      </c>
      <c r="X2" s="15">
        <v>2037</v>
      </c>
      <c r="Y2" s="15"/>
      <c r="Z2" s="15" t="s">
        <v>87</v>
      </c>
      <c r="AA2" s="15"/>
      <c r="AB2" s="15"/>
      <c r="AC2" s="15"/>
      <c r="AD2" s="15"/>
      <c r="AE2" s="15"/>
      <c r="AF2" s="15"/>
      <c r="AG2" s="15"/>
      <c r="AH2" s="15"/>
    </row>
    <row r="3" spans="1:34" s="14" customFormat="1" x14ac:dyDescent="0.3">
      <c r="A3" s="6" t="s">
        <v>77</v>
      </c>
      <c r="B3" s="11" t="s">
        <v>14</v>
      </c>
      <c r="C3" s="11" t="s">
        <v>1</v>
      </c>
      <c r="D3" s="5">
        <v>5415649.5630000001</v>
      </c>
      <c r="E3" s="46">
        <v>5525385.8839999996</v>
      </c>
      <c r="F3" s="46">
        <f>E3*(F7/E7)</f>
        <v>5507402.4787720162</v>
      </c>
      <c r="G3" s="46">
        <f>F3*(G7/F7)</f>
        <v>5478640.8637917303</v>
      </c>
      <c r="H3" s="46">
        <f t="shared" ref="H3:N3" si="0">G3*(H7/G7)</f>
        <v>5447546.1873072684</v>
      </c>
      <c r="I3" s="46">
        <f t="shared" si="0"/>
        <v>5430404.0906622382</v>
      </c>
      <c r="J3" s="46">
        <f t="shared" si="0"/>
        <v>5424998.3942818288</v>
      </c>
      <c r="K3" s="46">
        <f t="shared" si="0"/>
        <v>5418071.810921696</v>
      </c>
      <c r="L3" s="46">
        <f t="shared" si="0"/>
        <v>5409326.523895218</v>
      </c>
      <c r="M3" s="46">
        <f t="shared" si="0"/>
        <v>5398909.6084400676</v>
      </c>
      <c r="N3" s="46">
        <f t="shared" si="0"/>
        <v>5396715.1896089418</v>
      </c>
      <c r="O3" s="46">
        <f t="shared" ref="O3" si="1">N3*(O7/N7)</f>
        <v>5397658.3545843046</v>
      </c>
      <c r="P3" s="46">
        <f t="shared" ref="P3" si="2">O3*(P7/O7)</f>
        <v>5397376.8560711909</v>
      </c>
      <c r="Q3" s="46">
        <f t="shared" ref="Q3" si="3">P3*(Q7/P7)</f>
        <v>5393918.4961011168</v>
      </c>
      <c r="R3" s="46">
        <f t="shared" ref="R3" si="4">Q3*(R7/Q7)</f>
        <v>5392348.1298012389</v>
      </c>
      <c r="S3" s="46">
        <f t="shared" ref="S3" si="5">R3*(S7/R7)</f>
        <v>5391692.1262501311</v>
      </c>
      <c r="T3" s="46">
        <f t="shared" ref="T3" si="6">S3*(T7/S7)</f>
        <v>5393081.7406198541</v>
      </c>
      <c r="U3" s="46">
        <f t="shared" ref="U3" si="7">T3*(U7/T7)</f>
        <v>5395092.5424766857</v>
      </c>
      <c r="V3" s="46">
        <f t="shared" ref="V3" si="8">U3*(V7/U7)</f>
        <v>5402143.9933159249</v>
      </c>
      <c r="W3" s="46">
        <f t="shared" ref="W3" si="9">V3*(W7/V7)</f>
        <v>5408844.4207053697</v>
      </c>
      <c r="X3" s="46">
        <f t="shared" ref="X3" si="10">W3*(X7/W7)</f>
        <v>5415801.9983410137</v>
      </c>
      <c r="Y3" s="46"/>
      <c r="Z3" s="62">
        <f>(N3/D3)^(1/($N$2-$D$2))-1</f>
        <v>-3.5017459758179825E-4</v>
      </c>
      <c r="AA3" s="46"/>
      <c r="AB3" s="46"/>
      <c r="AC3" s="15"/>
      <c r="AD3" s="15"/>
      <c r="AE3" s="15"/>
      <c r="AF3" s="15"/>
      <c r="AG3" s="15"/>
      <c r="AH3" s="15"/>
    </row>
    <row r="4" spans="1:34" s="14" customFormat="1" x14ac:dyDescent="0.3">
      <c r="A4" s="8" t="s">
        <v>205</v>
      </c>
      <c r="B4" s="11" t="s">
        <v>14</v>
      </c>
      <c r="C4" s="11" t="s">
        <v>1</v>
      </c>
      <c r="D4" s="5">
        <f>D3</f>
        <v>5415649.5630000001</v>
      </c>
      <c r="E4" s="5">
        <f>E3</f>
        <v>5525385.8839999996</v>
      </c>
      <c r="F4" s="17">
        <f t="shared" ref="F4:X4" si="11">F3-SUM(F19:F20)</f>
        <v>5424266.9892474245</v>
      </c>
      <c r="G4" s="17">
        <f t="shared" si="11"/>
        <v>5360279.1125219902</v>
      </c>
      <c r="H4" s="17">
        <f t="shared" si="11"/>
        <v>5300178.2768041315</v>
      </c>
      <c r="I4" s="17">
        <f t="shared" si="11"/>
        <v>5264419.1695925863</v>
      </c>
      <c r="J4" s="17">
        <f t="shared" si="11"/>
        <v>5245956.5380328875</v>
      </c>
      <c r="K4" s="17">
        <f t="shared" si="11"/>
        <v>5234493.8780901218</v>
      </c>
      <c r="L4" s="17">
        <f t="shared" si="11"/>
        <v>5222382.8484531185</v>
      </c>
      <c r="M4" s="17">
        <f t="shared" si="11"/>
        <v>5210058.662964697</v>
      </c>
      <c r="N4" s="17">
        <f t="shared" si="11"/>
        <v>5204579.5431268541</v>
      </c>
      <c r="O4" s="17">
        <f t="shared" si="11"/>
        <v>5200617.1081022173</v>
      </c>
      <c r="P4" s="17">
        <f t="shared" si="11"/>
        <v>5397376.8560711909</v>
      </c>
      <c r="Q4" s="17">
        <f t="shared" si="11"/>
        <v>5393918.4961011168</v>
      </c>
      <c r="R4" s="17">
        <f t="shared" si="11"/>
        <v>5392348.1298012389</v>
      </c>
      <c r="S4" s="17">
        <f t="shared" si="11"/>
        <v>5391692.1262501311</v>
      </c>
      <c r="T4" s="17">
        <f t="shared" si="11"/>
        <v>5393081.7406198541</v>
      </c>
      <c r="U4" s="17">
        <f t="shared" si="11"/>
        <v>5395092.5424766857</v>
      </c>
      <c r="V4" s="17">
        <f t="shared" si="11"/>
        <v>5402143.9933159249</v>
      </c>
      <c r="W4" s="17">
        <f t="shared" si="11"/>
        <v>5408844.4207053697</v>
      </c>
      <c r="X4" s="17">
        <f t="shared" si="11"/>
        <v>5415801.9983410137</v>
      </c>
      <c r="Y4" s="15"/>
      <c r="Z4" s="62">
        <f>(N4/D4)^(1/($N$2-$D$2))-1</f>
        <v>-3.9674996043456146E-3</v>
      </c>
      <c r="AA4" s="15"/>
      <c r="AB4" s="15"/>
      <c r="AC4" s="15"/>
      <c r="AD4" s="15"/>
      <c r="AE4" s="15"/>
      <c r="AF4" s="15"/>
      <c r="AG4" s="15"/>
      <c r="AH4" s="15"/>
    </row>
    <row r="5" spans="1:34" x14ac:dyDescent="0.3">
      <c r="A5" s="173" t="s">
        <v>206</v>
      </c>
      <c r="B5" s="11" t="s">
        <v>14</v>
      </c>
      <c r="C5" s="11" t="s">
        <v>1</v>
      </c>
      <c r="D5" s="5">
        <f>D3</f>
        <v>5415649.5630000001</v>
      </c>
      <c r="E5" s="5">
        <f>E3</f>
        <v>5525385.8839999996</v>
      </c>
      <c r="F5" s="17">
        <f t="shared" ref="F5:X5" ca="1" si="12">F4+F27</f>
        <v>5458271.8038817961</v>
      </c>
      <c r="G5" s="17">
        <f t="shared" ca="1" si="12"/>
        <v>5410528.104681029</v>
      </c>
      <c r="H5" s="17">
        <f t="shared" ca="1" si="12"/>
        <v>5369213.0396047421</v>
      </c>
      <c r="I5" s="17">
        <f t="shared" ca="1" si="12"/>
        <v>5354759.4427371053</v>
      </c>
      <c r="J5" s="17">
        <f t="shared" ca="1" si="12"/>
        <v>5360200.9880254287</v>
      </c>
      <c r="K5" s="17">
        <f t="shared" ca="1" si="12"/>
        <v>5375325.5152443154</v>
      </c>
      <c r="L5" s="17">
        <f t="shared" ca="1" si="12"/>
        <v>5392542.9127376862</v>
      </c>
      <c r="M5" s="17">
        <f t="shared" ca="1" si="12"/>
        <v>5406912.7312659221</v>
      </c>
      <c r="N5" s="17">
        <f t="shared" ca="1" si="12"/>
        <v>5429544.2537619425</v>
      </c>
      <c r="O5" s="17">
        <f t="shared" ca="1" si="12"/>
        <v>5455279.1686504949</v>
      </c>
      <c r="P5" s="17">
        <f t="shared" si="12"/>
        <v>5397376.8560711909</v>
      </c>
      <c r="Q5" s="17">
        <f t="shared" si="12"/>
        <v>5393918.4961011168</v>
      </c>
      <c r="R5" s="17">
        <f t="shared" si="12"/>
        <v>5392348.1298012389</v>
      </c>
      <c r="S5" s="17">
        <f t="shared" si="12"/>
        <v>5391692.1262501311</v>
      </c>
      <c r="T5" s="17">
        <f t="shared" si="12"/>
        <v>5393081.7406198541</v>
      </c>
      <c r="U5" s="17">
        <f t="shared" si="12"/>
        <v>5395092.5424766857</v>
      </c>
      <c r="V5" s="17">
        <f t="shared" si="12"/>
        <v>5402143.9933159249</v>
      </c>
      <c r="W5" s="17">
        <f t="shared" si="12"/>
        <v>5408844.4207053697</v>
      </c>
      <c r="X5" s="17">
        <f t="shared" si="12"/>
        <v>5415801.9983410137</v>
      </c>
      <c r="Y5" s="50"/>
      <c r="Z5" s="62">
        <f ca="1">(N5/D5)^(1/($N$2-$D$2))-1</f>
        <v>2.562698079711101E-4</v>
      </c>
      <c r="AA5" s="50"/>
      <c r="AB5" s="50"/>
      <c r="AD5" s="13"/>
    </row>
    <row r="6" spans="1:34" s="14" customFormat="1" x14ac:dyDescent="0.3">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row>
    <row r="7" spans="1:34" s="6" customFormat="1" x14ac:dyDescent="0.3">
      <c r="A7" s="577" t="s">
        <v>30</v>
      </c>
      <c r="B7" s="53" t="s">
        <v>9</v>
      </c>
      <c r="C7" s="53" t="s">
        <v>1</v>
      </c>
      <c r="D7" s="54">
        <v>5976193.1500000004</v>
      </c>
      <c r="E7" s="54">
        <v>5972607.8632886168</v>
      </c>
      <c r="F7" s="54">
        <v>5953168.8902054187</v>
      </c>
      <c r="G7" s="54">
        <v>5922079.3244450307</v>
      </c>
      <c r="H7" s="54">
        <v>5888467.8603452472</v>
      </c>
      <c r="I7" s="54">
        <v>5869938.2909423504</v>
      </c>
      <c r="J7" s="54">
        <v>5864095.0601914134</v>
      </c>
      <c r="K7" s="54">
        <v>5856607.8426267095</v>
      </c>
      <c r="L7" s="54">
        <v>5847154.7164274501</v>
      </c>
      <c r="M7" s="54">
        <v>5835894.6610277351</v>
      </c>
      <c r="N7" s="54">
        <v>5833522.6270302394</v>
      </c>
      <c r="O7" s="54">
        <v>5834542.1313085817</v>
      </c>
      <c r="P7" s="54">
        <v>5834237.8484461317</v>
      </c>
      <c r="Q7" s="54">
        <v>5830499.5705439206</v>
      </c>
      <c r="R7" s="54">
        <v>5828802.0995784895</v>
      </c>
      <c r="S7" s="54">
        <v>5828092.9994269442</v>
      </c>
      <c r="T7" s="54">
        <v>5829595.0884910906</v>
      </c>
      <c r="U7" s="54">
        <v>5831768.6436479185</v>
      </c>
      <c r="V7" s="54">
        <v>5839390.8354032468</v>
      </c>
      <c r="W7" s="54">
        <v>5846633.5920457244</v>
      </c>
      <c r="X7" s="54">
        <v>5854154.3125471501</v>
      </c>
      <c r="Y7" s="7"/>
      <c r="Z7" s="62">
        <f>(N7/D7)^(1/($N$2-$D$2))-1</f>
        <v>-2.4133557806603756E-3</v>
      </c>
      <c r="AA7" s="7"/>
      <c r="AB7" s="7"/>
      <c r="AC7" s="7"/>
      <c r="AD7" s="7"/>
      <c r="AE7" s="7"/>
      <c r="AF7" s="7"/>
      <c r="AG7" s="7"/>
      <c r="AH7" s="7"/>
    </row>
    <row r="8" spans="1:34" s="6" customFormat="1" x14ac:dyDescent="0.3">
      <c r="A8" s="577"/>
      <c r="B8" s="55" t="s">
        <v>10</v>
      </c>
      <c r="C8" s="53" t="s">
        <v>1</v>
      </c>
      <c r="D8" s="54">
        <v>5940924.7199999997</v>
      </c>
      <c r="E8" s="54">
        <v>5882356.82277558</v>
      </c>
      <c r="F8" s="54">
        <v>5813373.7206808273</v>
      </c>
      <c r="G8" s="54">
        <v>5747057.8931752909</v>
      </c>
      <c r="H8" s="54">
        <v>5684440.2698421106</v>
      </c>
      <c r="I8" s="54">
        <v>5647293.6898726989</v>
      </c>
      <c r="J8" s="54">
        <v>5628393.5239424724</v>
      </c>
      <c r="K8" s="54">
        <v>5616370.2297951356</v>
      </c>
      <c r="L8" s="54">
        <v>5603551.3609853508</v>
      </c>
      <c r="M8" s="54">
        <v>5590384.0355523648</v>
      </c>
      <c r="N8" s="54">
        <v>5584727.3005481521</v>
      </c>
      <c r="O8" s="54">
        <v>5583718.1301138587</v>
      </c>
      <c r="P8" s="54">
        <v>5580437.8693477232</v>
      </c>
      <c r="Q8" s="54">
        <v>5574950.0788583346</v>
      </c>
      <c r="R8" s="54">
        <v>5570017.3357370337</v>
      </c>
      <c r="S8" s="54">
        <v>5566084.1851993799</v>
      </c>
      <c r="T8" s="54">
        <v>5563264.0254061995</v>
      </c>
      <c r="U8" s="54">
        <v>5561390.1610098323</v>
      </c>
      <c r="V8" s="54">
        <v>5564747.8334491597</v>
      </c>
      <c r="W8" s="54">
        <v>5568231.1189391566</v>
      </c>
      <c r="X8" s="54">
        <v>5572128.600946594</v>
      </c>
      <c r="Y8" s="7"/>
      <c r="Z8" s="62">
        <f>(N8/D8)^(1/($N$2-$D$2))-1</f>
        <v>-6.1638444685303551E-3</v>
      </c>
      <c r="AA8" s="7"/>
      <c r="AB8" s="7"/>
      <c r="AC8" s="7"/>
      <c r="AD8" s="7"/>
      <c r="AE8" s="7"/>
      <c r="AF8" s="7"/>
      <c r="AG8" s="7"/>
      <c r="AH8" s="7"/>
    </row>
    <row r="9" spans="1:34" s="6" customFormat="1" x14ac:dyDescent="0.3">
      <c r="A9" s="577"/>
      <c r="B9" s="55" t="s">
        <v>11</v>
      </c>
      <c r="C9" s="53" t="s">
        <v>1</v>
      </c>
      <c r="D9" s="54">
        <v>5940924.7199999997</v>
      </c>
      <c r="E9" s="54">
        <v>5890040.6327797519</v>
      </c>
      <c r="F9" s="54">
        <v>5828665.9950619834</v>
      </c>
      <c r="G9" s="54">
        <v>5769936.5539892949</v>
      </c>
      <c r="H9" s="54">
        <v>5714902.6276355116</v>
      </c>
      <c r="I9" s="54">
        <v>5685406.0671922695</v>
      </c>
      <c r="J9" s="54">
        <v>5674223.11703692</v>
      </c>
      <c r="K9" s="54">
        <v>5669978.555364063</v>
      </c>
      <c r="L9" s="54">
        <v>5664937.4168228582</v>
      </c>
      <c r="M9" s="54">
        <v>5659515.776295417</v>
      </c>
      <c r="N9" s="54">
        <v>5661591.8646354573</v>
      </c>
      <c r="O9" s="54">
        <v>5668325.4488144349</v>
      </c>
      <c r="P9" s="54">
        <v>5672793.8505126592</v>
      </c>
      <c r="Q9" s="54">
        <v>5675135.2839675331</v>
      </c>
      <c r="R9" s="54">
        <v>5678147.6331867976</v>
      </c>
      <c r="S9" s="54">
        <v>5682326.3955147741</v>
      </c>
      <c r="T9" s="54">
        <v>5687745.3110790392</v>
      </c>
      <c r="U9" s="54">
        <v>5694217.5734186796</v>
      </c>
      <c r="V9" s="54">
        <v>5705998.9470279636</v>
      </c>
      <c r="W9" s="54">
        <v>5717961.4643361177</v>
      </c>
      <c r="X9" s="54">
        <v>5730364.0423769318</v>
      </c>
      <c r="Y9" s="7"/>
      <c r="Z9" s="62">
        <f>(N9/D9)^(1/($N$2-$D$2))-1</f>
        <v>-4.8043915305077123E-3</v>
      </c>
      <c r="AA9" s="7"/>
      <c r="AB9" s="7"/>
      <c r="AC9" s="7"/>
      <c r="AD9" s="7"/>
      <c r="AE9" s="7"/>
      <c r="AF9" s="7"/>
      <c r="AG9" s="7"/>
      <c r="AH9" s="7"/>
    </row>
    <row r="10" spans="1:34" s="6" customFormat="1" x14ac:dyDescent="0.3">
      <c r="A10" s="577"/>
      <c r="B10" s="55" t="s">
        <v>482</v>
      </c>
      <c r="C10" s="53" t="s">
        <v>1</v>
      </c>
      <c r="D10" s="54">
        <v>5942187.9100000001</v>
      </c>
      <c r="E10" s="54">
        <v>5893235.5115772989</v>
      </c>
      <c r="F10" s="54">
        <v>5834094.2036533561</v>
      </c>
      <c r="G10" s="54">
        <v>5778236.9204900907</v>
      </c>
      <c r="H10" s="54">
        <v>5726889.5751900962</v>
      </c>
      <c r="I10" s="54">
        <v>5702134.7314954363</v>
      </c>
      <c r="J10" s="54">
        <v>5697104.910002863</v>
      </c>
      <c r="K10" s="54">
        <v>5700860.3121116702</v>
      </c>
      <c r="L10" s="54">
        <v>5705723.0527257966</v>
      </c>
      <c r="M10" s="54">
        <v>5712528.3140879171</v>
      </c>
      <c r="N10" s="54">
        <v>5729696.0621853191</v>
      </c>
      <c r="O10" s="54">
        <v>5755533.5280388277</v>
      </c>
      <c r="P10" s="54">
        <v>5784187.9151328094</v>
      </c>
      <c r="Q10" s="54">
        <v>5813459.4803474797</v>
      </c>
      <c r="R10" s="54">
        <v>5846166.9872066574</v>
      </c>
      <c r="S10" s="54">
        <v>5882747.0404148996</v>
      </c>
      <c r="T10" s="54">
        <v>5926660.5845539849</v>
      </c>
      <c r="U10" s="54">
        <v>5978851.1864445936</v>
      </c>
      <c r="V10" s="54">
        <v>6033105.2547747092</v>
      </c>
      <c r="W10" s="54">
        <v>6082611.1248146221</v>
      </c>
      <c r="X10" s="54">
        <v>6124403.8832890913</v>
      </c>
      <c r="Y10" s="7"/>
      <c r="Z10" s="62">
        <f>(N10/D10)^(1/($N$2-$D$2))-1</f>
        <v>-3.6348692608161315E-3</v>
      </c>
      <c r="AA10" s="7"/>
      <c r="AB10" s="7"/>
      <c r="AC10" s="7"/>
      <c r="AD10" s="7"/>
      <c r="AE10" s="7"/>
      <c r="AF10" s="7"/>
      <c r="AG10" s="7"/>
      <c r="AH10" s="7"/>
    </row>
    <row r="11" spans="1:34" s="9" customFormat="1" x14ac:dyDescent="0.3">
      <c r="A11" s="577"/>
      <c r="B11" s="53"/>
      <c r="C11" s="53"/>
      <c r="D11" s="53"/>
      <c r="E11" s="53"/>
      <c r="F11" s="53"/>
      <c r="G11" s="53"/>
      <c r="H11" s="53"/>
      <c r="I11" s="53"/>
      <c r="J11" s="53"/>
      <c r="K11" s="53"/>
      <c r="L11" s="53"/>
      <c r="M11" s="53"/>
      <c r="N11" s="53"/>
      <c r="O11" s="53"/>
      <c r="P11" s="53"/>
      <c r="Q11" s="53"/>
      <c r="R11" s="53"/>
      <c r="S11" s="53"/>
      <c r="T11" s="53"/>
      <c r="U11" s="53"/>
      <c r="V11" s="53"/>
      <c r="W11" s="53"/>
      <c r="X11" s="53"/>
      <c r="Y11" s="10"/>
      <c r="Z11" s="10"/>
      <c r="AA11" s="10"/>
      <c r="AB11" s="10"/>
      <c r="AC11" s="10"/>
      <c r="AD11" s="10"/>
    </row>
    <row r="12" spans="1:34" x14ac:dyDescent="0.3">
      <c r="A12" s="577"/>
      <c r="B12" s="56"/>
      <c r="C12" s="56"/>
      <c r="D12" s="56"/>
      <c r="E12" s="56"/>
      <c r="F12" s="56"/>
      <c r="G12" s="56"/>
      <c r="H12" s="56"/>
      <c r="I12" s="56"/>
      <c r="J12" s="56"/>
      <c r="K12" s="56"/>
      <c r="L12" s="56"/>
      <c r="M12" s="56"/>
      <c r="N12" s="56"/>
      <c r="O12" s="56"/>
      <c r="P12" s="56"/>
      <c r="Q12" s="56"/>
      <c r="R12" s="56"/>
      <c r="S12" s="56"/>
      <c r="T12" s="56"/>
      <c r="U12" s="56"/>
      <c r="V12" s="56"/>
      <c r="W12" s="56"/>
      <c r="X12" s="56"/>
      <c r="Y12" s="10"/>
      <c r="Z12" s="10"/>
      <c r="AA12" s="10"/>
      <c r="AB12" s="10"/>
      <c r="AC12" s="10"/>
      <c r="AD12" s="12"/>
    </row>
    <row r="13" spans="1:34" x14ac:dyDescent="0.3">
      <c r="A13" s="577"/>
      <c r="B13" s="53" t="s">
        <v>12</v>
      </c>
      <c r="C13" s="53" t="s">
        <v>1</v>
      </c>
      <c r="D13" s="57">
        <f>D7-D8</f>
        <v>35268.430000000633</v>
      </c>
      <c r="E13" s="57">
        <f>E7-E8</f>
        <v>90251.040513036773</v>
      </c>
      <c r="F13" s="57">
        <f t="shared" ref="F13:N13" si="13">F7-F8</f>
        <v>139795.16952459142</v>
      </c>
      <c r="G13" s="57">
        <f t="shared" si="13"/>
        <v>175021.43126973975</v>
      </c>
      <c r="H13" s="57">
        <f t="shared" si="13"/>
        <v>204027.59050313663</v>
      </c>
      <c r="I13" s="57">
        <f t="shared" si="13"/>
        <v>222644.60106965154</v>
      </c>
      <c r="J13" s="57">
        <f t="shared" si="13"/>
        <v>235701.53624894097</v>
      </c>
      <c r="K13" s="57">
        <f t="shared" si="13"/>
        <v>240237.61283157393</v>
      </c>
      <c r="L13" s="57">
        <f t="shared" si="13"/>
        <v>243603.35544209927</v>
      </c>
      <c r="M13" s="57">
        <f t="shared" si="13"/>
        <v>245510.62547537033</v>
      </c>
      <c r="N13" s="57">
        <f t="shared" si="13"/>
        <v>248795.32648208737</v>
      </c>
      <c r="O13" s="57">
        <f t="shared" ref="O13:X13" si="14">O7-O8</f>
        <v>250824.00119472295</v>
      </c>
      <c r="P13" s="57">
        <f t="shared" si="14"/>
        <v>253799.97909840848</v>
      </c>
      <c r="Q13" s="57">
        <f t="shared" si="14"/>
        <v>255549.49168558605</v>
      </c>
      <c r="R13" s="57">
        <f t="shared" si="14"/>
        <v>258784.7638414558</v>
      </c>
      <c r="S13" s="57">
        <f t="shared" si="14"/>
        <v>262008.81422756426</v>
      </c>
      <c r="T13" s="57">
        <f t="shared" si="14"/>
        <v>266331.06308489107</v>
      </c>
      <c r="U13" s="57">
        <f t="shared" si="14"/>
        <v>270378.48263808619</v>
      </c>
      <c r="V13" s="57">
        <f t="shared" si="14"/>
        <v>274643.00195408706</v>
      </c>
      <c r="W13" s="57">
        <f t="shared" si="14"/>
        <v>278402.47310656775</v>
      </c>
      <c r="X13" s="57">
        <f t="shared" si="14"/>
        <v>282025.71160055604</v>
      </c>
      <c r="Y13" s="10"/>
      <c r="Z13" s="10"/>
      <c r="AA13" s="10"/>
      <c r="AB13" s="10"/>
      <c r="AC13" s="10"/>
      <c r="AD13" s="12"/>
    </row>
    <row r="14" spans="1:34" x14ac:dyDescent="0.3">
      <c r="A14" s="577"/>
      <c r="B14" s="53" t="s">
        <v>13</v>
      </c>
      <c r="C14" s="53" t="s">
        <v>1</v>
      </c>
      <c r="D14" s="57">
        <f>D9-D8</f>
        <v>0</v>
      </c>
      <c r="E14" s="57">
        <f t="shared" ref="E14:N14" si="15">E9-E8</f>
        <v>7683.8100041719154</v>
      </c>
      <c r="F14" s="57">
        <f>F9-F8</f>
        <v>15292.274381156079</v>
      </c>
      <c r="G14" s="57">
        <f t="shared" si="15"/>
        <v>22878.660814004019</v>
      </c>
      <c r="H14" s="57">
        <f t="shared" si="15"/>
        <v>30462.357793400995</v>
      </c>
      <c r="I14" s="57">
        <f t="shared" si="15"/>
        <v>38112.377319570631</v>
      </c>
      <c r="J14" s="57">
        <f t="shared" si="15"/>
        <v>45829.593094447628</v>
      </c>
      <c r="K14" s="57">
        <f t="shared" si="15"/>
        <v>53608.325568927452</v>
      </c>
      <c r="L14" s="57">
        <f t="shared" si="15"/>
        <v>61386.05583750736</v>
      </c>
      <c r="M14" s="57">
        <f t="shared" si="15"/>
        <v>69131.740743052214</v>
      </c>
      <c r="N14" s="57">
        <f t="shared" si="15"/>
        <v>76864.564087305218</v>
      </c>
      <c r="O14" s="57">
        <f t="shared" ref="O14:X14" si="16">O9-O8</f>
        <v>84607.318700576201</v>
      </c>
      <c r="P14" s="57">
        <f t="shared" si="16"/>
        <v>92355.981164935976</v>
      </c>
      <c r="Q14" s="57">
        <f t="shared" si="16"/>
        <v>100185.20510919858</v>
      </c>
      <c r="R14" s="57">
        <f t="shared" si="16"/>
        <v>108130.29744976386</v>
      </c>
      <c r="S14" s="57">
        <f t="shared" si="16"/>
        <v>116242.21031539422</v>
      </c>
      <c r="T14" s="57">
        <f t="shared" si="16"/>
        <v>124481.28567283973</v>
      </c>
      <c r="U14" s="57">
        <f t="shared" si="16"/>
        <v>132827.41240884736</v>
      </c>
      <c r="V14" s="57">
        <f t="shared" si="16"/>
        <v>141251.11357880384</v>
      </c>
      <c r="W14" s="57">
        <f t="shared" si="16"/>
        <v>149730.34539696109</v>
      </c>
      <c r="X14" s="57">
        <f t="shared" si="16"/>
        <v>158235.44143033773</v>
      </c>
      <c r="Y14" s="10"/>
      <c r="Z14" s="10"/>
      <c r="AA14" s="10"/>
      <c r="AB14" s="10"/>
      <c r="AC14" s="10"/>
      <c r="AD14" s="12"/>
    </row>
    <row r="15" spans="1:34" x14ac:dyDescent="0.3">
      <c r="A15" s="577"/>
      <c r="B15" s="53" t="s">
        <v>483</v>
      </c>
      <c r="C15" s="53" t="s">
        <v>1</v>
      </c>
      <c r="D15" s="57">
        <f>D10-D9</f>
        <v>1263.1900000004098</v>
      </c>
      <c r="E15" s="57">
        <f t="shared" ref="E15:N15" si="17">E10-E9</f>
        <v>3194.8787975469604</v>
      </c>
      <c r="F15" s="57">
        <f t="shared" si="17"/>
        <v>5428.208591372706</v>
      </c>
      <c r="G15" s="57">
        <f t="shared" si="17"/>
        <v>8300.3665007958189</v>
      </c>
      <c r="H15" s="57">
        <f t="shared" si="17"/>
        <v>11986.947554584593</v>
      </c>
      <c r="I15" s="57">
        <f t="shared" si="17"/>
        <v>16728.664303166792</v>
      </c>
      <c r="J15" s="57">
        <f t="shared" si="17"/>
        <v>22881.792965942994</v>
      </c>
      <c r="K15" s="57">
        <f t="shared" si="17"/>
        <v>30881.756747607142</v>
      </c>
      <c r="L15" s="57">
        <f t="shared" si="17"/>
        <v>40785.635902938433</v>
      </c>
      <c r="M15" s="57">
        <f t="shared" si="17"/>
        <v>53012.537792500108</v>
      </c>
      <c r="N15" s="57">
        <f t="shared" si="17"/>
        <v>68104.197549861856</v>
      </c>
      <c r="O15" s="57">
        <f t="shared" ref="O15:X15" si="18">O10-O9</f>
        <v>87208.079224392772</v>
      </c>
      <c r="P15" s="57">
        <f t="shared" si="18"/>
        <v>111394.06462015025</v>
      </c>
      <c r="Q15" s="57">
        <f t="shared" si="18"/>
        <v>138324.19637994654</v>
      </c>
      <c r="R15" s="57">
        <f t="shared" si="18"/>
        <v>168019.35401985981</v>
      </c>
      <c r="S15" s="57">
        <f t="shared" si="18"/>
        <v>200420.64490012545</v>
      </c>
      <c r="T15" s="57">
        <f t="shared" si="18"/>
        <v>238915.27347494569</v>
      </c>
      <c r="U15" s="57">
        <f t="shared" si="18"/>
        <v>284633.61302591395</v>
      </c>
      <c r="V15" s="57">
        <f t="shared" si="18"/>
        <v>327106.30774674565</v>
      </c>
      <c r="W15" s="57">
        <f t="shared" si="18"/>
        <v>364649.66047850437</v>
      </c>
      <c r="X15" s="57">
        <f t="shared" si="18"/>
        <v>394039.84091215953</v>
      </c>
      <c r="Y15" s="10"/>
      <c r="Z15" s="10"/>
      <c r="AA15" s="10"/>
      <c r="AB15" s="10"/>
      <c r="AC15" s="10"/>
      <c r="AD15" s="12"/>
    </row>
    <row r="16" spans="1:34" x14ac:dyDescent="0.3">
      <c r="E16" s="24"/>
      <c r="F16" s="24"/>
      <c r="G16" s="24"/>
      <c r="H16" s="24"/>
      <c r="I16" s="24"/>
      <c r="J16" s="24"/>
      <c r="K16" s="24"/>
      <c r="L16" s="24"/>
      <c r="M16" s="24"/>
      <c r="N16" s="24"/>
      <c r="O16" s="24"/>
      <c r="P16" s="24"/>
      <c r="Q16" s="24"/>
      <c r="R16" s="24"/>
      <c r="S16" s="24"/>
      <c r="T16" s="24"/>
      <c r="U16" s="24"/>
      <c r="V16" s="24"/>
      <c r="W16" s="24"/>
      <c r="X16" s="24"/>
      <c r="Y16" s="51"/>
      <c r="Z16" s="51"/>
      <c r="AA16" s="51"/>
      <c r="AB16" s="51"/>
      <c r="AD16" s="13"/>
    </row>
    <row r="17" spans="1:30" x14ac:dyDescent="0.3">
      <c r="A17" s="421"/>
      <c r="B17" s="11" t="s">
        <v>436</v>
      </c>
      <c r="D17" s="16">
        <f>D39*0.14*8760</f>
        <v>95201.752800000002</v>
      </c>
      <c r="E17" s="16">
        <f t="shared" ref="E17:M17" si="19">E39*0.14*8760</f>
        <v>95201.752800000002</v>
      </c>
      <c r="F17" s="16">
        <f t="shared" si="19"/>
        <v>95201.752800000002</v>
      </c>
      <c r="G17" s="16">
        <f t="shared" si="19"/>
        <v>95201.752800000002</v>
      </c>
      <c r="H17" s="16">
        <f t="shared" si="19"/>
        <v>95201.752800000002</v>
      </c>
      <c r="I17" s="16">
        <f t="shared" si="19"/>
        <v>95201.752800000002</v>
      </c>
      <c r="J17" s="16">
        <f t="shared" si="19"/>
        <v>95201.752800000002</v>
      </c>
      <c r="K17" s="16">
        <f t="shared" si="19"/>
        <v>95201.752800000002</v>
      </c>
      <c r="L17" s="16">
        <f t="shared" si="19"/>
        <v>95201.752800000002</v>
      </c>
      <c r="M17" s="16">
        <f t="shared" si="19"/>
        <v>95201.752800000002</v>
      </c>
      <c r="N17" s="16">
        <f>N39*0.14*8760</f>
        <v>95201.752800000002</v>
      </c>
      <c r="O17" s="16">
        <f t="shared" ref="O17" si="20">O39*0.14*8760</f>
        <v>95201.752800000002</v>
      </c>
      <c r="P17" s="16"/>
      <c r="Q17" s="16"/>
      <c r="R17" s="16"/>
      <c r="S17" s="16"/>
      <c r="T17" s="16"/>
      <c r="U17" s="16"/>
      <c r="V17" s="16"/>
      <c r="W17" s="16"/>
      <c r="X17" s="16"/>
      <c r="Y17" s="51"/>
      <c r="Z17" s="51"/>
      <c r="AA17" s="51"/>
      <c r="AB17" s="51"/>
      <c r="AD17" s="13"/>
    </row>
    <row r="18" spans="1:30" x14ac:dyDescent="0.3">
      <c r="A18" s="421"/>
      <c r="B18" s="11" t="s">
        <v>437</v>
      </c>
      <c r="C18" s="11" t="s">
        <v>1</v>
      </c>
      <c r="D18" s="16">
        <f>D40*0.14*8760</f>
        <v>90229.927200000006</v>
      </c>
      <c r="E18" s="16">
        <f t="shared" ref="E18:M18" si="21">E40*0.14*8760</f>
        <v>90229.927200000006</v>
      </c>
      <c r="F18" s="16">
        <f t="shared" si="21"/>
        <v>90229.927200000006</v>
      </c>
      <c r="G18" s="16">
        <f t="shared" si="21"/>
        <v>90229.927200000006</v>
      </c>
      <c r="H18" s="16">
        <f t="shared" si="21"/>
        <v>90229.927200000006</v>
      </c>
      <c r="I18" s="16">
        <f t="shared" si="21"/>
        <v>90229.927200000006</v>
      </c>
      <c r="J18" s="16">
        <f t="shared" si="21"/>
        <v>90229.927200000006</v>
      </c>
      <c r="K18" s="16">
        <f t="shared" si="21"/>
        <v>90229.927200000006</v>
      </c>
      <c r="L18" s="16">
        <f t="shared" si="21"/>
        <v>90229.927200000006</v>
      </c>
      <c r="M18" s="16">
        <f t="shared" si="21"/>
        <v>90229.927200000006</v>
      </c>
      <c r="N18" s="16">
        <f>N40*0.14*8760</f>
        <v>90229.927200000006</v>
      </c>
      <c r="O18" s="16">
        <f t="shared" ref="O18" si="22">O40*0.14*8760</f>
        <v>90229.927200000006</v>
      </c>
      <c r="P18" s="16"/>
      <c r="Q18" s="16"/>
      <c r="R18" s="16"/>
      <c r="S18" s="16"/>
      <c r="T18" s="16"/>
      <c r="U18" s="16"/>
      <c r="V18" s="16"/>
      <c r="W18" s="16"/>
      <c r="X18" s="16"/>
      <c r="Y18" s="48"/>
      <c r="Z18" s="48"/>
      <c r="AA18" s="48"/>
      <c r="AB18" s="48"/>
      <c r="AD18" s="13"/>
    </row>
    <row r="19" spans="1:30" x14ac:dyDescent="0.3">
      <c r="A19" s="421"/>
      <c r="B19" s="53" t="s">
        <v>435</v>
      </c>
      <c r="C19" s="11" t="s">
        <v>1</v>
      </c>
      <c r="D19" s="16">
        <f>D41*0.14*8760</f>
        <v>12018.720000000003</v>
      </c>
      <c r="E19" s="16">
        <f t="shared" ref="E19:M19" si="23">E41*0.14*8760</f>
        <v>24282.720000000001</v>
      </c>
      <c r="F19" s="16">
        <f t="shared" si="23"/>
        <v>24282.720000000001</v>
      </c>
      <c r="G19" s="16">
        <f t="shared" si="23"/>
        <v>24282.720000000001</v>
      </c>
      <c r="H19" s="16">
        <f t="shared" si="23"/>
        <v>24282.720000000001</v>
      </c>
      <c r="I19" s="16">
        <f t="shared" si="23"/>
        <v>24282.720000000001</v>
      </c>
      <c r="J19" s="16">
        <f t="shared" si="23"/>
        <v>24282.720000000001</v>
      </c>
      <c r="K19" s="16">
        <f t="shared" si="23"/>
        <v>24282.720000000001</v>
      </c>
      <c r="L19" s="16">
        <f t="shared" si="23"/>
        <v>24282.720000000001</v>
      </c>
      <c r="M19" s="16">
        <f t="shared" si="23"/>
        <v>24282.720000000001</v>
      </c>
      <c r="N19" s="16">
        <f>N41*0.14*8760</f>
        <v>24282.720000000001</v>
      </c>
      <c r="O19" s="16">
        <f>O41*0.14*8760</f>
        <v>24282.720000000001</v>
      </c>
      <c r="P19" s="16"/>
      <c r="Q19" s="16"/>
      <c r="R19" s="16"/>
      <c r="S19" s="16"/>
      <c r="T19" s="16"/>
      <c r="U19" s="16"/>
      <c r="V19" s="16"/>
      <c r="W19" s="16"/>
      <c r="X19" s="16"/>
      <c r="Y19" s="48"/>
      <c r="Z19" s="48"/>
      <c r="AA19" s="48"/>
      <c r="AB19" s="48"/>
      <c r="AD19" s="13"/>
    </row>
    <row r="20" spans="1:30" x14ac:dyDescent="0.3">
      <c r="A20" s="422" t="str">
        <f>NM_escalation</f>
        <v>VELCO</v>
      </c>
      <c r="B20" s="339" t="s">
        <v>752</v>
      </c>
      <c r="C20" s="42" t="s">
        <v>1</v>
      </c>
      <c r="D20" s="43"/>
      <c r="E20" s="43">
        <f>'Tier II'!D7</f>
        <v>0</v>
      </c>
      <c r="F20" s="43">
        <f>'Tier II'!E7</f>
        <v>58852.769524591407</v>
      </c>
      <c r="G20" s="43">
        <f>'Tier II'!F7</f>
        <v>94079.03126973976</v>
      </c>
      <c r="H20" s="43">
        <f>'Tier II'!G7</f>
        <v>123085.19050313662</v>
      </c>
      <c r="I20" s="43">
        <f>'Tier II'!H7</f>
        <v>141702.20106965155</v>
      </c>
      <c r="J20" s="43">
        <f>'Tier II'!I7</f>
        <v>154759.13624894095</v>
      </c>
      <c r="K20" s="43">
        <f>'Tier II'!J7</f>
        <v>159295.21283157391</v>
      </c>
      <c r="L20" s="43">
        <f>'Tier II'!K7</f>
        <v>162660.95544209925</v>
      </c>
      <c r="M20" s="43">
        <f>'Tier II'!L7</f>
        <v>164568.2254753703</v>
      </c>
      <c r="N20" s="43">
        <f>'Tier II'!M7</f>
        <v>167852.92648208735</v>
      </c>
      <c r="O20" s="43">
        <f>'Tier II'!N7</f>
        <v>172758.52648208739</v>
      </c>
      <c r="P20" s="44"/>
      <c r="Q20" s="44"/>
      <c r="R20" s="44"/>
      <c r="S20" s="44"/>
      <c r="T20" s="44"/>
      <c r="U20" s="44"/>
      <c r="V20" s="44"/>
      <c r="W20" s="44"/>
      <c r="X20" s="44"/>
      <c r="Y20" s="48"/>
      <c r="Z20" s="62" t="e">
        <f>(N20/E20)^(1/($N$2-$E$2))-1</f>
        <v>#DIV/0!</v>
      </c>
      <c r="AA20" s="48"/>
      <c r="AB20" s="48"/>
    </row>
    <row r="21" spans="1:30" x14ac:dyDescent="0.3">
      <c r="B21" s="11" t="s">
        <v>73</v>
      </c>
      <c r="C21" s="11" t="s">
        <v>1</v>
      </c>
      <c r="D21" s="16">
        <f t="shared" ref="D21:O21" si="24">SUM(D17:D20)</f>
        <v>197450.4</v>
      </c>
      <c r="E21" s="16">
        <f t="shared" si="24"/>
        <v>209714.4</v>
      </c>
      <c r="F21" s="16">
        <f t="shared" si="24"/>
        <v>268567.16952459142</v>
      </c>
      <c r="G21" s="16">
        <f t="shared" si="24"/>
        <v>303793.43126973975</v>
      </c>
      <c r="H21" s="16">
        <f t="shared" si="24"/>
        <v>332799.59050313663</v>
      </c>
      <c r="I21" s="16">
        <f t="shared" si="24"/>
        <v>351416.60106965154</v>
      </c>
      <c r="J21" s="16">
        <f t="shared" si="24"/>
        <v>364473.53624894097</v>
      </c>
      <c r="K21" s="16">
        <f t="shared" si="24"/>
        <v>369009.61283157393</v>
      </c>
      <c r="L21" s="16">
        <f t="shared" si="24"/>
        <v>372375.35544209927</v>
      </c>
      <c r="M21" s="16">
        <f t="shared" si="24"/>
        <v>374282.62547537033</v>
      </c>
      <c r="N21" s="16">
        <f t="shared" si="24"/>
        <v>377567.32648208737</v>
      </c>
      <c r="O21" s="16">
        <f t="shared" si="24"/>
        <v>382472.92648208735</v>
      </c>
      <c r="P21" s="16"/>
      <c r="Q21" s="16"/>
      <c r="R21" s="16"/>
      <c r="S21" s="16"/>
      <c r="T21" s="16"/>
      <c r="U21" s="16"/>
      <c r="V21" s="16"/>
      <c r="W21" s="16"/>
      <c r="X21" s="16"/>
      <c r="Y21" s="48"/>
      <c r="Z21" s="48"/>
      <c r="AA21" s="48"/>
      <c r="AB21" s="48"/>
    </row>
    <row r="22" spans="1:30" x14ac:dyDescent="0.3">
      <c r="D22" s="16"/>
      <c r="E22" s="16"/>
      <c r="F22" s="16"/>
      <c r="G22" s="16"/>
      <c r="H22" s="16"/>
      <c r="I22" s="16"/>
      <c r="J22" s="16"/>
      <c r="K22" s="16"/>
      <c r="L22" s="16"/>
      <c r="M22" s="16"/>
      <c r="N22" s="16"/>
      <c r="O22" s="16"/>
      <c r="P22" s="16"/>
      <c r="Q22" s="16"/>
      <c r="R22" s="16"/>
      <c r="S22" s="16"/>
      <c r="T22" s="16"/>
      <c r="U22" s="16"/>
      <c r="V22" s="16"/>
      <c r="W22" s="16"/>
      <c r="X22" s="16"/>
      <c r="Y22" s="48"/>
      <c r="Z22" s="48"/>
      <c r="AA22" s="48"/>
      <c r="AB22" s="48"/>
    </row>
    <row r="23" spans="1:30" x14ac:dyDescent="0.3">
      <c r="B23" t="s">
        <v>6</v>
      </c>
      <c r="C23" s="11" t="s">
        <v>1</v>
      </c>
      <c r="D23" s="12">
        <f>'Tier III'!D45</f>
        <v>0</v>
      </c>
      <c r="E23" s="12">
        <f>'Tier III'!D45</f>
        <v>0</v>
      </c>
      <c r="F23" s="12">
        <f ca="1">'Tier III'!E45</f>
        <v>20394.186845515454</v>
      </c>
      <c r="G23" s="12">
        <f ca="1">'Tier III'!F45</f>
        <v>27674.826805845561</v>
      </c>
      <c r="H23" s="12">
        <f ca="1">'Tier III'!G45</f>
        <v>36094.608737613336</v>
      </c>
      <c r="I23" s="12">
        <f ca="1">'Tier III'!H45</f>
        <v>45643.737940955914</v>
      </c>
      <c r="J23" s="12">
        <f ca="1">'Tier III'!I45</f>
        <v>56357.589406456609</v>
      </c>
      <c r="K23" s="12">
        <f ca="1">'Tier III'!J45</f>
        <v>68273.966027430521</v>
      </c>
      <c r="L23" s="12">
        <f ca="1">'Tier III'!K45</f>
        <v>81418.966333834294</v>
      </c>
      <c r="M23" s="12">
        <f ca="1">'Tier III'!L45</f>
        <v>95804.89830239302</v>
      </c>
      <c r="N23" s="12">
        <f ca="1">'Tier III'!M45</f>
        <v>111431.18753825797</v>
      </c>
      <c r="O23" s="12">
        <f ca="1">'Tier III'!N45</f>
        <v>128329.9366884589</v>
      </c>
      <c r="P23" s="12">
        <f>'Tier III'!O45</f>
        <v>0</v>
      </c>
      <c r="Q23" s="12">
        <f>'Tier III'!P45</f>
        <v>0</v>
      </c>
      <c r="R23" s="12">
        <f>'Tier III'!Q45</f>
        <v>0</v>
      </c>
      <c r="S23" s="12">
        <f>'Tier III'!R45</f>
        <v>0</v>
      </c>
      <c r="T23" s="12">
        <f>'Tier III'!S45</f>
        <v>0</v>
      </c>
      <c r="U23" s="12">
        <f>'Tier III'!T45</f>
        <v>0</v>
      </c>
      <c r="V23" s="12">
        <f>'Tier III'!U45</f>
        <v>0</v>
      </c>
      <c r="W23" s="12">
        <f>'Tier III'!V45</f>
        <v>0</v>
      </c>
      <c r="X23" s="12">
        <f>'Tier III'!W45</f>
        <v>0</v>
      </c>
      <c r="Y23" s="10"/>
      <c r="Z23" s="62">
        <f ca="1">(O23/F23)^(1/($O$2-$F$2))-1</f>
        <v>0.22675533123908109</v>
      </c>
      <c r="AA23" s="10"/>
      <c r="AB23" s="10"/>
    </row>
    <row r="24" spans="1:30" x14ac:dyDescent="0.3">
      <c r="B24" t="s">
        <v>7</v>
      </c>
      <c r="C24" s="11" t="s">
        <v>1</v>
      </c>
      <c r="D24" s="12">
        <f>'Tier III'!D46</f>
        <v>0</v>
      </c>
      <c r="E24" s="12">
        <f>'Tier III'!D46</f>
        <v>0</v>
      </c>
      <c r="F24" s="12">
        <f>'Tier III'!E46</f>
        <v>12157.02897068912</v>
      </c>
      <c r="G24" s="12">
        <f ca="1">'Tier III'!F46</f>
        <v>20163.27141152164</v>
      </c>
      <c r="H24" s="12">
        <f ca="1">'Tier III'!G46</f>
        <v>29422.184887805885</v>
      </c>
      <c r="I24" s="12">
        <f ca="1">'Tier III'!H46</f>
        <v>39922.998541188099</v>
      </c>
      <c r="J24" s="12">
        <f ca="1">'Tier III'!I46</f>
        <v>51704.612901360109</v>
      </c>
      <c r="K24" s="12">
        <f ca="1">'Tier III'!J46</f>
        <v>64808.598370167711</v>
      </c>
      <c r="L24" s="12">
        <f ca="1">'Tier III'!K46</f>
        <v>79263.654506897015</v>
      </c>
      <c r="M24" s="12">
        <f ca="1">'Tier III'!L46</f>
        <v>89680.191937762138</v>
      </c>
      <c r="N24" s="12">
        <f ca="1">'Tier III'!M46</f>
        <v>100109.92201285661</v>
      </c>
      <c r="O24" s="12">
        <f ca="1">'Tier III'!N46</f>
        <v>110686.59032993866</v>
      </c>
      <c r="P24" s="12">
        <f>'Tier III'!O46</f>
        <v>0</v>
      </c>
      <c r="Q24" s="12">
        <f>'Tier III'!P46</f>
        <v>0</v>
      </c>
      <c r="R24" s="12">
        <f>'Tier III'!Q46</f>
        <v>0</v>
      </c>
      <c r="S24" s="12">
        <f>'Tier III'!R46</f>
        <v>0</v>
      </c>
      <c r="T24" s="12">
        <f>'Tier III'!S46</f>
        <v>0</v>
      </c>
      <c r="U24" s="12">
        <f>'Tier III'!T46</f>
        <v>0</v>
      </c>
      <c r="V24" s="12">
        <f>'Tier III'!U46</f>
        <v>0</v>
      </c>
      <c r="W24" s="12">
        <f>'Tier III'!V46</f>
        <v>0</v>
      </c>
      <c r="X24" s="12">
        <f>'Tier III'!W46</f>
        <v>0</v>
      </c>
      <c r="Y24" s="10"/>
      <c r="Z24" s="62">
        <f t="shared" ref="Z24:Z27" ca="1" si="25">(O24/F24)^(1/($O$2-$F$2))-1</f>
        <v>0.27816018247792873</v>
      </c>
      <c r="AA24" s="10"/>
      <c r="AB24" s="10"/>
      <c r="AD24" s="13"/>
    </row>
    <row r="25" spans="1:30" x14ac:dyDescent="0.3">
      <c r="B25" t="s">
        <v>24</v>
      </c>
      <c r="C25" s="11" t="s">
        <v>1</v>
      </c>
      <c r="D25" s="12">
        <f>'Tier III'!D47</f>
        <v>0</v>
      </c>
      <c r="E25" s="12">
        <f>'Tier III'!D47</f>
        <v>0</v>
      </c>
      <c r="F25" s="12">
        <f>'Tier III'!E47</f>
        <v>0</v>
      </c>
      <c r="G25" s="12">
        <f ca="1">'Tier III'!F47</f>
        <v>0</v>
      </c>
      <c r="H25" s="12">
        <f ca="1">'Tier III'!G47</f>
        <v>0</v>
      </c>
      <c r="I25" s="12">
        <f ca="1">'Tier III'!H47</f>
        <v>0</v>
      </c>
      <c r="J25" s="12">
        <f ca="1">'Tier III'!I47</f>
        <v>0</v>
      </c>
      <c r="K25" s="12">
        <f ca="1">'Tier III'!J47</f>
        <v>0</v>
      </c>
      <c r="L25" s="12">
        <f ca="1">'Tier III'!K47</f>
        <v>0</v>
      </c>
      <c r="M25" s="12">
        <f ca="1">'Tier III'!L47</f>
        <v>0</v>
      </c>
      <c r="N25" s="12">
        <f ca="1">'Tier III'!M47</f>
        <v>0</v>
      </c>
      <c r="O25" s="12">
        <f ca="1">'Tier III'!N47</f>
        <v>0</v>
      </c>
      <c r="P25" s="12">
        <f>'Tier III'!O47</f>
        <v>0</v>
      </c>
      <c r="Q25" s="12">
        <f>'Tier III'!P47</f>
        <v>0</v>
      </c>
      <c r="R25" s="12">
        <f>'Tier III'!Q47</f>
        <v>0</v>
      </c>
      <c r="S25" s="12">
        <f>'Tier III'!R47</f>
        <v>0</v>
      </c>
      <c r="T25" s="12">
        <f>'Tier III'!S47</f>
        <v>0</v>
      </c>
      <c r="U25" s="12">
        <f>'Tier III'!T47</f>
        <v>0</v>
      </c>
      <c r="V25" s="12">
        <f>'Tier III'!U47</f>
        <v>0</v>
      </c>
      <c r="W25" s="12">
        <f>'Tier III'!V47</f>
        <v>0</v>
      </c>
      <c r="X25" s="12">
        <f>'Tier III'!W47</f>
        <v>0</v>
      </c>
      <c r="Y25" s="10"/>
      <c r="Z25" s="62" t="e">
        <f t="shared" ca="1" si="25"/>
        <v>#DIV/0!</v>
      </c>
      <c r="AA25" s="10"/>
      <c r="AB25" s="10"/>
      <c r="AD25" s="13"/>
    </row>
    <row r="26" spans="1:30" x14ac:dyDescent="0.3">
      <c r="B26" s="21" t="s">
        <v>23</v>
      </c>
      <c r="C26" s="42" t="s">
        <v>1</v>
      </c>
      <c r="D26" s="84">
        <f>'Tier III'!D48</f>
        <v>0</v>
      </c>
      <c r="E26" s="84">
        <f>'Tier III'!D48</f>
        <v>0</v>
      </c>
      <c r="F26" s="84">
        <f>'Tier III'!E48</f>
        <v>1453.5988181665418</v>
      </c>
      <c r="G26" s="84">
        <f ca="1">'Tier III'!F48</f>
        <v>2410.8939416714802</v>
      </c>
      <c r="H26" s="84">
        <f ca="1">'Tier III'!G48</f>
        <v>3517.9691751913138</v>
      </c>
      <c r="I26" s="84">
        <f ca="1">'Tier III'!H48</f>
        <v>4773.5366623746759</v>
      </c>
      <c r="J26" s="84">
        <f ca="1">'Tier III'!I48</f>
        <v>6182.2476847248372</v>
      </c>
      <c r="K26" s="84">
        <f ca="1">'Tier III'!J48</f>
        <v>7749.0727565952166</v>
      </c>
      <c r="L26" s="84">
        <f ca="1">'Tier III'!K48</f>
        <v>9477.4434438363842</v>
      </c>
      <c r="M26" s="84">
        <f ca="1">'Tier III'!L48</f>
        <v>11368.978061069489</v>
      </c>
      <c r="N26" s="84">
        <f ca="1">'Tier III'!M48</f>
        <v>13423.601083973783</v>
      </c>
      <c r="O26" s="84">
        <f ca="1">'Tier III'!N48</f>
        <v>15645.533529880238</v>
      </c>
      <c r="P26" s="84">
        <f>'Tier III'!O48</f>
        <v>0</v>
      </c>
      <c r="Q26" s="84">
        <f>'Tier III'!P48</f>
        <v>0</v>
      </c>
      <c r="R26" s="84">
        <f>'Tier III'!Q48</f>
        <v>0</v>
      </c>
      <c r="S26" s="84">
        <f>'Tier III'!R48</f>
        <v>0</v>
      </c>
      <c r="T26" s="84">
        <f>'Tier III'!S48</f>
        <v>0</v>
      </c>
      <c r="U26" s="84">
        <f>'Tier III'!T48</f>
        <v>0</v>
      </c>
      <c r="V26" s="84">
        <f>'Tier III'!U48</f>
        <v>0</v>
      </c>
      <c r="W26" s="84">
        <f>'Tier III'!V48</f>
        <v>0</v>
      </c>
      <c r="X26" s="84">
        <f>'Tier III'!W48</f>
        <v>0</v>
      </c>
      <c r="Y26" s="10"/>
      <c r="Z26" s="62">
        <f t="shared" ca="1" si="25"/>
        <v>0.30214889361080988</v>
      </c>
      <c r="AA26" s="10"/>
      <c r="AB26" s="10"/>
      <c r="AD26" s="13"/>
    </row>
    <row r="27" spans="1:30" x14ac:dyDescent="0.3">
      <c r="B27" s="11" t="s">
        <v>78</v>
      </c>
      <c r="C27" s="11" t="s">
        <v>1</v>
      </c>
      <c r="D27" s="49">
        <f>SUM(D23:D26)</f>
        <v>0</v>
      </c>
      <c r="E27" s="49">
        <f t="shared" ref="E27" si="26">SUM(E23:E26)</f>
        <v>0</v>
      </c>
      <c r="F27" s="49">
        <f ca="1">SUM(F23:F26)</f>
        <v>34004.81463437112</v>
      </c>
      <c r="G27" s="49">
        <f t="shared" ref="G27:X27" ca="1" si="27">SUM(G23:G26)</f>
        <v>50248.99215903868</v>
      </c>
      <c r="H27" s="49">
        <f t="shared" ca="1" si="27"/>
        <v>69034.762800610537</v>
      </c>
      <c r="I27" s="49">
        <f t="shared" ca="1" si="27"/>
        <v>90340.273144518695</v>
      </c>
      <c r="J27" s="49">
        <f t="shared" ca="1" si="27"/>
        <v>114244.44999254154</v>
      </c>
      <c r="K27" s="49">
        <f t="shared" ca="1" si="27"/>
        <v>140831.63715419345</v>
      </c>
      <c r="L27" s="49">
        <f t="shared" ca="1" si="27"/>
        <v>170160.06428456769</v>
      </c>
      <c r="M27" s="49">
        <f t="shared" ca="1" si="27"/>
        <v>196854.06830122467</v>
      </c>
      <c r="N27" s="49">
        <f t="shared" ca="1" si="27"/>
        <v>224964.71063508836</v>
      </c>
      <c r="O27" s="49">
        <f t="shared" ca="1" si="27"/>
        <v>254662.0605482778</v>
      </c>
      <c r="P27" s="49">
        <f t="shared" si="27"/>
        <v>0</v>
      </c>
      <c r="Q27" s="49">
        <f t="shared" si="27"/>
        <v>0</v>
      </c>
      <c r="R27" s="49">
        <f t="shared" si="27"/>
        <v>0</v>
      </c>
      <c r="S27" s="49">
        <f t="shared" si="27"/>
        <v>0</v>
      </c>
      <c r="T27" s="49">
        <f t="shared" si="27"/>
        <v>0</v>
      </c>
      <c r="U27" s="49">
        <f t="shared" si="27"/>
        <v>0</v>
      </c>
      <c r="V27" s="49">
        <f t="shared" si="27"/>
        <v>0</v>
      </c>
      <c r="W27" s="49">
        <f t="shared" si="27"/>
        <v>0</v>
      </c>
      <c r="X27" s="49">
        <f t="shared" si="27"/>
        <v>0</v>
      </c>
      <c r="Y27" s="52"/>
      <c r="Z27" s="62">
        <f t="shared" ca="1" si="25"/>
        <v>0.2507145555706376</v>
      </c>
      <c r="AA27" s="52"/>
      <c r="AB27" s="52"/>
      <c r="AD27" s="13"/>
    </row>
    <row r="28" spans="1:30" x14ac:dyDescent="0.3">
      <c r="D28" s="26"/>
      <c r="E28" s="26"/>
      <c r="F28" s="26"/>
      <c r="G28" s="26"/>
      <c r="H28" s="26"/>
      <c r="I28" s="26"/>
      <c r="J28" s="26"/>
      <c r="K28" s="26"/>
      <c r="L28" s="26"/>
      <c r="M28" s="26"/>
      <c r="N28" s="26"/>
      <c r="O28" s="26"/>
      <c r="P28" s="26"/>
      <c r="Q28" s="26"/>
      <c r="R28" s="26"/>
      <c r="S28" s="26"/>
      <c r="T28" s="26"/>
      <c r="U28" s="26"/>
      <c r="V28" s="26"/>
      <c r="W28" s="26"/>
      <c r="X28" s="26"/>
      <c r="Y28" s="52"/>
      <c r="Z28" s="52"/>
      <c r="AA28" s="52"/>
      <c r="AB28" s="52"/>
      <c r="AD28" s="13"/>
    </row>
    <row r="29" spans="1:30" x14ac:dyDescent="0.3">
      <c r="D29" s="26"/>
      <c r="E29" s="24"/>
      <c r="F29" s="24"/>
      <c r="G29" s="24"/>
      <c r="H29" s="24"/>
      <c r="I29" s="24"/>
      <c r="J29" s="24"/>
      <c r="K29" s="24"/>
      <c r="L29" s="24"/>
      <c r="M29" s="24"/>
      <c r="N29" s="24"/>
      <c r="O29" s="24"/>
      <c r="P29" s="24"/>
      <c r="Q29" s="24"/>
      <c r="R29" s="24"/>
      <c r="S29" s="24"/>
      <c r="T29" s="24"/>
      <c r="U29" s="24"/>
      <c r="V29" s="24"/>
      <c r="W29" s="24"/>
      <c r="X29" s="24"/>
      <c r="Y29" s="51"/>
      <c r="Z29" s="51"/>
      <c r="AA29" s="51"/>
      <c r="AB29" s="51"/>
      <c r="AD29" s="13"/>
    </row>
    <row r="30" spans="1:30" x14ac:dyDescent="0.3">
      <c r="D30" s="26"/>
      <c r="E30" s="24"/>
      <c r="F30" s="24" t="e">
        <f>F20/E20-1</f>
        <v>#DIV/0!</v>
      </c>
      <c r="G30" s="24">
        <f t="shared" ref="G30:N30" si="28">G20/F20-1</f>
        <v>0.59854892182141395</v>
      </c>
      <c r="H30" s="24">
        <f t="shared" si="28"/>
        <v>0.30831694206365201</v>
      </c>
      <c r="I30" s="24">
        <f t="shared" si="28"/>
        <v>0.15125305075626061</v>
      </c>
      <c r="J30" s="24">
        <f t="shared" si="28"/>
        <v>9.2143488814767638E-2</v>
      </c>
      <c r="K30" s="24">
        <f t="shared" si="28"/>
        <v>2.9310557635423562E-2</v>
      </c>
      <c r="L30" s="24">
        <f t="shared" si="28"/>
        <v>2.1128962701999043E-2</v>
      </c>
      <c r="M30" s="24">
        <f t="shared" si="28"/>
        <v>1.1725432376117784E-2</v>
      </c>
      <c r="N30" s="24">
        <f t="shared" si="28"/>
        <v>1.9959509177600365E-2</v>
      </c>
      <c r="O30" s="24"/>
      <c r="P30" s="24"/>
      <c r="Q30" s="24"/>
      <c r="R30" s="24"/>
      <c r="S30" s="24"/>
      <c r="T30" s="24"/>
      <c r="U30" s="24"/>
      <c r="V30" s="24"/>
      <c r="W30" s="24"/>
      <c r="X30" s="24"/>
      <c r="Y30" s="52"/>
      <c r="Z30" s="52"/>
      <c r="AA30" s="52"/>
      <c r="AB30" s="52"/>
      <c r="AD30" s="13"/>
    </row>
    <row r="32" spans="1:30" x14ac:dyDescent="0.3">
      <c r="D32" s="562"/>
      <c r="E32" s="562"/>
      <c r="F32" s="562"/>
      <c r="G32" s="562"/>
      <c r="H32" s="562"/>
      <c r="I32" s="562"/>
    </row>
    <row r="38" spans="2:24" x14ac:dyDescent="0.3">
      <c r="B38" s="333" t="s">
        <v>438</v>
      </c>
      <c r="C38" s="334"/>
      <c r="D38" s="343">
        <v>2017</v>
      </c>
      <c r="E38" s="343">
        <v>2018</v>
      </c>
      <c r="F38" s="343">
        <v>2019</v>
      </c>
      <c r="G38" s="343">
        <v>2020</v>
      </c>
      <c r="H38" s="343">
        <v>2021</v>
      </c>
      <c r="I38" s="343">
        <v>2022</v>
      </c>
      <c r="J38" s="343">
        <v>2023</v>
      </c>
      <c r="K38" s="343">
        <v>2024</v>
      </c>
      <c r="L38" s="343">
        <v>2025</v>
      </c>
      <c r="M38" s="343">
        <v>2026</v>
      </c>
      <c r="N38" s="343">
        <v>2027</v>
      </c>
      <c r="O38" s="344">
        <v>2028</v>
      </c>
      <c r="P38" s="15"/>
      <c r="Q38" s="15"/>
      <c r="R38" s="15"/>
      <c r="S38" s="15"/>
      <c r="T38" s="15"/>
      <c r="U38" s="15"/>
      <c r="V38" s="15"/>
      <c r="W38" s="15"/>
      <c r="X38" s="15"/>
    </row>
    <row r="39" spans="2:24" x14ac:dyDescent="0.3">
      <c r="B39" s="335" t="s">
        <v>747</v>
      </c>
      <c r="C39" s="336"/>
      <c r="D39" s="331">
        <v>77.626999999999995</v>
      </c>
      <c r="E39" s="331">
        <v>77.626999999999995</v>
      </c>
      <c r="F39" s="331">
        <v>77.626999999999995</v>
      </c>
      <c r="G39" s="331">
        <v>77.626999999999995</v>
      </c>
      <c r="H39" s="331">
        <v>77.626999999999995</v>
      </c>
      <c r="I39" s="331">
        <v>77.626999999999995</v>
      </c>
      <c r="J39" s="331">
        <v>77.626999999999995</v>
      </c>
      <c r="K39" s="331">
        <v>77.626999999999995</v>
      </c>
      <c r="L39" s="331">
        <v>77.626999999999995</v>
      </c>
      <c r="M39" s="331">
        <v>77.626999999999995</v>
      </c>
      <c r="N39" s="331">
        <v>77.626999999999995</v>
      </c>
      <c r="O39" s="337">
        <v>77.626999999999995</v>
      </c>
      <c r="P39" s="331"/>
      <c r="Q39" s="331"/>
      <c r="R39" s="331"/>
      <c r="S39" s="331"/>
      <c r="T39" s="331"/>
      <c r="U39" s="331"/>
      <c r="V39" s="331"/>
      <c r="W39" s="331"/>
      <c r="X39" s="331"/>
    </row>
    <row r="40" spans="2:24" x14ac:dyDescent="0.3">
      <c r="B40" s="335" t="s">
        <v>748</v>
      </c>
      <c r="C40" s="9"/>
      <c r="D40" s="331">
        <f>161-D39-D41</f>
        <v>73.573000000000008</v>
      </c>
      <c r="E40" s="331">
        <f>D40</f>
        <v>73.573000000000008</v>
      </c>
      <c r="F40" s="331">
        <f t="shared" ref="F40:O40" si="29">E40</f>
        <v>73.573000000000008</v>
      </c>
      <c r="G40" s="331">
        <f t="shared" si="29"/>
        <v>73.573000000000008</v>
      </c>
      <c r="H40" s="331">
        <f t="shared" si="29"/>
        <v>73.573000000000008</v>
      </c>
      <c r="I40" s="331">
        <f t="shared" si="29"/>
        <v>73.573000000000008</v>
      </c>
      <c r="J40" s="331">
        <f t="shared" si="29"/>
        <v>73.573000000000008</v>
      </c>
      <c r="K40" s="331">
        <f t="shared" si="29"/>
        <v>73.573000000000008</v>
      </c>
      <c r="L40" s="331">
        <f t="shared" si="29"/>
        <v>73.573000000000008</v>
      </c>
      <c r="M40" s="331">
        <f t="shared" si="29"/>
        <v>73.573000000000008</v>
      </c>
      <c r="N40" s="331">
        <f t="shared" si="29"/>
        <v>73.573000000000008</v>
      </c>
      <c r="O40" s="331">
        <f t="shared" si="29"/>
        <v>73.573000000000008</v>
      </c>
      <c r="P40" s="331"/>
      <c r="Q40" s="331"/>
      <c r="R40" s="331"/>
      <c r="S40" s="331"/>
      <c r="T40" s="331"/>
      <c r="U40" s="331"/>
      <c r="V40" s="331"/>
      <c r="W40" s="331"/>
      <c r="X40" s="331"/>
    </row>
    <row r="41" spans="2:24" x14ac:dyDescent="0.3">
      <c r="B41" s="338" t="s">
        <v>435</v>
      </c>
      <c r="C41" s="9"/>
      <c r="D41" s="331">
        <v>9.8000000000000007</v>
      </c>
      <c r="E41" s="331">
        <f>D41+10</f>
        <v>19.8</v>
      </c>
      <c r="F41" s="331">
        <f>E41</f>
        <v>19.8</v>
      </c>
      <c r="G41" s="331">
        <f t="shared" ref="G41:O41" si="30">F41</f>
        <v>19.8</v>
      </c>
      <c r="H41" s="331">
        <f t="shared" si="30"/>
        <v>19.8</v>
      </c>
      <c r="I41" s="331">
        <f t="shared" si="30"/>
        <v>19.8</v>
      </c>
      <c r="J41" s="331">
        <f t="shared" si="30"/>
        <v>19.8</v>
      </c>
      <c r="K41" s="331">
        <f t="shared" si="30"/>
        <v>19.8</v>
      </c>
      <c r="L41" s="331">
        <f t="shared" si="30"/>
        <v>19.8</v>
      </c>
      <c r="M41" s="331">
        <f t="shared" si="30"/>
        <v>19.8</v>
      </c>
      <c r="N41" s="331">
        <f t="shared" si="30"/>
        <v>19.8</v>
      </c>
      <c r="O41" s="331">
        <f t="shared" si="30"/>
        <v>19.8</v>
      </c>
      <c r="P41" s="331"/>
      <c r="Q41" s="331"/>
      <c r="R41" s="331"/>
      <c r="S41" s="331"/>
      <c r="T41" s="331"/>
      <c r="U41" s="331"/>
      <c r="V41" s="331"/>
      <c r="W41" s="331"/>
      <c r="X41" s="331"/>
    </row>
    <row r="42" spans="2:24" x14ac:dyDescent="0.3">
      <c r="B42" s="339" t="s">
        <v>754</v>
      </c>
      <c r="C42" s="42"/>
      <c r="D42" s="332">
        <f t="shared" ref="D42:O42" si="31">D20/8760/0.14</f>
        <v>0</v>
      </c>
      <c r="E42" s="332">
        <f t="shared" si="31"/>
        <v>0</v>
      </c>
      <c r="F42" s="332">
        <f t="shared" si="31"/>
        <v>47.988233467540283</v>
      </c>
      <c r="G42" s="332">
        <f t="shared" si="31"/>
        <v>76.711538869650809</v>
      </c>
      <c r="H42" s="332">
        <f t="shared" si="31"/>
        <v>100.36300595493853</v>
      </c>
      <c r="I42" s="332">
        <f t="shared" si="31"/>
        <v>115.54321678869174</v>
      </c>
      <c r="J42" s="332">
        <f t="shared" si="31"/>
        <v>126.18977189248282</v>
      </c>
      <c r="K42" s="332">
        <f t="shared" si="31"/>
        <v>129.88846447453841</v>
      </c>
      <c r="L42" s="332">
        <f t="shared" si="31"/>
        <v>132.63287299584087</v>
      </c>
      <c r="M42" s="332">
        <f t="shared" si="31"/>
        <v>134.18805077900382</v>
      </c>
      <c r="N42" s="332">
        <f t="shared" si="31"/>
        <v>136.86637841005165</v>
      </c>
      <c r="O42" s="332">
        <f t="shared" si="31"/>
        <v>140.86637841005165</v>
      </c>
      <c r="P42" s="415"/>
      <c r="Q42" s="415"/>
      <c r="R42" s="415"/>
      <c r="S42" s="415"/>
      <c r="T42" s="415"/>
      <c r="U42" s="415"/>
      <c r="V42" s="415"/>
      <c r="W42" s="415"/>
      <c r="X42" s="415"/>
    </row>
    <row r="43" spans="2:24" x14ac:dyDescent="0.3">
      <c r="B43" s="340" t="s">
        <v>73</v>
      </c>
      <c r="C43" s="341"/>
      <c r="D43" s="342">
        <f t="shared" ref="D43:O43" si="32">SUM(D39:D42)</f>
        <v>161</v>
      </c>
      <c r="E43" s="342">
        <f t="shared" si="32"/>
        <v>171</v>
      </c>
      <c r="F43" s="342">
        <f t="shared" si="32"/>
        <v>218.98823346754028</v>
      </c>
      <c r="G43" s="342">
        <f t="shared" si="32"/>
        <v>247.71153886965081</v>
      </c>
      <c r="H43" s="342">
        <f t="shared" si="32"/>
        <v>271.36300595493856</v>
      </c>
      <c r="I43" s="342">
        <f t="shared" si="32"/>
        <v>286.54321678869172</v>
      </c>
      <c r="J43" s="342">
        <f t="shared" si="32"/>
        <v>297.18977189248284</v>
      </c>
      <c r="K43" s="342">
        <f t="shared" si="32"/>
        <v>300.88846447453841</v>
      </c>
      <c r="L43" s="342">
        <f t="shared" si="32"/>
        <v>303.6328729958409</v>
      </c>
      <c r="M43" s="342">
        <f t="shared" si="32"/>
        <v>305.18805077900379</v>
      </c>
      <c r="N43" s="342">
        <f t="shared" si="32"/>
        <v>307.86637841005165</v>
      </c>
      <c r="O43" s="342">
        <f t="shared" si="32"/>
        <v>311.86637841005165</v>
      </c>
      <c r="P43" s="416"/>
      <c r="Q43" s="416"/>
      <c r="R43" s="416"/>
      <c r="S43" s="416"/>
      <c r="T43" s="416"/>
      <c r="U43" s="416"/>
      <c r="V43" s="416"/>
      <c r="W43" s="416"/>
      <c r="X43" s="416"/>
    </row>
  </sheetData>
  <mergeCells count="1">
    <mergeCell ref="A7:A15"/>
  </mergeCells>
  <phoneticPr fontId="36"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T43"/>
  <sheetViews>
    <sheetView zoomScale="90" zoomScaleNormal="90" workbookViewId="0">
      <selection activeCell="I35" sqref="I35"/>
    </sheetView>
  </sheetViews>
  <sheetFormatPr defaultRowHeight="14.4" x14ac:dyDescent="0.3"/>
  <cols>
    <col min="1" max="1" width="2.88671875" customWidth="1"/>
    <col min="2" max="2" width="22.6640625" customWidth="1"/>
    <col min="3" max="3" width="7.5546875" bestFit="1" customWidth="1"/>
    <col min="4" max="4" width="14.88671875" bestFit="1" customWidth="1"/>
    <col min="5" max="5" width="16.88671875" bestFit="1" customWidth="1"/>
    <col min="6" max="7" width="12" bestFit="1" customWidth="1"/>
    <col min="8" max="14" width="13.109375" bestFit="1" customWidth="1"/>
    <col min="15" max="15" width="13.88671875" bestFit="1" customWidth="1"/>
    <col min="16" max="16" width="16.109375" bestFit="1" customWidth="1"/>
    <col min="17" max="18" width="11.109375" bestFit="1" customWidth="1"/>
    <col min="19" max="19" width="12.109375" bestFit="1" customWidth="1"/>
  </cols>
  <sheetData>
    <row r="2" spans="2:20" s="20" customFormat="1" ht="15.75" customHeight="1" x14ac:dyDescent="0.3">
      <c r="D2" s="60">
        <f>base_year-1</f>
        <v>2018</v>
      </c>
      <c r="E2" s="60">
        <f>D2+1</f>
        <v>2019</v>
      </c>
      <c r="F2" s="60">
        <f t="shared" ref="F2:N2" si="0">E2+1</f>
        <v>2020</v>
      </c>
      <c r="G2" s="60">
        <f t="shared" si="0"/>
        <v>2021</v>
      </c>
      <c r="H2" s="60">
        <f t="shared" si="0"/>
        <v>2022</v>
      </c>
      <c r="I2" s="60">
        <f t="shared" si="0"/>
        <v>2023</v>
      </c>
      <c r="J2" s="60">
        <f t="shared" si="0"/>
        <v>2024</v>
      </c>
      <c r="K2" s="60">
        <f t="shared" si="0"/>
        <v>2025</v>
      </c>
      <c r="L2" s="60">
        <f t="shared" si="0"/>
        <v>2026</v>
      </c>
      <c r="M2" s="60">
        <f t="shared" si="0"/>
        <v>2027</v>
      </c>
      <c r="N2" s="60">
        <f t="shared" si="0"/>
        <v>2028</v>
      </c>
      <c r="O2" s="60"/>
      <c r="P2" s="60"/>
      <c r="Q2" s="60"/>
      <c r="R2" s="60"/>
      <c r="S2" s="60"/>
    </row>
    <row r="4" spans="2:20" x14ac:dyDescent="0.3">
      <c r="B4" t="s">
        <v>0</v>
      </c>
      <c r="C4" t="s">
        <v>1</v>
      </c>
      <c r="D4" s="420">
        <f>SUMIF(loads!2:2,requirements!D2,loads!5:5)</f>
        <v>5525385.8839999996</v>
      </c>
      <c r="E4" s="420">
        <f ca="1">SUMIF(loads!2:2,requirements!E2,loads!5:5)</f>
        <v>5458271.8038817961</v>
      </c>
      <c r="F4" s="420">
        <f ca="1">SUMIF(loads!2:2,requirements!F2,loads!5:5)</f>
        <v>5410528.104681029</v>
      </c>
      <c r="G4" s="420">
        <f ca="1">SUMIF(loads!2:2,requirements!G2,loads!5:5)</f>
        <v>5369213.0396047421</v>
      </c>
      <c r="H4" s="420">
        <f ca="1">SUMIF(loads!2:2,requirements!H2,loads!5:5)</f>
        <v>5354759.4427371053</v>
      </c>
      <c r="I4" s="420">
        <f ca="1">SUMIF(loads!2:2,requirements!I2,loads!5:5)</f>
        <v>5360200.9880254287</v>
      </c>
      <c r="J4" s="420">
        <f ca="1">SUMIF(loads!2:2,requirements!J2,loads!5:5)</f>
        <v>5375325.5152443154</v>
      </c>
      <c r="K4" s="420">
        <f ca="1">SUMIF(loads!2:2,requirements!K2,loads!5:5)</f>
        <v>5392542.9127376862</v>
      </c>
      <c r="L4" s="420">
        <f ca="1">SUMIF(loads!2:2,requirements!L2,loads!5:5)</f>
        <v>5406912.7312659221</v>
      </c>
      <c r="M4" s="420">
        <f ca="1">SUMIF(loads!2:2,requirements!M2,loads!5:5)</f>
        <v>5429544.2537619425</v>
      </c>
      <c r="N4" s="420">
        <f ca="1">SUMIF(loads!2:2,requirements!N2,loads!5:5)</f>
        <v>5455279.1686504949</v>
      </c>
      <c r="O4" s="16"/>
      <c r="P4" s="16"/>
      <c r="Q4" s="16"/>
      <c r="R4" s="16"/>
      <c r="S4" s="16"/>
    </row>
    <row r="5" spans="2:20" x14ac:dyDescent="0.3">
      <c r="D5" s="22"/>
      <c r="E5" s="22"/>
      <c r="F5" s="22"/>
      <c r="G5" s="22"/>
      <c r="H5" s="22"/>
      <c r="I5" s="22"/>
      <c r="J5" s="22"/>
      <c r="K5" s="22"/>
      <c r="L5" s="22"/>
      <c r="M5" s="22"/>
      <c r="N5" s="22"/>
      <c r="O5" s="16"/>
      <c r="P5" s="16"/>
      <c r="Q5" s="16"/>
      <c r="R5" s="16"/>
      <c r="S5" s="16"/>
    </row>
    <row r="6" spans="2:20" x14ac:dyDescent="0.3">
      <c r="B6" t="s">
        <v>2</v>
      </c>
      <c r="C6" t="s">
        <v>5</v>
      </c>
      <c r="D6" s="321">
        <f>SUM(D7:D8)</f>
        <v>0.55000000000000004</v>
      </c>
      <c r="E6" s="321">
        <f t="shared" ref="E6:N6" si="1">SUM(E7:E8)</f>
        <v>0.55000000000000004</v>
      </c>
      <c r="F6" s="321">
        <f>SUM(F7:F8)</f>
        <v>0.59</v>
      </c>
      <c r="G6" s="321">
        <f t="shared" si="1"/>
        <v>0.59</v>
      </c>
      <c r="H6" s="321">
        <f t="shared" si="1"/>
        <v>0.59</v>
      </c>
      <c r="I6" s="321">
        <f t="shared" si="1"/>
        <v>0.63</v>
      </c>
      <c r="J6" s="321">
        <f t="shared" si="1"/>
        <v>0.63000000000000012</v>
      </c>
      <c r="K6" s="321">
        <f t="shared" si="1"/>
        <v>0.63</v>
      </c>
      <c r="L6" s="321">
        <f t="shared" si="1"/>
        <v>0.67</v>
      </c>
      <c r="M6" s="321">
        <f t="shared" si="1"/>
        <v>0.67</v>
      </c>
      <c r="N6" s="321">
        <f t="shared" si="1"/>
        <v>0.67</v>
      </c>
    </row>
    <row r="7" spans="2:20" x14ac:dyDescent="0.3">
      <c r="B7" t="s">
        <v>431</v>
      </c>
      <c r="C7" t="s">
        <v>5</v>
      </c>
      <c r="D7" s="23">
        <f>SUMIF('annual RES req'!$A:$A,requirements!D$2,'annual RES req'!$C:$C)</f>
        <v>0.53400000000000003</v>
      </c>
      <c r="E7" s="23">
        <f>SUMIF('annual RES req'!$A:$A,requirements!E$2,'annual RES req'!$C:$C)</f>
        <v>0.52800000000000002</v>
      </c>
      <c r="F7" s="23">
        <f>SUMIF('annual RES req'!$A:$A,requirements!F$2,'annual RES req'!$C:$C)</f>
        <v>0.56199999999999994</v>
      </c>
      <c r="G7" s="23">
        <f>SUMIF('annual RES req'!$A:$A,requirements!G$2,'annual RES req'!$C:$C)</f>
        <v>0.55599999999999994</v>
      </c>
      <c r="H7" s="23">
        <f>SUMIF('annual RES req'!$A:$A,requirements!H$2,'annual RES req'!$C:$C)</f>
        <v>0.54999999999999993</v>
      </c>
      <c r="I7" s="23">
        <f>SUMIF('annual RES req'!$A:$A,requirements!I$2,'annual RES req'!$C:$C)</f>
        <v>0.58399999999999996</v>
      </c>
      <c r="J7" s="23">
        <f>SUMIF('annual RES req'!$A:$A,requirements!J$2,'annual RES req'!$C:$C)</f>
        <v>0.57800000000000007</v>
      </c>
      <c r="K7" s="23">
        <f>SUMIF('annual RES req'!$A:$A,requirements!K$2,'annual RES req'!$C:$C)</f>
        <v>0.57200000000000006</v>
      </c>
      <c r="L7" s="23">
        <f>SUMIF('annual RES req'!$A:$A,requirements!L$2,'annual RES req'!$C:$C)</f>
        <v>0.60600000000000009</v>
      </c>
      <c r="M7" s="23">
        <f>SUMIF('annual RES req'!$A:$A,requirements!M$2,'annual RES req'!$C:$C)</f>
        <v>0.60000000000000009</v>
      </c>
      <c r="N7" s="23">
        <f>SUMIF('annual RES req'!$A:$A,requirements!N$2,'annual RES req'!$C:$C)</f>
        <v>0.59400000000000008</v>
      </c>
      <c r="O7" s="23"/>
      <c r="P7" s="4"/>
      <c r="Q7" s="4"/>
      <c r="R7" s="4"/>
      <c r="S7" s="4"/>
      <c r="T7" s="4"/>
    </row>
    <row r="8" spans="2:20" x14ac:dyDescent="0.3">
      <c r="B8" t="s">
        <v>3</v>
      </c>
      <c r="C8" t="s">
        <v>5</v>
      </c>
      <c r="D8" s="23">
        <f>SUMIF('annual RES req'!$A:$A,requirements!D$2,'annual RES req'!$D:$D)</f>
        <v>1.6E-2</v>
      </c>
      <c r="E8" s="23">
        <f>SUMIF('annual RES req'!$A:$A,requirements!E$2,'annual RES req'!$D:$D)</f>
        <v>2.1999999999999999E-2</v>
      </c>
      <c r="F8" s="23">
        <f>SUMIF('annual RES req'!$A:$A,requirements!F$2,'annual RES req'!$D:$D)</f>
        <v>2.7999999999999997E-2</v>
      </c>
      <c r="G8" s="23">
        <f>SUMIF('annual RES req'!$A:$A,requirements!G$2,'annual RES req'!$D:$D)</f>
        <v>3.3999999999999996E-2</v>
      </c>
      <c r="H8" s="23">
        <f>SUMIF('annual RES req'!$A:$A,requirements!H$2,'annual RES req'!$D:$D)</f>
        <v>3.9999999999999994E-2</v>
      </c>
      <c r="I8" s="23">
        <f>SUMIF('annual RES req'!$A:$A,requirements!I$2,'annual RES req'!$D:$D)</f>
        <v>4.5999999999999992E-2</v>
      </c>
      <c r="J8" s="23">
        <f>SUMIF('annual RES req'!$A:$A,requirements!J$2,'annual RES req'!$D:$D)</f>
        <v>5.1999999999999991E-2</v>
      </c>
      <c r="K8" s="23">
        <f>SUMIF('annual RES req'!$A:$A,requirements!K$2,'annual RES req'!$D:$D)</f>
        <v>5.7999999999999989E-2</v>
      </c>
      <c r="L8" s="23">
        <f>SUMIF('annual RES req'!$A:$A,requirements!L$2,'annual RES req'!$D:$D)</f>
        <v>6.3999999999999987E-2</v>
      </c>
      <c r="M8" s="23">
        <f>SUMIF('annual RES req'!$A:$A,requirements!M$2,'annual RES req'!$D:$D)</f>
        <v>6.9999999999999993E-2</v>
      </c>
      <c r="N8" s="23">
        <f>SUMIF('annual RES req'!$A:$A,requirements!N$2,'annual RES req'!$D:$D)</f>
        <v>7.5999999999999998E-2</v>
      </c>
      <c r="O8" s="2"/>
      <c r="P8" s="2"/>
      <c r="Q8" s="2"/>
      <c r="R8" s="2"/>
      <c r="S8" s="2"/>
      <c r="T8" s="2"/>
    </row>
    <row r="9" spans="2:20" x14ac:dyDescent="0.3">
      <c r="B9" t="s">
        <v>4</v>
      </c>
      <c r="C9" t="s">
        <v>5</v>
      </c>
      <c r="D9" s="23">
        <f>SUMIF('annual RES req'!$A:$A,requirements!D$2,'annual RES req'!$E:$E)</f>
        <v>2.6666666666666668E-2</v>
      </c>
      <c r="E9" s="23">
        <f>SUMIF('annual RES req'!$A:$A,requirements!E$2,'annual RES req'!$E:$E)</f>
        <v>3.3333333333333333E-2</v>
      </c>
      <c r="F9" s="23">
        <f>SUMIF('annual RES req'!$A:$A,requirements!F$2,'annual RES req'!$E:$E)</f>
        <v>0.04</v>
      </c>
      <c r="G9" s="23">
        <f>SUMIF('annual RES req'!$A:$A,requirements!G$2,'annual RES req'!$E:$E)</f>
        <v>4.6666666666666669E-2</v>
      </c>
      <c r="H9" s="23">
        <f>SUMIF('annual RES req'!$A:$A,requirements!H$2,'annual RES req'!$E:$E)</f>
        <v>5.3333333333333337E-2</v>
      </c>
      <c r="I9" s="23">
        <f>SUMIF('annual RES req'!$A:$A,requirements!I$2,'annual RES req'!$E:$E)</f>
        <v>6.0000000000000005E-2</v>
      </c>
      <c r="J9" s="23">
        <f>SUMIF('annual RES req'!$A:$A,requirements!J$2,'annual RES req'!$E:$E)</f>
        <v>6.6666666666666666E-2</v>
      </c>
      <c r="K9" s="23">
        <f>SUMIF('annual RES req'!$A:$A,requirements!K$2,'annual RES req'!$E:$E)</f>
        <v>7.3333333333333334E-2</v>
      </c>
      <c r="L9" s="23">
        <f>SUMIF('annual RES req'!$A:$A,requirements!L$2,'annual RES req'!$E:$E)</f>
        <v>0.08</v>
      </c>
      <c r="M9" s="23">
        <f>SUMIF('annual RES req'!$A:$A,requirements!M$2,'annual RES req'!$E:$E)</f>
        <v>8.666666666666667E-2</v>
      </c>
      <c r="N9" s="23">
        <f>SUMIF('annual RES req'!$A:$A,requirements!N$2,'annual RES req'!$E:$E)</f>
        <v>9.3333333333333338E-2</v>
      </c>
      <c r="O9" s="2"/>
      <c r="P9" s="2"/>
      <c r="Q9" s="2"/>
      <c r="R9" s="2"/>
      <c r="S9" s="2"/>
    </row>
    <row r="11" spans="2:20" x14ac:dyDescent="0.3">
      <c r="B11" t="s">
        <v>2</v>
      </c>
      <c r="C11" t="s">
        <v>1</v>
      </c>
      <c r="D11" s="16">
        <f>D7*D$4</f>
        <v>2950556.0620559999</v>
      </c>
      <c r="E11" s="16">
        <f ca="1">E7*E$4</f>
        <v>2881967.5124495886</v>
      </c>
      <c r="F11" s="16">
        <f ca="1">F7*F$4</f>
        <v>3040716.7948307381</v>
      </c>
      <c r="G11" s="16">
        <f t="shared" ref="G11:N11" ca="1" si="2">G7*G$4</f>
        <v>2985282.4500202364</v>
      </c>
      <c r="H11" s="16">
        <f t="shared" ca="1" si="2"/>
        <v>2945117.6935054078</v>
      </c>
      <c r="I11" s="16">
        <f t="shared" ca="1" si="2"/>
        <v>3130357.3770068502</v>
      </c>
      <c r="J11" s="16">
        <f t="shared" ca="1" si="2"/>
        <v>3106938.1478112144</v>
      </c>
      <c r="K11" s="16">
        <f t="shared" ca="1" si="2"/>
        <v>3084534.546085957</v>
      </c>
      <c r="L11" s="16">
        <f t="shared" ca="1" si="2"/>
        <v>3276589.1151471492</v>
      </c>
      <c r="M11" s="16">
        <f t="shared" ca="1" si="2"/>
        <v>3257726.5522571658</v>
      </c>
      <c r="N11" s="16">
        <f t="shared" ca="1" si="2"/>
        <v>3240435.8261783943</v>
      </c>
      <c r="O11" s="16"/>
      <c r="P11" s="16"/>
      <c r="Q11" s="16"/>
      <c r="R11" s="16"/>
      <c r="S11" s="16"/>
      <c r="T11" s="16"/>
    </row>
    <row r="12" spans="2:20" x14ac:dyDescent="0.3">
      <c r="B12" t="s">
        <v>3</v>
      </c>
      <c r="C12" t="s">
        <v>1</v>
      </c>
      <c r="D12" s="16">
        <f>D8*D$4</f>
        <v>88406.17414399999</v>
      </c>
      <c r="E12" s="16">
        <f t="shared" ref="E12:N12" ca="1" si="3">E8*E$4</f>
        <v>120081.97968539951</v>
      </c>
      <c r="F12" s="16">
        <f t="shared" ca="1" si="3"/>
        <v>151494.78693106878</v>
      </c>
      <c r="G12" s="16">
        <f t="shared" ca="1" si="3"/>
        <v>182553.24334656121</v>
      </c>
      <c r="H12" s="16">
        <f t="shared" ca="1" si="3"/>
        <v>214190.37770948419</v>
      </c>
      <c r="I12" s="16">
        <f t="shared" ca="1" si="3"/>
        <v>246569.24544916968</v>
      </c>
      <c r="J12" s="16">
        <f t="shared" ca="1" si="3"/>
        <v>279516.92679270433</v>
      </c>
      <c r="K12" s="16">
        <f t="shared" ca="1" si="3"/>
        <v>312767.48893878574</v>
      </c>
      <c r="L12" s="16">
        <f t="shared" ca="1" si="3"/>
        <v>346042.41480101895</v>
      </c>
      <c r="M12" s="16">
        <f t="shared" ca="1" si="3"/>
        <v>380068.09776333591</v>
      </c>
      <c r="N12" s="16">
        <f t="shared" ca="1" si="3"/>
        <v>414601.21681743761</v>
      </c>
      <c r="O12" s="16"/>
      <c r="P12" s="16"/>
      <c r="Q12" s="16"/>
      <c r="R12" s="16"/>
      <c r="S12" s="322"/>
      <c r="T12" s="16"/>
    </row>
    <row r="13" spans="2:20" x14ac:dyDescent="0.3">
      <c r="B13" t="s">
        <v>4</v>
      </c>
      <c r="C13" t="s">
        <v>1</v>
      </c>
      <c r="D13" s="16">
        <f>D9*D$4</f>
        <v>147343.62357333335</v>
      </c>
      <c r="E13" s="16">
        <f>E9*D$4</f>
        <v>184179.52946666666</v>
      </c>
      <c r="F13" s="16">
        <f ca="1">F9*E$4</f>
        <v>218330.87215527185</v>
      </c>
      <c r="G13" s="16">
        <f ca="1">G9*F$4</f>
        <v>252491.31155178137</v>
      </c>
      <c r="H13" s="16">
        <f t="shared" ref="H13:M13" ca="1" si="4">H9*G$4</f>
        <v>286358.0287789196</v>
      </c>
      <c r="I13" s="16">
        <f t="shared" ca="1" si="4"/>
        <v>321285.56656422635</v>
      </c>
      <c r="J13" s="16">
        <f t="shared" ca="1" si="4"/>
        <v>357346.7325350286</v>
      </c>
      <c r="K13" s="16">
        <f t="shared" ca="1" si="4"/>
        <v>394190.53778458311</v>
      </c>
      <c r="L13" s="16">
        <f t="shared" ca="1" si="4"/>
        <v>431403.43301901489</v>
      </c>
      <c r="M13" s="16">
        <f t="shared" ca="1" si="4"/>
        <v>468599.10337637994</v>
      </c>
      <c r="N13" s="16">
        <f ca="1">N9*M$4</f>
        <v>506757.46368444798</v>
      </c>
      <c r="O13" s="16"/>
      <c r="P13" s="16"/>
      <c r="Q13" s="16"/>
      <c r="R13" s="16"/>
      <c r="S13" s="16"/>
      <c r="T13" s="16"/>
    </row>
    <row r="14" spans="2:20" x14ac:dyDescent="0.3">
      <c r="D14" s="16"/>
      <c r="E14" s="16"/>
      <c r="F14" s="16"/>
      <c r="G14" s="16"/>
      <c r="H14" s="16"/>
      <c r="I14" s="16"/>
      <c r="J14" s="16"/>
      <c r="K14" s="16"/>
      <c r="L14" s="16"/>
      <c r="M14" s="16"/>
      <c r="N14" s="16"/>
      <c r="O14" s="16"/>
      <c r="P14" s="16"/>
      <c r="Q14" s="16"/>
      <c r="R14" s="16"/>
      <c r="S14" s="16"/>
      <c r="T14" s="16"/>
    </row>
    <row r="15" spans="2:20" x14ac:dyDescent="0.3">
      <c r="B15" t="s">
        <v>135</v>
      </c>
      <c r="C15" t="s">
        <v>52</v>
      </c>
      <c r="D15" s="31">
        <v>10.130000000000001</v>
      </c>
      <c r="E15" s="31">
        <v>10.4</v>
      </c>
      <c r="F15" s="31">
        <f t="shared" ref="F15:N15" si="5">E15*(1+inflation_rate)</f>
        <v>10.5976</v>
      </c>
      <c r="G15" s="31">
        <f t="shared" si="5"/>
        <v>10.7989544</v>
      </c>
      <c r="H15" s="31">
        <f t="shared" si="5"/>
        <v>11.004134533599998</v>
      </c>
      <c r="I15" s="31">
        <f t="shared" si="5"/>
        <v>11.213213089738398</v>
      </c>
      <c r="J15" s="31">
        <f t="shared" si="5"/>
        <v>11.426264138443425</v>
      </c>
      <c r="K15" s="31">
        <f t="shared" si="5"/>
        <v>11.64336315707385</v>
      </c>
      <c r="L15" s="31">
        <f t="shared" si="5"/>
        <v>11.864587057058252</v>
      </c>
      <c r="M15" s="31">
        <f t="shared" si="5"/>
        <v>12.090014211142357</v>
      </c>
      <c r="N15" s="31">
        <f t="shared" si="5"/>
        <v>12.319724481154061</v>
      </c>
      <c r="O15" s="22"/>
      <c r="S15" s="323"/>
    </row>
    <row r="16" spans="2:20" x14ac:dyDescent="0.3">
      <c r="B16" t="s">
        <v>136</v>
      </c>
      <c r="C16" t="s">
        <v>52</v>
      </c>
      <c r="D16" s="31">
        <v>60.78</v>
      </c>
      <c r="E16" s="31">
        <v>62.42</v>
      </c>
      <c r="F16" s="31">
        <f t="shared" ref="F16:N16" si="6">E16*(1+inflation_rate)</f>
        <v>63.605979999999995</v>
      </c>
      <c r="G16" s="31">
        <f t="shared" si="6"/>
        <v>64.814493619999993</v>
      </c>
      <c r="H16" s="31">
        <f t="shared" si="6"/>
        <v>66.045968998779983</v>
      </c>
      <c r="I16" s="31">
        <f t="shared" si="6"/>
        <v>67.300842409756797</v>
      </c>
      <c r="J16" s="31">
        <f t="shared" si="6"/>
        <v>68.579558415542166</v>
      </c>
      <c r="K16" s="31">
        <f t="shared" si="6"/>
        <v>69.88257002543746</v>
      </c>
      <c r="L16" s="31">
        <f t="shared" si="6"/>
        <v>71.210338855920767</v>
      </c>
      <c r="M16" s="31">
        <f t="shared" si="6"/>
        <v>72.563335294183261</v>
      </c>
      <c r="N16" s="31">
        <f t="shared" si="6"/>
        <v>73.942038664772738</v>
      </c>
    </row>
    <row r="17" spans="2:16" x14ac:dyDescent="0.3">
      <c r="B17" t="s">
        <v>134</v>
      </c>
      <c r="C17" t="s">
        <v>52</v>
      </c>
      <c r="D17" s="31">
        <f>D16</f>
        <v>60.78</v>
      </c>
      <c r="E17" s="31">
        <f t="shared" ref="E17" si="7">E16</f>
        <v>62.42</v>
      </c>
      <c r="F17" s="31">
        <f t="shared" ref="F17:N17" si="8">E17*(1+inflation_rate)</f>
        <v>63.605979999999995</v>
      </c>
      <c r="G17" s="31">
        <f t="shared" si="8"/>
        <v>64.814493619999993</v>
      </c>
      <c r="H17" s="31">
        <f t="shared" si="8"/>
        <v>66.045968998779983</v>
      </c>
      <c r="I17" s="31">
        <f t="shared" si="8"/>
        <v>67.300842409756797</v>
      </c>
      <c r="J17" s="31">
        <f t="shared" si="8"/>
        <v>68.579558415542166</v>
      </c>
      <c r="K17" s="31">
        <f t="shared" si="8"/>
        <v>69.88257002543746</v>
      </c>
      <c r="L17" s="31">
        <f t="shared" si="8"/>
        <v>71.210338855920767</v>
      </c>
      <c r="M17" s="31">
        <f t="shared" si="8"/>
        <v>72.563335294183261</v>
      </c>
      <c r="N17" s="31">
        <f t="shared" si="8"/>
        <v>73.942038664772738</v>
      </c>
    </row>
    <row r="19" spans="2:16" x14ac:dyDescent="0.3">
      <c r="B19" t="s">
        <v>25</v>
      </c>
      <c r="C19" t="s">
        <v>1</v>
      </c>
      <c r="D19" s="22">
        <f>'Tier I'!D6+'Tier I'!D7</f>
        <v>1385860</v>
      </c>
      <c r="E19" s="22">
        <f>'Tier I'!E6+'Tier I'!E7</f>
        <v>1385860</v>
      </c>
      <c r="F19" s="22">
        <f>'Tier I'!F6+'Tier I'!F7</f>
        <v>1385860</v>
      </c>
      <c r="G19" s="22">
        <f>'Tier I'!G6+'Tier I'!G7</f>
        <v>1385860</v>
      </c>
      <c r="H19" s="22">
        <f>'Tier I'!H6+'Tier I'!H7</f>
        <v>1385860</v>
      </c>
      <c r="I19" s="22">
        <f>'Tier I'!I6+'Tier I'!I7</f>
        <v>1385860</v>
      </c>
      <c r="J19" s="22">
        <f>'Tier I'!J6+'Tier I'!J7</f>
        <v>1385860</v>
      </c>
      <c r="K19" s="22">
        <f>'Tier I'!K6+'Tier I'!K7</f>
        <v>1385860</v>
      </c>
      <c r="L19" s="22">
        <f>'Tier I'!L6+'Tier I'!L7</f>
        <v>1300860</v>
      </c>
      <c r="M19" s="22">
        <f>'Tier I'!M6+'Tier I'!M7</f>
        <v>1300860</v>
      </c>
      <c r="N19" s="22">
        <f>'Tier I'!N6+'Tier I'!N7</f>
        <v>1300860</v>
      </c>
      <c r="O19" s="22"/>
    </row>
    <row r="20" spans="2:16" x14ac:dyDescent="0.3">
      <c r="B20" t="s">
        <v>26</v>
      </c>
      <c r="C20" t="s">
        <v>1</v>
      </c>
      <c r="D20" s="16">
        <f>SUM('Tier II'!D5:D8)</f>
        <v>50525.531172000003</v>
      </c>
      <c r="E20" s="16">
        <f>SUM('Tier II'!E5:E8)</f>
        <v>111160.96069659141</v>
      </c>
      <c r="F20" s="16">
        <f>SUM('Tier II'!F5:F8)</f>
        <v>148169.88244173976</v>
      </c>
      <c r="G20" s="16">
        <f>SUM('Tier II'!G5:G8)</f>
        <v>190545.99167513661</v>
      </c>
      <c r="H20" s="16">
        <f>SUM('Tier II'!H5:H8)</f>
        <v>226989.60224165156</v>
      </c>
      <c r="I20" s="16">
        <f>SUM('Tier II'!I5:I8)</f>
        <v>257873.13742094097</v>
      </c>
      <c r="J20" s="16">
        <f>SUM('Tier II'!J5:J8)</f>
        <v>280235.81400357391</v>
      </c>
      <c r="K20" s="16">
        <f>SUM('Tier II'!K5:K8)</f>
        <v>301428.15661409928</v>
      </c>
      <c r="L20" s="16">
        <f>SUM('Tier II'!L5:L8)</f>
        <v>321162.02664737031</v>
      </c>
      <c r="M20" s="16">
        <f>SUM('Tier II'!M5:M8)</f>
        <v>324446.72765408736</v>
      </c>
      <c r="N20" s="16">
        <f>SUM('Tier II'!N5:N8)</f>
        <v>329352.32765408739</v>
      </c>
    </row>
    <row r="21" spans="2:16" x14ac:dyDescent="0.3">
      <c r="B21" t="s">
        <v>27</v>
      </c>
      <c r="C21" t="s">
        <v>1</v>
      </c>
      <c r="D21" s="16"/>
      <c r="E21" s="16"/>
      <c r="F21" s="16"/>
      <c r="G21" s="16"/>
      <c r="H21" s="16"/>
      <c r="I21" s="16"/>
      <c r="J21" s="16"/>
      <c r="K21" s="16"/>
      <c r="L21" s="16"/>
      <c r="M21" s="16"/>
      <c r="N21" s="16"/>
    </row>
    <row r="23" spans="2:16" x14ac:dyDescent="0.3">
      <c r="B23" t="s">
        <v>44</v>
      </c>
      <c r="C23" t="s">
        <v>1</v>
      </c>
      <c r="D23" s="18">
        <f>D11-D19</f>
        <v>1564696.0620559999</v>
      </c>
      <c r="E23" s="18">
        <f t="shared" ref="E23:N23" ca="1" si="9">E11-E19</f>
        <v>1496107.5124495886</v>
      </c>
      <c r="F23" s="18">
        <f t="shared" ca="1" si="9"/>
        <v>1654856.7948307381</v>
      </c>
      <c r="G23" s="18">
        <f t="shared" ca="1" si="9"/>
        <v>1599422.4500202364</v>
      </c>
      <c r="H23" s="18">
        <f t="shared" ca="1" si="9"/>
        <v>1559257.6935054078</v>
      </c>
      <c r="I23" s="18">
        <f t="shared" ca="1" si="9"/>
        <v>1744497.3770068502</v>
      </c>
      <c r="J23" s="18">
        <f t="shared" ca="1" si="9"/>
        <v>1721078.1478112144</v>
      </c>
      <c r="K23" s="18">
        <f t="shared" ca="1" si="9"/>
        <v>1698674.546085957</v>
      </c>
      <c r="L23" s="18">
        <f t="shared" ca="1" si="9"/>
        <v>1975729.1151471492</v>
      </c>
      <c r="M23" s="18">
        <f t="shared" ca="1" si="9"/>
        <v>1956866.5522571658</v>
      </c>
      <c r="N23" s="18">
        <f t="shared" ca="1" si="9"/>
        <v>1939575.8261783943</v>
      </c>
      <c r="O23" s="18"/>
    </row>
    <row r="24" spans="2:16" x14ac:dyDescent="0.3">
      <c r="B24" t="s">
        <v>45</v>
      </c>
      <c r="C24" t="s">
        <v>1</v>
      </c>
      <c r="D24" s="18">
        <f>D12-D20</f>
        <v>37880.642971999987</v>
      </c>
      <c r="E24" s="18">
        <f ca="1">E12-E20</f>
        <v>8921.0189888080931</v>
      </c>
      <c r="F24" s="18">
        <f t="shared" ref="F24:N24" ca="1" si="10">F12-F20</f>
        <v>3324.9044893290265</v>
      </c>
      <c r="G24" s="18">
        <f t="shared" ca="1" si="10"/>
        <v>-7992.7483285753988</v>
      </c>
      <c r="H24" s="18">
        <f t="shared" ca="1" si="10"/>
        <v>-12799.224532167369</v>
      </c>
      <c r="I24" s="18">
        <f t="shared" ca="1" si="10"/>
        <v>-11303.891971771285</v>
      </c>
      <c r="J24" s="18">
        <f t="shared" ca="1" si="10"/>
        <v>-718.88721086957958</v>
      </c>
      <c r="K24" s="18">
        <f t="shared" ca="1" si="10"/>
        <v>11339.33232468646</v>
      </c>
      <c r="L24" s="18">
        <f t="shared" ca="1" si="10"/>
        <v>24880.388153648644</v>
      </c>
      <c r="M24" s="18">
        <f t="shared" ca="1" si="10"/>
        <v>55621.370109248557</v>
      </c>
      <c r="N24" s="18">
        <f t="shared" ca="1" si="10"/>
        <v>85248.889163350221</v>
      </c>
      <c r="O24" s="18"/>
    </row>
    <row r="25" spans="2:16" x14ac:dyDescent="0.3">
      <c r="B25" t="s">
        <v>46</v>
      </c>
      <c r="C25" t="s">
        <v>1</v>
      </c>
      <c r="D25" s="18">
        <f>D13-D21</f>
        <v>147343.62357333335</v>
      </c>
      <c r="E25" s="18">
        <f>E13-E21</f>
        <v>184179.52946666666</v>
      </c>
      <c r="F25" s="18">
        <f t="shared" ref="F25:N25" ca="1" si="11">F13-F21</f>
        <v>218330.87215527185</v>
      </c>
      <c r="G25" s="18">
        <f t="shared" ca="1" si="11"/>
        <v>252491.31155178137</v>
      </c>
      <c r="H25" s="18">
        <f t="shared" ca="1" si="11"/>
        <v>286358.0287789196</v>
      </c>
      <c r="I25" s="18">
        <f t="shared" ca="1" si="11"/>
        <v>321285.56656422635</v>
      </c>
      <c r="J25" s="18">
        <f t="shared" ca="1" si="11"/>
        <v>357346.7325350286</v>
      </c>
      <c r="K25" s="18">
        <f t="shared" ca="1" si="11"/>
        <v>394190.53778458311</v>
      </c>
      <c r="L25" s="18">
        <f t="shared" ca="1" si="11"/>
        <v>431403.43301901489</v>
      </c>
      <c r="M25" s="18">
        <f t="shared" ca="1" si="11"/>
        <v>468599.10337637994</v>
      </c>
      <c r="N25" s="18">
        <f t="shared" ca="1" si="11"/>
        <v>506757.46368444798</v>
      </c>
      <c r="O25" s="18"/>
    </row>
    <row r="27" spans="2:16" x14ac:dyDescent="0.3">
      <c r="B27" t="s">
        <v>47</v>
      </c>
      <c r="C27" t="s">
        <v>53</v>
      </c>
      <c r="D27" s="32">
        <f>'Tier I'!D19</f>
        <v>1564696.0620559999</v>
      </c>
      <c r="E27" s="32">
        <f ca="1">'Tier I'!E19</f>
        <v>1496107.5124495886</v>
      </c>
      <c r="F27" s="32">
        <f ca="1">'Tier I'!F19</f>
        <v>1985828.1537968856</v>
      </c>
      <c r="G27" s="32">
        <f ca="1">'Tier I'!G19</f>
        <v>2303168.3280291404</v>
      </c>
      <c r="H27" s="32">
        <f ca="1">'Tier I'!H19</f>
        <v>2694397.2943773447</v>
      </c>
      <c r="I27" s="32">
        <f ca="1">'Tier I'!I19</f>
        <v>3617389.7609614045</v>
      </c>
      <c r="J27" s="32">
        <f ca="1">'Tier I'!J19</f>
        <v>4282593.1767616011</v>
      </c>
      <c r="K27" s="32">
        <f ca="1">'Tier I'!K19</f>
        <v>5072215.0158199295</v>
      </c>
      <c r="L27" s="32">
        <f ca="1">'Tier I'!L19</f>
        <v>7079394.6313962536</v>
      </c>
      <c r="M27" s="32">
        <f ca="1">'Tier I'!M19</f>
        <v>8414167.9898520857</v>
      </c>
      <c r="N27" s="32">
        <f ca="1">'Tier I'!N19</f>
        <v>10007785.239129445</v>
      </c>
      <c r="O27" s="32"/>
      <c r="P27" s="31"/>
    </row>
    <row r="28" spans="2:16" x14ac:dyDescent="0.3">
      <c r="B28" t="s">
        <v>48</v>
      </c>
      <c r="C28" t="s">
        <v>53</v>
      </c>
      <c r="D28" s="32">
        <f>'Tier II'!D22</f>
        <v>2090475.9975000001</v>
      </c>
      <c r="E28" s="32">
        <f ca="1">'Tier II'!E22</f>
        <v>7051933.49607273</v>
      </c>
      <c r="F28" s="32">
        <f ca="1">'Tier II'!F22</f>
        <v>8541778.9121174291</v>
      </c>
      <c r="G28" s="32">
        <f ca="1">'Tier II'!G22</f>
        <v>9608301.9148387071</v>
      </c>
      <c r="H28" s="32">
        <f ca="1">'Tier II'!H22</f>
        <v>10492315.326744355</v>
      </c>
      <c r="I28" s="32">
        <f ca="1">'Tier II'!I22</f>
        <v>11367071.696132941</v>
      </c>
      <c r="J28" s="32">
        <f ca="1">'Tier II'!J22</f>
        <v>12213444.112634474</v>
      </c>
      <c r="K28" s="32">
        <f ca="1">'Tier II'!K22</f>
        <v>13061536.879339132</v>
      </c>
      <c r="L28" s="32">
        <f ca="1">'Tier II'!L22</f>
        <v>13902946.37606132</v>
      </c>
      <c r="M28" s="32">
        <f ca="1">'Tier II'!M22</f>
        <v>14770011.955152828</v>
      </c>
      <c r="N28" s="32">
        <f ca="1">'Tier II'!N22</f>
        <v>15657867.931505373</v>
      </c>
    </row>
    <row r="29" spans="2:16" x14ac:dyDescent="0.3">
      <c r="B29" t="s">
        <v>49</v>
      </c>
      <c r="C29" t="s">
        <v>53</v>
      </c>
      <c r="D29" s="16">
        <f>'Tier III'!D74-'Tier III'!D58</f>
        <v>0</v>
      </c>
      <c r="E29" s="16">
        <f ca="1">'Tier III'!E74</f>
        <v>5588726.8703920599</v>
      </c>
      <c r="F29" s="16">
        <f ca="1">'Tier III'!F74</f>
        <v>6906210.0779011119</v>
      </c>
      <c r="G29" s="16">
        <f ca="1">'Tier III'!G74</f>
        <v>8583779.7718063593</v>
      </c>
      <c r="H29" s="16">
        <f ca="1">'Tier III'!H74</f>
        <v>10486553.065164234</v>
      </c>
      <c r="I29" s="16">
        <f ca="1">'Tier III'!I74</f>
        <v>12689737.649835033</v>
      </c>
      <c r="J29" s="16">
        <f ca="1">'Tier III'!J74</f>
        <v>15146397.561078265</v>
      </c>
      <c r="K29" s="16">
        <f ca="1">'Tier III'!K74</f>
        <v>18161113.998098265</v>
      </c>
      <c r="L29" s="16">
        <f ca="1">'Tier III'!L74</f>
        <v>21313215.071244419</v>
      </c>
      <c r="M29" s="16">
        <f ca="1">'Tier III'!M74</f>
        <v>25075172.124253448</v>
      </c>
      <c r="N29" s="16">
        <f ca="1">'Tier III'!N74</f>
        <v>29292289.11192096</v>
      </c>
    </row>
    <row r="31" spans="2:16" x14ac:dyDescent="0.3">
      <c r="B31" t="s">
        <v>79</v>
      </c>
      <c r="C31" t="s">
        <v>52</v>
      </c>
      <c r="D31" s="31">
        <f>'Tier I'!D18</f>
        <v>1</v>
      </c>
      <c r="E31" s="31">
        <f>'Tier I'!E18</f>
        <v>1</v>
      </c>
      <c r="F31" s="31">
        <f>'Tier I'!F18</f>
        <v>1.2</v>
      </c>
      <c r="G31" s="31">
        <f>'Tier I'!G18</f>
        <v>1.44</v>
      </c>
      <c r="H31" s="31">
        <f>'Tier I'!H18</f>
        <v>1.728</v>
      </c>
      <c r="I31" s="31">
        <f>'Tier I'!I18</f>
        <v>2.0735999999999999</v>
      </c>
      <c r="J31" s="31">
        <f>'Tier I'!J18</f>
        <v>2.4883199999999999</v>
      </c>
      <c r="K31" s="31">
        <f>'Tier I'!K18</f>
        <v>2.9859839999999997</v>
      </c>
      <c r="L31" s="31">
        <f>'Tier I'!L18</f>
        <v>3.5831807999999996</v>
      </c>
      <c r="M31" s="31">
        <f>'Tier I'!M18</f>
        <v>4.2998169599999994</v>
      </c>
      <c r="N31" s="31">
        <f>'Tier I'!N18</f>
        <v>5.1597803519999994</v>
      </c>
      <c r="O31" s="31"/>
    </row>
    <row r="32" spans="2:16" x14ac:dyDescent="0.3">
      <c r="B32" t="s">
        <v>80</v>
      </c>
      <c r="C32" t="s">
        <v>52</v>
      </c>
      <c r="D32" s="31">
        <f>'Tier II'!D16</f>
        <v>0</v>
      </c>
      <c r="E32" s="31">
        <f>'Tier II'!E16</f>
        <v>25</v>
      </c>
      <c r="F32" s="31">
        <f>'Tier II'!F16</f>
        <v>25</v>
      </c>
      <c r="G32" s="31">
        <f>'Tier II'!G16</f>
        <v>25</v>
      </c>
      <c r="H32" s="31">
        <f>'Tier II'!H16</f>
        <v>25</v>
      </c>
      <c r="I32" s="31">
        <f>'Tier II'!I16</f>
        <v>25</v>
      </c>
      <c r="J32" s="31">
        <f>'Tier II'!J16</f>
        <v>25</v>
      </c>
      <c r="K32" s="31">
        <f>'Tier II'!K16</f>
        <v>25</v>
      </c>
      <c r="L32" s="31">
        <f>'Tier II'!L16</f>
        <v>25</v>
      </c>
      <c r="M32" s="31">
        <f>'Tier II'!M16</f>
        <v>25</v>
      </c>
      <c r="N32" s="31">
        <f>'Tier II'!N16</f>
        <v>25</v>
      </c>
      <c r="O32" s="31"/>
    </row>
    <row r="33" spans="2:16" x14ac:dyDescent="0.3">
      <c r="B33" t="s">
        <v>81</v>
      </c>
      <c r="C33" t="s">
        <v>52</v>
      </c>
      <c r="D33" s="31">
        <f t="shared" ref="D33:N33" si="12">D29/D25</f>
        <v>0</v>
      </c>
      <c r="E33" s="31">
        <f t="shared" ca="1" si="12"/>
        <v>30.343908938064281</v>
      </c>
      <c r="F33" s="31">
        <f t="shared" ca="1" si="12"/>
        <v>31.631853112323828</v>
      </c>
      <c r="G33" s="31">
        <f t="shared" ca="1" si="12"/>
        <v>33.996337216720356</v>
      </c>
      <c r="H33" s="31">
        <f t="shared" ca="1" si="12"/>
        <v>36.620426219165985</v>
      </c>
      <c r="I33" s="31">
        <f t="shared" ca="1" si="12"/>
        <v>39.496756065132175</v>
      </c>
      <c r="J33" s="31">
        <f t="shared" ca="1" si="12"/>
        <v>42.385717237791042</v>
      </c>
      <c r="K33" s="31">
        <f t="shared" ca="1" si="12"/>
        <v>46.071917657300375</v>
      </c>
      <c r="L33" s="31">
        <f t="shared" ca="1" si="12"/>
        <v>49.404370572788189</v>
      </c>
      <c r="M33" s="31">
        <f t="shared" ca="1" si="12"/>
        <v>53.510926383725938</v>
      </c>
      <c r="N33" s="31">
        <f t="shared" ca="1" si="12"/>
        <v>57.803369878259808</v>
      </c>
    </row>
    <row r="36" spans="2:16" x14ac:dyDescent="0.3">
      <c r="D36" s="23">
        <f>D7+D8</f>
        <v>0.55000000000000004</v>
      </c>
      <c r="E36" s="23">
        <f t="shared" ref="E36:N36" si="13">E7+E8</f>
        <v>0.55000000000000004</v>
      </c>
      <c r="F36" s="23">
        <f t="shared" si="13"/>
        <v>0.59</v>
      </c>
      <c r="G36" s="23">
        <f t="shared" si="13"/>
        <v>0.59</v>
      </c>
      <c r="H36" s="23">
        <f t="shared" si="13"/>
        <v>0.59</v>
      </c>
      <c r="I36" s="23">
        <f t="shared" si="13"/>
        <v>0.63</v>
      </c>
      <c r="J36" s="23">
        <f t="shared" si="13"/>
        <v>0.63000000000000012</v>
      </c>
      <c r="K36" s="23">
        <f t="shared" si="13"/>
        <v>0.63</v>
      </c>
      <c r="L36" s="23">
        <f t="shared" si="13"/>
        <v>0.67</v>
      </c>
      <c r="M36" s="23">
        <f t="shared" si="13"/>
        <v>0.67</v>
      </c>
      <c r="N36" s="23">
        <f t="shared" si="13"/>
        <v>0.67</v>
      </c>
    </row>
    <row r="39" spans="2:16" x14ac:dyDescent="0.3">
      <c r="E39" s="23">
        <f t="shared" ref="E39:L39" si="14">1-0.13-E6</f>
        <v>0.31999999999999995</v>
      </c>
      <c r="F39" s="23">
        <f t="shared" si="14"/>
        <v>0.28000000000000003</v>
      </c>
      <c r="G39" s="23">
        <f t="shared" si="14"/>
        <v>0.28000000000000003</v>
      </c>
      <c r="H39" s="23">
        <f t="shared" si="14"/>
        <v>0.28000000000000003</v>
      </c>
      <c r="I39" s="23">
        <f t="shared" si="14"/>
        <v>0.24</v>
      </c>
      <c r="J39" s="23">
        <f t="shared" si="14"/>
        <v>0.23999999999999988</v>
      </c>
      <c r="K39" s="23">
        <f t="shared" si="14"/>
        <v>0.24</v>
      </c>
      <c r="L39" s="23">
        <f t="shared" si="14"/>
        <v>0.19999999999999996</v>
      </c>
      <c r="M39" s="23">
        <f>1-0.13-M6</f>
        <v>0.19999999999999996</v>
      </c>
      <c r="N39" s="23">
        <f>1-0.13-N6</f>
        <v>0.19999999999999996</v>
      </c>
    </row>
    <row r="40" spans="2:16" x14ac:dyDescent="0.3">
      <c r="B40" t="s">
        <v>468</v>
      </c>
      <c r="E40" s="16">
        <f t="shared" ref="E40:L40" ca="1" si="15">+E39*E4</f>
        <v>1746646.9772421746</v>
      </c>
      <c r="F40" s="16">
        <f t="shared" ca="1" si="15"/>
        <v>1514947.8693106882</v>
      </c>
      <c r="G40" s="16">
        <f t="shared" ca="1" si="15"/>
        <v>1503379.6510893279</v>
      </c>
      <c r="H40" s="16">
        <f t="shared" ca="1" si="15"/>
        <v>1499332.6439663896</v>
      </c>
      <c r="I40" s="16">
        <f t="shared" ca="1" si="15"/>
        <v>1286448.2371261029</v>
      </c>
      <c r="J40" s="16">
        <f t="shared" ca="1" si="15"/>
        <v>1290078.123658635</v>
      </c>
      <c r="K40" s="16">
        <f t="shared" ca="1" si="15"/>
        <v>1294210.2990570446</v>
      </c>
      <c r="L40" s="16">
        <f t="shared" ca="1" si="15"/>
        <v>1081382.5462531841</v>
      </c>
      <c r="M40" s="16">
        <f ca="1">+M39*M4</f>
        <v>1085908.8507523884</v>
      </c>
      <c r="N40" s="16">
        <f ca="1">+N39*N4</f>
        <v>1091055.8337300988</v>
      </c>
    </row>
    <row r="41" spans="2:16" x14ac:dyDescent="0.3">
      <c r="B41" t="s">
        <v>471</v>
      </c>
      <c r="E41" s="16">
        <f ca="1">E40*7.8</f>
        <v>13623846.422488961</v>
      </c>
      <c r="F41" s="16">
        <f t="shared" ref="F41:N41" ca="1" si="16">F40*7.8</f>
        <v>11816593.380623369</v>
      </c>
      <c r="G41" s="16">
        <f t="shared" ca="1" si="16"/>
        <v>11726361.278496757</v>
      </c>
      <c r="H41" s="16">
        <f t="shared" ca="1" si="16"/>
        <v>11694794.622937838</v>
      </c>
      <c r="I41" s="16">
        <f t="shared" ca="1" si="16"/>
        <v>10034296.249583602</v>
      </c>
      <c r="J41" s="16">
        <f t="shared" ca="1" si="16"/>
        <v>10062609.364537353</v>
      </c>
      <c r="K41" s="16">
        <f t="shared" ca="1" si="16"/>
        <v>10094840.332644947</v>
      </c>
      <c r="L41" s="16">
        <f t="shared" ca="1" si="16"/>
        <v>8434783.8607748356</v>
      </c>
      <c r="M41" s="16">
        <f t="shared" ca="1" si="16"/>
        <v>8470089.0358686298</v>
      </c>
      <c r="N41" s="16">
        <f t="shared" ca="1" si="16"/>
        <v>8510235.50309477</v>
      </c>
      <c r="P41" s="18"/>
    </row>
    <row r="42" spans="2:16" x14ac:dyDescent="0.3">
      <c r="B42" t="s">
        <v>469</v>
      </c>
      <c r="E42" s="18">
        <f t="shared" ref="E42:M42" ca="1" si="17">$E$40-E40</f>
        <v>0</v>
      </c>
      <c r="F42" s="18">
        <f ca="1">$E$40-F40</f>
        <v>231699.10793148633</v>
      </c>
      <c r="G42" s="18">
        <f t="shared" ca="1" si="17"/>
        <v>243267.32615284668</v>
      </c>
      <c r="H42" s="18">
        <f t="shared" ca="1" si="17"/>
        <v>247314.33327578497</v>
      </c>
      <c r="I42" s="18">
        <f t="shared" ca="1" si="17"/>
        <v>460198.74011607165</v>
      </c>
      <c r="J42" s="18">
        <f t="shared" ca="1" si="17"/>
        <v>456568.8535835396</v>
      </c>
      <c r="K42" s="18">
        <f t="shared" ca="1" si="17"/>
        <v>452436.67818513</v>
      </c>
      <c r="L42" s="18">
        <f t="shared" ca="1" si="17"/>
        <v>665264.43098899047</v>
      </c>
      <c r="M42" s="18">
        <f t="shared" ca="1" si="17"/>
        <v>660738.1264897862</v>
      </c>
      <c r="N42" s="18">
        <f ca="1">$E$40-N40</f>
        <v>655591.14351207577</v>
      </c>
      <c r="P42" s="18"/>
    </row>
    <row r="43" spans="2:16" x14ac:dyDescent="0.3">
      <c r="B43" t="s">
        <v>470</v>
      </c>
      <c r="E43" s="18">
        <f ca="1">E42*7.8</f>
        <v>0</v>
      </c>
      <c r="F43" s="18">
        <f t="shared" ref="F43:M43" ca="1" si="18">F42*7.8</f>
        <v>1807253.0418655933</v>
      </c>
      <c r="G43" s="18">
        <f t="shared" ca="1" si="18"/>
        <v>1897485.143992204</v>
      </c>
      <c r="H43" s="18">
        <f t="shared" ca="1" si="18"/>
        <v>1929051.7995511228</v>
      </c>
      <c r="I43" s="18">
        <f t="shared" ca="1" si="18"/>
        <v>3589550.172905359</v>
      </c>
      <c r="J43" s="18">
        <f t="shared" ca="1" si="18"/>
        <v>3561237.0579516087</v>
      </c>
      <c r="K43" s="18">
        <f t="shared" ca="1" si="18"/>
        <v>3529006.089844014</v>
      </c>
      <c r="L43" s="18">
        <f t="shared" ca="1" si="18"/>
        <v>5189062.5617141258</v>
      </c>
      <c r="M43" s="18">
        <f t="shared" ca="1" si="18"/>
        <v>5153757.3866203325</v>
      </c>
      <c r="N43" s="18">
        <f ca="1">N42*7.8</f>
        <v>5113610.9193941904</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X46"/>
  <sheetViews>
    <sheetView zoomScale="80" zoomScaleNormal="80" workbookViewId="0">
      <selection activeCell="C34" sqref="C34:C41"/>
    </sheetView>
  </sheetViews>
  <sheetFormatPr defaultRowHeight="14.4" x14ac:dyDescent="0.3"/>
  <cols>
    <col min="2" max="2" width="46.88671875" customWidth="1"/>
    <col min="3" max="3" width="17" customWidth="1"/>
    <col min="4" max="5" width="14.88671875" hidden="1" customWidth="1"/>
    <col min="6" max="9" width="14.44140625" bestFit="1" customWidth="1"/>
    <col min="10" max="13" width="15.88671875" bestFit="1" customWidth="1"/>
    <col min="14" max="15" width="16.33203125" bestFit="1" customWidth="1"/>
    <col min="16" max="16" width="13.44140625" bestFit="1" customWidth="1"/>
    <col min="17" max="17" width="14.88671875" bestFit="1" customWidth="1"/>
  </cols>
  <sheetData>
    <row r="1" spans="2:24" ht="15" thickBot="1" x14ac:dyDescent="0.35"/>
    <row r="2" spans="2:24" x14ac:dyDescent="0.3">
      <c r="B2" s="178" t="s">
        <v>208</v>
      </c>
      <c r="C2" s="179"/>
    </row>
    <row r="3" spans="2:24" x14ac:dyDescent="0.3">
      <c r="B3" s="175" t="s">
        <v>209</v>
      </c>
      <c r="C3" s="177">
        <v>0.5</v>
      </c>
    </row>
    <row r="4" spans="2:24" x14ac:dyDescent="0.3">
      <c r="B4" s="175" t="s">
        <v>210</v>
      </c>
      <c r="C4" s="177">
        <v>0.45</v>
      </c>
    </row>
    <row r="5" spans="2:24" ht="15" thickBot="1" x14ac:dyDescent="0.35">
      <c r="B5" s="176" t="s">
        <v>211</v>
      </c>
      <c r="C5" s="183">
        <v>0.05</v>
      </c>
    </row>
    <row r="6" spans="2:24" ht="15" thickBot="1" x14ac:dyDescent="0.35">
      <c r="B6" s="423" t="s">
        <v>751</v>
      </c>
      <c r="C6" s="424">
        <v>886117966</v>
      </c>
    </row>
    <row r="9" spans="2:24" s="14" customFormat="1" x14ac:dyDescent="0.3">
      <c r="C9" s="14" t="s">
        <v>213</v>
      </c>
      <c r="D9" s="15">
        <v>2017</v>
      </c>
      <c r="E9" s="426">
        <f>base_year-1</f>
        <v>2018</v>
      </c>
      <c r="F9" s="60">
        <f>E9+1</f>
        <v>2019</v>
      </c>
      <c r="G9" s="60">
        <f t="shared" ref="G9:O9" si="0">F9+1</f>
        <v>2020</v>
      </c>
      <c r="H9" s="60">
        <f t="shared" si="0"/>
        <v>2021</v>
      </c>
      <c r="I9" s="60">
        <f t="shared" si="0"/>
        <v>2022</v>
      </c>
      <c r="J9" s="60">
        <f t="shared" si="0"/>
        <v>2023</v>
      </c>
      <c r="K9" s="60">
        <f t="shared" si="0"/>
        <v>2024</v>
      </c>
      <c r="L9" s="60">
        <f t="shared" si="0"/>
        <v>2025</v>
      </c>
      <c r="M9" s="60">
        <f t="shared" si="0"/>
        <v>2026</v>
      </c>
      <c r="N9" s="60">
        <f t="shared" si="0"/>
        <v>2027</v>
      </c>
      <c r="O9" s="60">
        <f t="shared" si="0"/>
        <v>2028</v>
      </c>
      <c r="P9" s="15"/>
      <c r="Q9" s="15"/>
      <c r="R9" s="15"/>
      <c r="S9" s="15"/>
      <c r="T9" s="15"/>
      <c r="U9" s="15"/>
      <c r="V9" s="15"/>
      <c r="W9" s="15"/>
      <c r="X9" s="15"/>
    </row>
    <row r="10" spans="2:24" x14ac:dyDescent="0.3">
      <c r="E10" s="27"/>
    </row>
    <row r="11" spans="2:24" x14ac:dyDescent="0.3">
      <c r="B11" s="20" t="s">
        <v>198</v>
      </c>
      <c r="E11" s="27"/>
    </row>
    <row r="12" spans="2:24" x14ac:dyDescent="0.3">
      <c r="B12" t="s">
        <v>57</v>
      </c>
      <c r="C12" s="147"/>
      <c r="E12" s="427">
        <f>C6*$C$3</f>
        <v>443058983</v>
      </c>
      <c r="F12" s="32">
        <f>E15*$C$3*'price forecasts'!E38</f>
        <v>443058983</v>
      </c>
      <c r="G12" s="32">
        <f>F15*$C$3*'price forecasts'!F38</f>
        <v>414152532.54086155</v>
      </c>
      <c r="H12" s="32">
        <f>G15*$C$3*'price forecasts'!G38</f>
        <v>450200370.04102218</v>
      </c>
      <c r="I12" s="32">
        <f>H15*$C$3*'price forecasts'!H38</f>
        <v>475770085.13708609</v>
      </c>
      <c r="J12" s="32">
        <f>I15*$C$3*'price forecasts'!I38</f>
        <v>495731802.77075243</v>
      </c>
      <c r="K12" s="32">
        <f>J15*$C$3*'price forecasts'!J38</f>
        <v>505806653.19368196</v>
      </c>
      <c r="L12" s="32">
        <f>K15*$C$3*'price forecasts'!K38</f>
        <v>527968493.41083002</v>
      </c>
      <c r="M12" s="32">
        <f>L15*$C$3*'price forecasts'!L38</f>
        <v>543765328.7242465</v>
      </c>
      <c r="N12" s="32">
        <f>M15*$C$3*'price forecasts'!M38</f>
        <v>564768208.075719</v>
      </c>
      <c r="O12" s="32">
        <f>N15*$C$3*'price forecasts'!N38</f>
        <v>576932379.99857795</v>
      </c>
      <c r="Q12" s="2">
        <f>(N12/E12)^(1/($N$9-$E$9))-1</f>
        <v>2.7334983466786422E-2</v>
      </c>
    </row>
    <row r="13" spans="2:24" x14ac:dyDescent="0.3">
      <c r="B13" t="s">
        <v>58</v>
      </c>
      <c r="C13" s="103"/>
      <c r="E13" s="427">
        <f>C6*$C$4</f>
        <v>398753084.69999999</v>
      </c>
      <c r="F13" s="32">
        <f>E13*(1+inflation_rate)</f>
        <v>406329393.30929995</v>
      </c>
      <c r="G13" s="32">
        <f t="shared" ref="G13:O13" si="1">F13*(1+inflation_rate)</f>
        <v>414049651.78217661</v>
      </c>
      <c r="H13" s="32">
        <f t="shared" si="1"/>
        <v>421916595.16603792</v>
      </c>
      <c r="I13" s="32">
        <f t="shared" si="1"/>
        <v>429933010.47419262</v>
      </c>
      <c r="J13" s="32">
        <f t="shared" si="1"/>
        <v>438101737.67320222</v>
      </c>
      <c r="K13" s="32">
        <f t="shared" si="1"/>
        <v>446425670.68899304</v>
      </c>
      <c r="L13" s="32">
        <f t="shared" si="1"/>
        <v>454907758.43208385</v>
      </c>
      <c r="M13" s="32">
        <f t="shared" si="1"/>
        <v>463551005.84229338</v>
      </c>
      <c r="N13" s="32">
        <f t="shared" si="1"/>
        <v>472358474.9532969</v>
      </c>
      <c r="O13" s="32">
        <f t="shared" si="1"/>
        <v>481333285.97740948</v>
      </c>
      <c r="Q13" s="2">
        <f>(N13/E13)^(1/($N$9-$E$9))-1</f>
        <v>1.8999999999999906E-2</v>
      </c>
    </row>
    <row r="14" spans="2:24" x14ac:dyDescent="0.3">
      <c r="B14" s="21" t="s">
        <v>59</v>
      </c>
      <c r="C14" s="148"/>
      <c r="D14" s="21"/>
      <c r="E14" s="428">
        <f>C6*$C$5</f>
        <v>44305898.300000004</v>
      </c>
      <c r="F14" s="86">
        <f>E14*(1+depreciation_rate)</f>
        <v>43862839.317000002</v>
      </c>
      <c r="G14" s="86">
        <f t="shared" ref="G14:O14" si="2">F14*(1+depreciation_rate)</f>
        <v>43424210.923830003</v>
      </c>
      <c r="H14" s="86">
        <f t="shared" si="2"/>
        <v>42989968.814591706</v>
      </c>
      <c r="I14" s="86">
        <f t="shared" si="2"/>
        <v>42560069.126445785</v>
      </c>
      <c r="J14" s="86">
        <f t="shared" si="2"/>
        <v>42134468.435181327</v>
      </c>
      <c r="K14" s="86">
        <f t="shared" si="2"/>
        <v>41713123.75082951</v>
      </c>
      <c r="L14" s="86">
        <f t="shared" si="2"/>
        <v>41295992.513321213</v>
      </c>
      <c r="M14" s="86">
        <f t="shared" si="2"/>
        <v>40883032.588188</v>
      </c>
      <c r="N14" s="86">
        <f t="shared" si="2"/>
        <v>40474202.262306117</v>
      </c>
      <c r="O14" s="86">
        <f t="shared" si="2"/>
        <v>40069460.239683054</v>
      </c>
      <c r="Q14" s="2">
        <f>(N14/E14)^(1/($N$9-$E$9))-1</f>
        <v>-1.0000000000000009E-2</v>
      </c>
    </row>
    <row r="15" spans="2:24" x14ac:dyDescent="0.3">
      <c r="B15" t="s">
        <v>60</v>
      </c>
      <c r="C15" s="147">
        <f>NPV(discount_rate,F15:O15)</f>
        <v>7157802470.9416351</v>
      </c>
      <c r="E15" s="429">
        <f>SUM(E12:E14)</f>
        <v>886117966</v>
      </c>
      <c r="F15" s="36">
        <f>SUM(F12:F14)</f>
        <v>893251215.62629998</v>
      </c>
      <c r="G15" s="36">
        <f t="shared" ref="G15:N15" si="3">SUM(G12:G14)</f>
        <v>871626395.24686813</v>
      </c>
      <c r="H15" s="36">
        <f t="shared" si="3"/>
        <v>915106934.02165174</v>
      </c>
      <c r="I15" s="36">
        <f t="shared" si="3"/>
        <v>948263164.73772454</v>
      </c>
      <c r="J15" s="36">
        <f t="shared" si="3"/>
        <v>975968008.87913609</v>
      </c>
      <c r="K15" s="36">
        <f t="shared" si="3"/>
        <v>993945447.63350439</v>
      </c>
      <c r="L15" s="36">
        <f t="shared" si="3"/>
        <v>1024172244.356235</v>
      </c>
      <c r="M15" s="36">
        <f t="shared" si="3"/>
        <v>1048199367.1547279</v>
      </c>
      <c r="N15" s="36">
        <f t="shared" si="3"/>
        <v>1077600885.291322</v>
      </c>
      <c r="O15" s="36">
        <f t="shared" ref="O15" si="4">SUM(O12:O14)</f>
        <v>1098335126.2156706</v>
      </c>
      <c r="Q15" s="2">
        <f>(N15/E15)^(1/($N$9-$E$9))-1</f>
        <v>2.1976032608478802E-2</v>
      </c>
    </row>
    <row r="16" spans="2:24" x14ac:dyDescent="0.3">
      <c r="E16" s="27"/>
    </row>
    <row r="17" spans="2:17" x14ac:dyDescent="0.3">
      <c r="B17" s="425" t="s">
        <v>188</v>
      </c>
      <c r="D17" s="22">
        <f>loads!D3</f>
        <v>5415649.5630000001</v>
      </c>
      <c r="E17" s="430">
        <f>SUMIF(loads!2:2,impact!E9,loads!3:3)</f>
        <v>5525385.8839999996</v>
      </c>
      <c r="F17" s="22">
        <f>SUMIF(loads!2:2,impact!F9,loads!3:3)</f>
        <v>5507402.4787720162</v>
      </c>
      <c r="G17" s="22">
        <f>SUMIF(loads!2:2,impact!G9,loads!3:3)</f>
        <v>5478640.8637917303</v>
      </c>
      <c r="H17" s="22">
        <f>SUMIF(loads!2:2,impact!H9,loads!3:3)</f>
        <v>5447546.1873072684</v>
      </c>
      <c r="I17" s="22">
        <f>SUMIF(loads!2:2,impact!I9,loads!3:3)</f>
        <v>5430404.0906622382</v>
      </c>
      <c r="J17" s="22">
        <f>SUMIF(loads!2:2,impact!J9,loads!3:3)</f>
        <v>5424998.3942818288</v>
      </c>
      <c r="K17" s="22">
        <f>SUMIF(loads!2:2,impact!K9,loads!3:3)</f>
        <v>5418071.810921696</v>
      </c>
      <c r="L17" s="22">
        <f>SUMIF(loads!2:2,impact!L9,loads!3:3)</f>
        <v>5409326.523895218</v>
      </c>
      <c r="M17" s="22">
        <f>SUMIF(loads!2:2,impact!M9,loads!3:3)</f>
        <v>5398909.6084400676</v>
      </c>
      <c r="N17" s="22">
        <f>SUMIF(loads!2:2,impact!N9,loads!3:3)</f>
        <v>5396715.1896089418</v>
      </c>
      <c r="O17" s="22">
        <f>SUMIF(loads!2:2,impact!O9,loads!3:3)</f>
        <v>5397658.3545843046</v>
      </c>
    </row>
    <row r="18" spans="2:17" s="19" customFormat="1" x14ac:dyDescent="0.3">
      <c r="B18" s="6" t="s">
        <v>196</v>
      </c>
      <c r="C18" s="149">
        <f>C15/NPV(discount_rate,F17:O17)</f>
        <v>178.88480567882075</v>
      </c>
      <c r="D18" s="146">
        <f>C6/D17</f>
        <v>163.62173284881726</v>
      </c>
      <c r="E18" s="431">
        <f>E15/E17</f>
        <v>160.37214134961221</v>
      </c>
      <c r="F18" s="146">
        <f>F15/F17</f>
        <v>162.19101819220373</v>
      </c>
      <c r="G18" s="146">
        <f t="shared" ref="G18:O18" si="5">G15/G17</f>
        <v>159.09536998627456</v>
      </c>
      <c r="H18" s="146">
        <f>H15/H17</f>
        <v>167.98516296270097</v>
      </c>
      <c r="I18" s="146">
        <f t="shared" si="5"/>
        <v>174.62110533694809</v>
      </c>
      <c r="J18" s="146">
        <f t="shared" si="5"/>
        <v>179.90199036885366</v>
      </c>
      <c r="K18" s="146">
        <f t="shared" si="5"/>
        <v>183.45003209996568</v>
      </c>
      <c r="L18" s="146">
        <f t="shared" si="5"/>
        <v>189.33452063432395</v>
      </c>
      <c r="M18" s="146">
        <f t="shared" si="5"/>
        <v>194.15019757250374</v>
      </c>
      <c r="N18" s="146">
        <f t="shared" si="5"/>
        <v>199.67718277336169</v>
      </c>
      <c r="O18" s="146">
        <f t="shared" si="5"/>
        <v>203.48363198697814</v>
      </c>
    </row>
    <row r="19" spans="2:17" s="19" customFormat="1" x14ac:dyDescent="0.3">
      <c r="B19" s="6"/>
      <c r="D19" s="193"/>
      <c r="E19" s="431"/>
      <c r="F19" s="146"/>
      <c r="G19" s="146"/>
      <c r="H19" s="146"/>
      <c r="I19" s="146"/>
      <c r="J19" s="146"/>
      <c r="K19" s="146"/>
      <c r="L19" s="146"/>
      <c r="M19" s="146"/>
      <c r="N19" s="146"/>
      <c r="O19" s="145"/>
    </row>
    <row r="20" spans="2:17" x14ac:dyDescent="0.3">
      <c r="B20" s="106" t="s">
        <v>199</v>
      </c>
      <c r="E20" s="27"/>
    </row>
    <row r="21" spans="2:17" x14ac:dyDescent="0.3">
      <c r="B21" s="180" t="s">
        <v>189</v>
      </c>
      <c r="C21" s="147">
        <f ca="1">NPV(discount_rate,F21:O21)</f>
        <v>31352625.558550578</v>
      </c>
      <c r="D21" s="32">
        <f>requirements!D27</f>
        <v>1564696.0620559999</v>
      </c>
      <c r="E21" s="427">
        <f>requirements!D27</f>
        <v>1564696.0620559999</v>
      </c>
      <c r="F21" s="32">
        <f ca="1">requirements!E27</f>
        <v>1496107.5124495886</v>
      </c>
      <c r="G21" s="32">
        <f ca="1">requirements!F27</f>
        <v>1985828.1537968856</v>
      </c>
      <c r="H21" s="32">
        <f ca="1">requirements!G27</f>
        <v>2303168.3280291404</v>
      </c>
      <c r="I21" s="32">
        <f ca="1">requirements!H27</f>
        <v>2694397.2943773447</v>
      </c>
      <c r="J21" s="32">
        <f ca="1">requirements!I27</f>
        <v>3617389.7609614045</v>
      </c>
      <c r="K21" s="32">
        <f ca="1">requirements!J27</f>
        <v>4282593.1767616011</v>
      </c>
      <c r="L21" s="32">
        <f ca="1">requirements!K27</f>
        <v>5072215.0158199295</v>
      </c>
      <c r="M21" s="32">
        <f ca="1">requirements!L27</f>
        <v>7079394.6313962536</v>
      </c>
      <c r="N21" s="32">
        <f ca="1">requirements!M27</f>
        <v>8414167.9898520857</v>
      </c>
      <c r="O21" s="32">
        <f ca="1">requirements!N27</f>
        <v>10007785.239129445</v>
      </c>
      <c r="P21" s="147">
        <f ca="1">C21</f>
        <v>31352625.558550578</v>
      </c>
    </row>
    <row r="22" spans="2:17" x14ac:dyDescent="0.3">
      <c r="B22" s="180" t="s">
        <v>190</v>
      </c>
      <c r="C22" s="147">
        <f ca="1">NPV(discount_rate,F22:O22)</f>
        <v>82632433.333007157</v>
      </c>
      <c r="D22" s="32">
        <f>requirements!D28</f>
        <v>2090475.9975000001</v>
      </c>
      <c r="E22" s="427">
        <f>requirements!D28</f>
        <v>2090475.9975000001</v>
      </c>
      <c r="F22" s="32">
        <f ca="1">requirements!E28</f>
        <v>7051933.49607273</v>
      </c>
      <c r="G22" s="32">
        <f ca="1">requirements!F28</f>
        <v>8541778.9121174291</v>
      </c>
      <c r="H22" s="32">
        <f ca="1">requirements!G28</f>
        <v>9608301.9148387071</v>
      </c>
      <c r="I22" s="32">
        <f ca="1">requirements!H28</f>
        <v>10492315.326744355</v>
      </c>
      <c r="J22" s="32">
        <f ca="1">requirements!I28</f>
        <v>11367071.696132941</v>
      </c>
      <c r="K22" s="32">
        <f ca="1">requirements!J28</f>
        <v>12213444.112634474</v>
      </c>
      <c r="L22" s="32">
        <f ca="1">requirements!K28</f>
        <v>13061536.879339132</v>
      </c>
      <c r="M22" s="32">
        <f ca="1">requirements!L28</f>
        <v>13902946.37606132</v>
      </c>
      <c r="N22" s="32">
        <f ca="1">requirements!M28</f>
        <v>14770011.955152828</v>
      </c>
      <c r="O22" s="32">
        <f ca="1">requirements!N28</f>
        <v>15657867.931505373</v>
      </c>
      <c r="P22" s="147">
        <f ca="1">C22</f>
        <v>82632433.333007157</v>
      </c>
    </row>
    <row r="23" spans="2:17" x14ac:dyDescent="0.3">
      <c r="B23" s="181" t="s">
        <v>191</v>
      </c>
      <c r="C23" s="103">
        <f ca="1">NPV(discount_rate,F23:O23)</f>
        <v>103741418.21547931</v>
      </c>
      <c r="D23" s="85">
        <f>requirements!D29</f>
        <v>0</v>
      </c>
      <c r="E23" s="427">
        <f>requirements!D29</f>
        <v>0</v>
      </c>
      <c r="F23" s="85">
        <f ca="1">requirements!E29</f>
        <v>5588726.8703920599</v>
      </c>
      <c r="G23" s="85">
        <f ca="1">requirements!F29</f>
        <v>6906210.0779011119</v>
      </c>
      <c r="H23" s="85">
        <f ca="1">requirements!G29</f>
        <v>8583779.7718063593</v>
      </c>
      <c r="I23" s="85">
        <f ca="1">requirements!H29</f>
        <v>10486553.065164234</v>
      </c>
      <c r="J23" s="85">
        <f ca="1">requirements!I29</f>
        <v>12689737.649835033</v>
      </c>
      <c r="K23" s="85">
        <f ca="1">requirements!J29</f>
        <v>15146397.561078265</v>
      </c>
      <c r="L23" s="85">
        <f ca="1">requirements!K29</f>
        <v>18161113.998098265</v>
      </c>
      <c r="M23" s="85">
        <f ca="1">requirements!L29</f>
        <v>21313215.071244419</v>
      </c>
      <c r="N23" s="85">
        <f ca="1">requirements!M29</f>
        <v>25075172.124253448</v>
      </c>
      <c r="O23" s="85">
        <f ca="1">requirements!N29</f>
        <v>29292289.11192096</v>
      </c>
      <c r="P23" s="147">
        <f ca="1">SUM(C23:C24)</f>
        <v>-71969755.12060377</v>
      </c>
    </row>
    <row r="24" spans="2:17" x14ac:dyDescent="0.3">
      <c r="B24" s="182" t="s">
        <v>192</v>
      </c>
      <c r="C24" s="148">
        <f ca="1">NPV(discount_rate,F24:O24)</f>
        <v>-175711173.33608308</v>
      </c>
      <c r="D24" s="86">
        <f>-'Tier III'!D58</f>
        <v>0</v>
      </c>
      <c r="E24" s="428">
        <f>-'Tier III'!D58</f>
        <v>0</v>
      </c>
      <c r="F24" s="86">
        <f ca="1">-'Tier III'!E58</f>
        <v>-5842027.154184958</v>
      </c>
      <c r="G24" s="86">
        <f ca="1">-'Tier III'!F58</f>
        <v>-8822697.9436871484</v>
      </c>
      <c r="H24" s="86">
        <f ca="1">-'Tier III'!G58</f>
        <v>-12387760.151475852</v>
      </c>
      <c r="I24" s="86">
        <f ca="1">-'Tier III'!H58</f>
        <v>-16567510.183566909</v>
      </c>
      <c r="J24" s="86">
        <f ca="1">-'Tier III'!I58</f>
        <v>-21412227.739489444</v>
      </c>
      <c r="K24" s="86">
        <f ca="1">-'Tier III'!J58</f>
        <v>-26976019.472286735</v>
      </c>
      <c r="L24" s="86">
        <f ca="1">-'Tier III'!K58</f>
        <v>-33310885.316029903</v>
      </c>
      <c r="M24" s="86">
        <f ca="1">-'Tier III'!L58</f>
        <v>-39384362.916191474</v>
      </c>
      <c r="N24" s="86">
        <f ca="1">-'Tier III'!M58</f>
        <v>-45998611.585137017</v>
      </c>
      <c r="O24" s="86">
        <f ca="1">-'Tier III'!N58</f>
        <v>-53216397.369274661</v>
      </c>
    </row>
    <row r="25" spans="2:17" x14ac:dyDescent="0.3">
      <c r="B25" s="180" t="s">
        <v>194</v>
      </c>
      <c r="C25" s="147">
        <f ca="1">NPV(discount_rate,F25:O25)</f>
        <v>42015303.770953983</v>
      </c>
      <c r="D25" s="32">
        <f>SUM(D21:D24)</f>
        <v>3655172.0595559999</v>
      </c>
      <c r="E25" s="427">
        <f>SUM(E21:E24)</f>
        <v>3655172.0595559999</v>
      </c>
      <c r="F25" s="32">
        <f t="shared" ref="F25:N25" ca="1" si="6">SUM(F21:F24)</f>
        <v>8294740.7247294206</v>
      </c>
      <c r="G25" s="32">
        <f t="shared" ca="1" si="6"/>
        <v>8611119.2001282796</v>
      </c>
      <c r="H25" s="32">
        <f t="shared" ca="1" si="6"/>
        <v>8107489.8631983567</v>
      </c>
      <c r="I25" s="32">
        <f t="shared" ca="1" si="6"/>
        <v>7105755.5027190261</v>
      </c>
      <c r="J25" s="32">
        <f t="shared" ca="1" si="6"/>
        <v>6261971.3674399331</v>
      </c>
      <c r="K25" s="32">
        <f t="shared" ca="1" si="6"/>
        <v>4666415.378187608</v>
      </c>
      <c r="L25" s="32">
        <f t="shared" ca="1" si="6"/>
        <v>2983980.5772274248</v>
      </c>
      <c r="M25" s="32">
        <f t="shared" ca="1" si="6"/>
        <v>2911193.1625105143</v>
      </c>
      <c r="N25" s="32">
        <f t="shared" ca="1" si="6"/>
        <v>2260740.484121345</v>
      </c>
      <c r="O25" s="32">
        <f t="shared" ref="O25" ca="1" si="7">SUM(O21:O24)</f>
        <v>1741544.9132811129</v>
      </c>
    </row>
    <row r="26" spans="2:17" x14ac:dyDescent="0.3">
      <c r="B26" s="180"/>
      <c r="D26" s="32"/>
      <c r="E26" s="427"/>
      <c r="F26" s="32"/>
      <c r="G26" s="32"/>
      <c r="H26" s="32"/>
      <c r="I26" s="32"/>
      <c r="J26" s="32"/>
      <c r="K26" s="32"/>
      <c r="L26" s="32"/>
      <c r="M26" s="32"/>
      <c r="N26" s="32"/>
      <c r="O26" s="32"/>
    </row>
    <row r="27" spans="2:17" x14ac:dyDescent="0.3">
      <c r="B27" s="19"/>
      <c r="E27" s="27"/>
    </row>
    <row r="28" spans="2:17" x14ac:dyDescent="0.3">
      <c r="B28" s="19" t="s">
        <v>407</v>
      </c>
      <c r="C28" s="147">
        <f ca="1">NPV(discount_rate,F28:O28)</f>
        <v>7199817774.7125893</v>
      </c>
      <c r="D28" s="36">
        <f>C6+D25</f>
        <v>889773138.05955601</v>
      </c>
      <c r="E28" s="429">
        <f>E15+E25</f>
        <v>889773138.05955601</v>
      </c>
      <c r="F28" s="36">
        <f t="shared" ref="F28:N28" ca="1" si="8">F15+F25</f>
        <v>901545956.3510294</v>
      </c>
      <c r="G28" s="36">
        <f t="shared" ca="1" si="8"/>
        <v>880237514.44699645</v>
      </c>
      <c r="H28" s="36">
        <f t="shared" ca="1" si="8"/>
        <v>923214423.88485014</v>
      </c>
      <c r="I28" s="36">
        <f t="shared" ca="1" si="8"/>
        <v>955368920.24044359</v>
      </c>
      <c r="J28" s="36">
        <f t="shared" ca="1" si="8"/>
        <v>982229980.24657607</v>
      </c>
      <c r="K28" s="36">
        <f t="shared" ca="1" si="8"/>
        <v>998611863.01169205</v>
      </c>
      <c r="L28" s="36">
        <f t="shared" ca="1" si="8"/>
        <v>1027156224.9334625</v>
      </c>
      <c r="M28" s="36">
        <f t="shared" ca="1" si="8"/>
        <v>1051110560.3172385</v>
      </c>
      <c r="N28" s="36">
        <f t="shared" ca="1" si="8"/>
        <v>1079861625.7754433</v>
      </c>
      <c r="O28" s="36">
        <f t="shared" ref="O28" ca="1" si="9">O15+O25</f>
        <v>1100076671.1289518</v>
      </c>
    </row>
    <row r="29" spans="2:17" x14ac:dyDescent="0.3">
      <c r="B29" s="6" t="s">
        <v>405</v>
      </c>
      <c r="D29" s="22">
        <f>loads!D5</f>
        <v>5415649.5630000001</v>
      </c>
      <c r="E29" s="430">
        <f>loads!E5</f>
        <v>5525385.8839999996</v>
      </c>
      <c r="F29" s="22">
        <f ca="1">loads!F5</f>
        <v>5458271.8038817961</v>
      </c>
      <c r="G29" s="22">
        <f ca="1">loads!G5</f>
        <v>5410528.104681029</v>
      </c>
      <c r="H29" s="22">
        <f ca="1">loads!H5</f>
        <v>5369213.0396047421</v>
      </c>
      <c r="I29" s="22">
        <f ca="1">loads!I5</f>
        <v>5354759.4427371053</v>
      </c>
      <c r="J29" s="22">
        <f ca="1">loads!J5</f>
        <v>5360200.9880254287</v>
      </c>
      <c r="K29" s="22">
        <f ca="1">loads!K5</f>
        <v>5375325.5152443154</v>
      </c>
      <c r="L29" s="22">
        <f ca="1">loads!L5</f>
        <v>5392542.9127376862</v>
      </c>
      <c r="M29" s="22">
        <f ca="1">loads!M5</f>
        <v>5406912.7312659221</v>
      </c>
      <c r="N29" s="22">
        <f ca="1">loads!N5</f>
        <v>5429544.2537619425</v>
      </c>
      <c r="O29" s="22">
        <f ca="1">loads!O5</f>
        <v>5455279.1686504949</v>
      </c>
    </row>
    <row r="30" spans="2:17" x14ac:dyDescent="0.3">
      <c r="B30" s="19" t="s">
        <v>406</v>
      </c>
      <c r="C30" s="149">
        <f ca="1">C28/NPV(discount_rate,F29:O29)</f>
        <v>181.13784800994759</v>
      </c>
      <c r="D30" s="61">
        <f>D28/D29</f>
        <v>164.29666057762165</v>
      </c>
      <c r="E30" s="432">
        <f t="shared" ref="E30:N30" si="10">E28/E29</f>
        <v>161.03366475020229</v>
      </c>
      <c r="F30" s="61">
        <f t="shared" ca="1" si="10"/>
        <v>165.17058672488074</v>
      </c>
      <c r="G30" s="61">
        <f t="shared" ca="1" si="10"/>
        <v>162.68975919105586</v>
      </c>
      <c r="H30" s="61">
        <f ca="1">H28/H29</f>
        <v>171.94594758579615</v>
      </c>
      <c r="I30" s="61">
        <f t="shared" ca="1" si="10"/>
        <v>178.41490928901621</v>
      </c>
      <c r="J30" s="61">
        <f t="shared" ca="1" si="10"/>
        <v>183.24499070853057</v>
      </c>
      <c r="K30" s="61">
        <f t="shared" ca="1" si="10"/>
        <v>185.77700274702411</v>
      </c>
      <c r="L30" s="61">
        <f t="shared" ca="1" si="10"/>
        <v>190.47715364623699</v>
      </c>
      <c r="M30" s="61">
        <f t="shared" ca="1" si="10"/>
        <v>194.40124384458886</v>
      </c>
      <c r="N30" s="61">
        <f t="shared" ca="1" si="10"/>
        <v>198.88623709572764</v>
      </c>
      <c r="O30" s="61">
        <f t="shared" ref="O30" ca="1" si="11">O28/O29</f>
        <v>201.65359775732327</v>
      </c>
    </row>
    <row r="31" spans="2:17" x14ac:dyDescent="0.3">
      <c r="B31" s="19"/>
      <c r="C31" s="149"/>
      <c r="D31" s="61"/>
      <c r="E31" s="432"/>
      <c r="F31" s="61"/>
      <c r="G31" s="61"/>
      <c r="H31" s="61"/>
      <c r="I31" s="61"/>
      <c r="J31" s="61"/>
      <c r="K31" s="61"/>
      <c r="L31" s="61"/>
      <c r="M31" s="61"/>
      <c r="N31" s="61"/>
      <c r="O31" s="61"/>
      <c r="Q31" s="32"/>
    </row>
    <row r="32" spans="2:17" x14ac:dyDescent="0.3">
      <c r="B32" s="19"/>
      <c r="C32" s="149"/>
      <c r="D32" s="61"/>
      <c r="E32" s="432"/>
      <c r="F32" s="61"/>
      <c r="G32" s="61"/>
      <c r="H32" s="61"/>
      <c r="I32" s="61"/>
      <c r="J32" s="61"/>
      <c r="K32" s="61"/>
      <c r="L32" s="61"/>
      <c r="M32" s="61"/>
      <c r="N32" s="61"/>
      <c r="O32" s="61"/>
      <c r="Q32" s="2"/>
    </row>
    <row r="33" spans="2:24" s="14" customFormat="1" ht="15" thickBot="1" x14ac:dyDescent="0.35">
      <c r="B33" s="14" t="s">
        <v>475</v>
      </c>
      <c r="C33" s="14" t="s">
        <v>8</v>
      </c>
      <c r="D33" s="15">
        <v>2017</v>
      </c>
      <c r="E33" s="433">
        <v>2018</v>
      </c>
      <c r="F33" s="308">
        <v>2019</v>
      </c>
      <c r="G33" s="308">
        <v>2020</v>
      </c>
      <c r="H33" s="308">
        <v>2021</v>
      </c>
      <c r="I33" s="308">
        <v>2022</v>
      </c>
      <c r="J33" s="308">
        <v>2023</v>
      </c>
      <c r="K33" s="308">
        <v>2024</v>
      </c>
      <c r="L33" s="308">
        <v>2025</v>
      </c>
      <c r="M33" s="308">
        <v>2026</v>
      </c>
      <c r="N33" s="308">
        <v>2027</v>
      </c>
      <c r="O33" s="308">
        <v>2028</v>
      </c>
      <c r="P33" s="15"/>
      <c r="Q33" s="15"/>
      <c r="R33" s="15"/>
      <c r="S33" s="15"/>
      <c r="T33" s="15"/>
      <c r="U33" s="15"/>
      <c r="V33" s="15"/>
      <c r="W33" s="15"/>
      <c r="X33" s="15"/>
    </row>
    <row r="34" spans="2:24" s="14" customFormat="1" x14ac:dyDescent="0.3">
      <c r="B34" s="301" t="s">
        <v>194</v>
      </c>
      <c r="C34" s="303">
        <f ca="1">NPV(discount_rate,F34:O34)</f>
        <v>42015303.770953983</v>
      </c>
      <c r="D34" s="302"/>
      <c r="E34" s="434">
        <f>E25</f>
        <v>3655172.0595559999</v>
      </c>
      <c r="F34" s="434">
        <f t="shared" ref="F34:N34" ca="1" si="12">F25</f>
        <v>8294740.7247294206</v>
      </c>
      <c r="G34" s="309">
        <f t="shared" ca="1" si="12"/>
        <v>8611119.2001282796</v>
      </c>
      <c r="H34" s="309">
        <f t="shared" ca="1" si="12"/>
        <v>8107489.8631983567</v>
      </c>
      <c r="I34" s="309">
        <f t="shared" ca="1" si="12"/>
        <v>7105755.5027190261</v>
      </c>
      <c r="J34" s="309">
        <f t="shared" ca="1" si="12"/>
        <v>6261971.3674399331</v>
      </c>
      <c r="K34" s="309">
        <f t="shared" ca="1" si="12"/>
        <v>4666415.378187608</v>
      </c>
      <c r="L34" s="309">
        <f t="shared" ca="1" si="12"/>
        <v>2983980.5772274248</v>
      </c>
      <c r="M34" s="309">
        <f t="shared" ca="1" si="12"/>
        <v>2911193.1625105143</v>
      </c>
      <c r="N34" s="309">
        <f t="shared" ca="1" si="12"/>
        <v>2260740.484121345</v>
      </c>
      <c r="O34" s="310">
        <f t="shared" ref="O34" ca="1" si="13">O25</f>
        <v>1741544.9132811129</v>
      </c>
      <c r="P34" s="15"/>
      <c r="Q34" s="15"/>
      <c r="R34" s="15"/>
      <c r="S34" s="15"/>
      <c r="T34" s="15"/>
      <c r="U34" s="15"/>
      <c r="V34" s="15"/>
      <c r="W34" s="15"/>
      <c r="X34" s="15"/>
    </row>
    <row r="35" spans="2:24" x14ac:dyDescent="0.3">
      <c r="B35" s="154" t="s">
        <v>197</v>
      </c>
      <c r="C35" s="304">
        <f ca="1">C30/C18-1</f>
        <v>1.2594934055897733E-2</v>
      </c>
      <c r="D35" s="275">
        <f>D30/D18-1</f>
        <v>4.1249271539496313E-3</v>
      </c>
      <c r="E35" s="435">
        <f>E30/E18-1</f>
        <v>4.1249271539498533E-3</v>
      </c>
      <c r="F35" s="435">
        <f ca="1">F30/F18-1</f>
        <v>1.8370736961192735E-2</v>
      </c>
      <c r="G35" s="311">
        <f t="shared" ref="G35:N35" ca="1" si="14">G30/G18-1</f>
        <v>2.2592670076391208E-2</v>
      </c>
      <c r="H35" s="311">
        <f t="shared" ca="1" si="14"/>
        <v>2.3578181270536458E-2</v>
      </c>
      <c r="I35" s="311">
        <f t="shared" ca="1" si="14"/>
        <v>2.1725918781395848E-2</v>
      </c>
      <c r="J35" s="311">
        <f t="shared" ca="1" si="14"/>
        <v>1.8582342156541642E-2</v>
      </c>
      <c r="K35" s="311">
        <f t="shared" ca="1" si="14"/>
        <v>1.2684492994748719E-2</v>
      </c>
      <c r="L35" s="311">
        <f t="shared" ca="1" si="14"/>
        <v>6.0349956684333517E-3</v>
      </c>
      <c r="M35" s="311">
        <f t="shared" ca="1" si="14"/>
        <v>1.2930518496709897E-3</v>
      </c>
      <c r="N35" s="311">
        <f t="shared" ca="1" si="14"/>
        <v>-3.9611219802304642E-3</v>
      </c>
      <c r="O35" s="312">
        <f t="shared" ref="O35" ca="1" si="15">O30/O18-1</f>
        <v>-8.9935205686322295E-3</v>
      </c>
    </row>
    <row r="36" spans="2:24" x14ac:dyDescent="0.3">
      <c r="B36" s="154" t="s">
        <v>404</v>
      </c>
      <c r="C36" s="305">
        <f ca="1">SUM(E36:N36)</f>
        <v>-11125812.210011514</v>
      </c>
      <c r="D36" s="274">
        <f>-'Tier III'!D98</f>
        <v>0</v>
      </c>
      <c r="E36" s="436">
        <f>-'Tier III'!D98</f>
        <v>0</v>
      </c>
      <c r="F36" s="436">
        <f ca="1">-'Tier III'!E98</f>
        <v>-357014.8384284114</v>
      </c>
      <c r="G36" s="313">
        <f ca="1">-'Tier III'!F98</f>
        <v>-525368.3494688333</v>
      </c>
      <c r="H36" s="313">
        <f ca="1">-'Tier III'!G98</f>
        <v>-717929.0390309717</v>
      </c>
      <c r="I36" s="313">
        <f ca="1">-'Tier III'!H98</f>
        <v>-934367.66993905685</v>
      </c>
      <c r="J36" s="313">
        <f ca="1">-'Tier III'!I98</f>
        <v>-1175977.6776208349</v>
      </c>
      <c r="K36" s="313">
        <f ca="1">-'Tier III'!J98</f>
        <v>-1443591.3895190563</v>
      </c>
      <c r="L36" s="313">
        <f ca="1">-'Tier III'!K98</f>
        <v>-1737622.9298985531</v>
      </c>
      <c r="M36" s="313">
        <f ca="1">-'Tier III'!L98</f>
        <v>-1987617.8938401276</v>
      </c>
      <c r="N36" s="313">
        <f ca="1">-'Tier III'!M98</f>
        <v>-2246322.4222656693</v>
      </c>
      <c r="O36" s="314">
        <f ca="1">-'Tier III'!N98</f>
        <v>-2516095.9834171329</v>
      </c>
    </row>
    <row r="37" spans="2:24" x14ac:dyDescent="0.3">
      <c r="B37" s="154" t="s">
        <v>413</v>
      </c>
      <c r="C37" s="305">
        <f ca="1">SUM(E37:N37)</f>
        <v>1090683.7731061548</v>
      </c>
      <c r="D37" s="155"/>
      <c r="E37" s="436">
        <f>'Tier III'!D50</f>
        <v>0</v>
      </c>
      <c r="F37" s="436">
        <f ca="1">'Tier III'!E50</f>
        <v>34004.81463437112</v>
      </c>
      <c r="G37" s="313">
        <f ca="1">'Tier III'!F50</f>
        <v>50248.99215903868</v>
      </c>
      <c r="H37" s="313">
        <f ca="1">'Tier III'!G50</f>
        <v>69034.762800610537</v>
      </c>
      <c r="I37" s="313">
        <f ca="1">'Tier III'!H50</f>
        <v>90340.273144518695</v>
      </c>
      <c r="J37" s="313">
        <f ca="1">'Tier III'!I50</f>
        <v>114244.44999254154</v>
      </c>
      <c r="K37" s="313">
        <f ca="1">'Tier III'!J50</f>
        <v>140831.63715419345</v>
      </c>
      <c r="L37" s="313">
        <f ca="1">'Tier III'!K50</f>
        <v>170160.06428456769</v>
      </c>
      <c r="M37" s="313">
        <f ca="1">'Tier III'!L50</f>
        <v>196854.06830122467</v>
      </c>
      <c r="N37" s="313">
        <f ca="1">'Tier III'!M50</f>
        <v>224964.71063508836</v>
      </c>
      <c r="O37" s="314">
        <f ca="1">'Tier III'!N50</f>
        <v>254662.0605482778</v>
      </c>
    </row>
    <row r="38" spans="2:24" x14ac:dyDescent="0.3">
      <c r="B38" s="154" t="s">
        <v>414</v>
      </c>
      <c r="C38" s="306">
        <f ca="1">SUM(loads!F27:O27)/SUM(loads!F4:O4)</f>
        <v>2.554426688708351E-2</v>
      </c>
      <c r="D38" s="155"/>
      <c r="E38" s="435">
        <f>'Tier III'!D50/loads!E4</f>
        <v>0</v>
      </c>
      <c r="F38" s="435">
        <f ca="1">'Tier III'!E50/loads!F4</f>
        <v>6.2690156479721934E-3</v>
      </c>
      <c r="G38" s="311">
        <f ca="1">'Tier III'!F50/loads!G4</f>
        <v>9.3743238186335277E-3</v>
      </c>
      <c r="H38" s="311">
        <f ca="1">'Tier III'!G50/loads!H4</f>
        <v>1.3024988820232042E-2</v>
      </c>
      <c r="I38" s="311">
        <f ca="1">'Tier III'!H50/loads!I4</f>
        <v>1.7160539507630076E-2</v>
      </c>
      <c r="J38" s="311">
        <f ca="1">'Tier III'!I50/loads!J4</f>
        <v>2.1777620375669483E-2</v>
      </c>
      <c r="K38" s="311">
        <f ca="1">'Tier III'!J50/loads!K4</f>
        <v>2.6904537560673934E-2</v>
      </c>
      <c r="L38" s="311">
        <f ca="1">'Tier III'!K50/loads!L4</f>
        <v>3.2582839907068374E-2</v>
      </c>
      <c r="M38" s="311">
        <f ca="1">'Tier III'!L50/loads!M4</f>
        <v>3.7783464838994377E-2</v>
      </c>
      <c r="N38" s="311">
        <f ca="1">'Tier III'!M50/loads!N4</f>
        <v>4.3224377448928764E-2</v>
      </c>
      <c r="O38" s="312">
        <f ca="1">'Tier III'!N50/loads!O4</f>
        <v>4.8967661962948814E-2</v>
      </c>
    </row>
    <row r="39" spans="2:24" x14ac:dyDescent="0.3">
      <c r="B39" s="154" t="s">
        <v>412</v>
      </c>
      <c r="C39" s="305">
        <f ca="1">SUM(F39:O39)</f>
        <v>-210129589.70661712</v>
      </c>
      <c r="D39" s="274"/>
      <c r="E39" s="436">
        <f>-emissions!D63</f>
        <v>0</v>
      </c>
      <c r="F39" s="436">
        <f ca="1">-emissions!E63</f>
        <v>-16719974.546913357</v>
      </c>
      <c r="G39" s="313">
        <f ca="1">-emissions!F63</f>
        <v>-18533009.65965249</v>
      </c>
      <c r="H39" s="313">
        <f ca="1">-emissions!G63</f>
        <v>-18653469.34023549</v>
      </c>
      <c r="I39" s="313">
        <f ca="1">-emissions!H63</f>
        <v>-18894955.059604444</v>
      </c>
      <c r="J39" s="313">
        <f ca="1">-emissions!I63</f>
        <v>-20951328.876966618</v>
      </c>
      <c r="K39" s="313">
        <f ca="1">-emissions!J63</f>
        <v>-21364357.002753288</v>
      </c>
      <c r="L39" s="313">
        <f ca="1">-emissions!K63</f>
        <v>-21820725.082395237</v>
      </c>
      <c r="M39" s="313">
        <f ca="1">-emissions!L63</f>
        <v>-23943981.535537831</v>
      </c>
      <c r="N39" s="313">
        <f ca="1">-emissions!M63</f>
        <v>-24387690.177879311</v>
      </c>
      <c r="O39" s="314">
        <f ca="1">-emissions!N63</f>
        <v>-24860098.42467903</v>
      </c>
    </row>
    <row r="40" spans="2:24" x14ac:dyDescent="0.3">
      <c r="B40" s="154" t="s">
        <v>401</v>
      </c>
      <c r="C40" s="305">
        <f ca="1">SUM(F40:O40)</f>
        <v>23871806515.618439</v>
      </c>
      <c r="D40" s="274">
        <f ca="1">emissions!D47+'Tier III'!E90</f>
        <v>2236748510.0151901</v>
      </c>
      <c r="E40" s="436">
        <f>emissions!D47+'Tier III'!D90</f>
        <v>2169316254.4301219</v>
      </c>
      <c r="F40" s="436">
        <f ca="1">emissions!E47+'Tier III'!E90</f>
        <v>1858656870.3100784</v>
      </c>
      <c r="G40" s="313">
        <f ca="1">emissions!F47+'Tier III'!F90</f>
        <v>2067489722.2548711</v>
      </c>
      <c r="H40" s="313">
        <f ca="1">emissions!G47+'Tier III'!G90</f>
        <v>2091176608.6987221</v>
      </c>
      <c r="I40" s="313">
        <f ca="1">emissions!H47+'Tier III'!H90</f>
        <v>2129657985.4268422</v>
      </c>
      <c r="J40" s="313">
        <f ca="1">emissions!I47+'Tier III'!I90</f>
        <v>2369712059.6157274</v>
      </c>
      <c r="K40" s="313">
        <f ca="1">emissions!J47+'Tier III'!J90</f>
        <v>2430116195.8911581</v>
      </c>
      <c r="L40" s="313">
        <f ca="1">emissions!K47+'Tier III'!K90</f>
        <v>2496864950.8235502</v>
      </c>
      <c r="M40" s="313">
        <f ca="1">emissions!L47+'Tier III'!L90</f>
        <v>2744797142.5885682</v>
      </c>
      <c r="N40" s="313">
        <f ca="1">emissions!M47+'Tier III'!M90</f>
        <v>2808105267.2826571</v>
      </c>
      <c r="O40" s="314">
        <f ca="1">emissions!N47+'Tier III'!N90</f>
        <v>2875229712.7262607</v>
      </c>
    </row>
    <row r="41" spans="2:24" ht="15" thickBot="1" x14ac:dyDescent="0.35">
      <c r="B41" s="167" t="s">
        <v>402</v>
      </c>
      <c r="C41" s="307">
        <f ca="1">SUM(F41:O41)</f>
        <v>10831128.183129963</v>
      </c>
      <c r="D41" s="276">
        <f ca="1">D40/2204</f>
        <v>1014858.6706058031</v>
      </c>
      <c r="E41" s="437">
        <f>E40/2204</f>
        <v>984263.27333490108</v>
      </c>
      <c r="F41" s="564">
        <f ca="1">F40/2204</f>
        <v>843310.73970511719</v>
      </c>
      <c r="G41" s="315">
        <f t="shared" ref="G41:N41" ca="1" si="16">G40/2204</f>
        <v>938062.48741146608</v>
      </c>
      <c r="H41" s="315">
        <f t="shared" ca="1" si="16"/>
        <v>948809.71356566343</v>
      </c>
      <c r="I41" s="315">
        <f t="shared" ca="1" si="16"/>
        <v>966269.50336971064</v>
      </c>
      <c r="J41" s="315">
        <f t="shared" ca="1" si="16"/>
        <v>1075186.959898243</v>
      </c>
      <c r="K41" s="315">
        <f t="shared" ca="1" si="16"/>
        <v>1102593.5553045182</v>
      </c>
      <c r="L41" s="315">
        <f t="shared" ca="1" si="16"/>
        <v>1132878.8343119556</v>
      </c>
      <c r="M41" s="315">
        <f t="shared" ca="1" si="16"/>
        <v>1245370.75435053</v>
      </c>
      <c r="N41" s="315">
        <f t="shared" ca="1" si="16"/>
        <v>1274094.9488578299</v>
      </c>
      <c r="O41" s="316">
        <f t="shared" ref="O41" ca="1" si="17">O40/2204</f>
        <v>1304550.6863549277</v>
      </c>
    </row>
    <row r="43" spans="2:24" x14ac:dyDescent="0.3">
      <c r="C43">
        <v>-2.7699999999999999E-2</v>
      </c>
    </row>
    <row r="46" spans="2:24" x14ac:dyDescent="0.3">
      <c r="C46" s="383"/>
    </row>
  </sheetData>
  <pageMargins left="0.7" right="0.7" top="0.75" bottom="0.75" header="0.3" footer="0.3"/>
  <pageSetup scale="57" orientation="landscape"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0"/>
  <sheetViews>
    <sheetView zoomScale="80" zoomScaleNormal="80" workbookViewId="0">
      <selection activeCell="D7" sqref="D7"/>
    </sheetView>
  </sheetViews>
  <sheetFormatPr defaultRowHeight="14.4" x14ac:dyDescent="0.3"/>
  <cols>
    <col min="1" max="1" width="7.6640625" bestFit="1" customWidth="1"/>
    <col min="2" max="2" width="19.88671875" customWidth="1"/>
    <col min="3" max="3" width="10.44140625" bestFit="1" customWidth="1"/>
    <col min="4" max="4" width="14.88671875" bestFit="1" customWidth="1"/>
    <col min="5" max="5" width="14" bestFit="1" customWidth="1"/>
    <col min="6" max="14" width="13.109375" bestFit="1" customWidth="1"/>
  </cols>
  <sheetData>
    <row r="1" spans="1:24" x14ac:dyDescent="0.3">
      <c r="A1" t="s">
        <v>95</v>
      </c>
      <c r="B1" s="59" t="str">
        <f>REC_scenario</f>
        <v>MID</v>
      </c>
    </row>
    <row r="2" spans="1:24" s="14" customFormat="1" x14ac:dyDescent="0.3">
      <c r="D2" s="15">
        <f>base_year-1</f>
        <v>2018</v>
      </c>
      <c r="E2" s="15">
        <f>D2+1</f>
        <v>2019</v>
      </c>
      <c r="F2" s="15">
        <f t="shared" ref="F2:N2" si="0">E2+1</f>
        <v>2020</v>
      </c>
      <c r="G2" s="15">
        <f t="shared" si="0"/>
        <v>2021</v>
      </c>
      <c r="H2" s="15">
        <f t="shared" si="0"/>
        <v>2022</v>
      </c>
      <c r="I2" s="15">
        <f t="shared" si="0"/>
        <v>2023</v>
      </c>
      <c r="J2" s="15">
        <f t="shared" si="0"/>
        <v>2024</v>
      </c>
      <c r="K2" s="15">
        <f t="shared" si="0"/>
        <v>2025</v>
      </c>
      <c r="L2" s="15">
        <f t="shared" si="0"/>
        <v>2026</v>
      </c>
      <c r="M2" s="15">
        <f t="shared" si="0"/>
        <v>2027</v>
      </c>
      <c r="N2" s="15">
        <f t="shared" si="0"/>
        <v>2028</v>
      </c>
      <c r="O2" s="15"/>
      <c r="P2" s="15"/>
      <c r="Q2" s="15"/>
      <c r="R2" s="15"/>
      <c r="S2" s="15"/>
      <c r="T2" s="15"/>
      <c r="U2" s="15"/>
      <c r="V2" s="15"/>
      <c r="W2" s="15"/>
      <c r="X2" s="15"/>
    </row>
    <row r="3" spans="1:24" x14ac:dyDescent="0.3">
      <c r="B3" t="s">
        <v>2</v>
      </c>
      <c r="C3" t="s">
        <v>1</v>
      </c>
      <c r="D3" s="16">
        <f>requirements!D11</f>
        <v>2950556.0620559999</v>
      </c>
      <c r="E3" s="16">
        <f ca="1">requirements!E11</f>
        <v>2881967.5124495886</v>
      </c>
      <c r="F3" s="16">
        <f ca="1">requirements!F11</f>
        <v>3040716.7948307381</v>
      </c>
      <c r="G3" s="16">
        <f ca="1">requirements!G11</f>
        <v>2985282.4500202364</v>
      </c>
      <c r="H3" s="16">
        <f ca="1">requirements!H11</f>
        <v>2945117.6935054078</v>
      </c>
      <c r="I3" s="16">
        <f ca="1">requirements!I11</f>
        <v>3130357.3770068502</v>
      </c>
      <c r="J3" s="16">
        <f ca="1">requirements!J11</f>
        <v>3106938.1478112144</v>
      </c>
      <c r="K3" s="16">
        <f ca="1">requirements!K11</f>
        <v>3084534.546085957</v>
      </c>
      <c r="L3" s="16">
        <f ca="1">requirements!L11</f>
        <v>3276589.1151471492</v>
      </c>
      <c r="M3" s="16">
        <f ca="1">requirements!M11</f>
        <v>3257726.5522571658</v>
      </c>
      <c r="N3" s="16">
        <f ca="1">requirements!N11</f>
        <v>3240435.8261783943</v>
      </c>
      <c r="O3" s="16"/>
      <c r="P3" s="16"/>
      <c r="Q3" s="16"/>
      <c r="R3" s="16"/>
      <c r="S3" s="16"/>
      <c r="T3" s="16"/>
    </row>
    <row r="4" spans="1:24" s="14" customFormat="1" x14ac:dyDescent="0.3">
      <c r="D4" s="15"/>
      <c r="E4" s="15"/>
      <c r="F4" s="15"/>
      <c r="G4" s="15"/>
      <c r="H4" s="15"/>
      <c r="I4" s="15"/>
      <c r="J4" s="15"/>
      <c r="K4" s="15"/>
      <c r="L4" s="15"/>
      <c r="M4" s="15"/>
      <c r="N4" s="15"/>
      <c r="O4" s="15"/>
      <c r="P4" s="15"/>
      <c r="Q4" s="15"/>
      <c r="R4" s="15"/>
      <c r="S4" s="15"/>
      <c r="T4" s="15"/>
      <c r="U4" s="15"/>
      <c r="V4" s="15"/>
      <c r="W4" s="15"/>
      <c r="X4" s="15"/>
    </row>
    <row r="5" spans="1:24" s="14" customFormat="1" x14ac:dyDescent="0.3">
      <c r="D5" s="15"/>
      <c r="E5" s="15"/>
      <c r="F5" s="15"/>
      <c r="G5" s="15"/>
      <c r="H5" s="15"/>
      <c r="I5" s="15"/>
      <c r="J5" s="15"/>
      <c r="K5" s="15"/>
      <c r="L5" s="15"/>
      <c r="M5" s="15"/>
      <c r="N5" s="15"/>
      <c r="O5" s="15"/>
      <c r="P5" s="15"/>
      <c r="Q5" s="15"/>
      <c r="R5" s="15"/>
      <c r="S5" s="15"/>
      <c r="T5" s="15"/>
      <c r="U5" s="15"/>
      <c r="V5" s="15"/>
      <c r="W5" s="15"/>
      <c r="X5" s="15"/>
    </row>
    <row r="6" spans="1:24" s="6" customFormat="1" x14ac:dyDescent="0.3">
      <c r="A6" s="6" t="s">
        <v>54</v>
      </c>
      <c r="B6" s="6" t="s">
        <v>96</v>
      </c>
      <c r="C6" s="6" t="s">
        <v>1</v>
      </c>
      <c r="D6" s="7">
        <v>85000</v>
      </c>
      <c r="E6" s="7">
        <v>85000</v>
      </c>
      <c r="F6" s="7">
        <v>85000</v>
      </c>
      <c r="G6" s="7">
        <v>85000</v>
      </c>
      <c r="H6" s="7">
        <v>85000</v>
      </c>
      <c r="I6" s="7">
        <v>85000</v>
      </c>
      <c r="J6" s="7">
        <v>85000</v>
      </c>
      <c r="K6" s="7">
        <v>85000</v>
      </c>
      <c r="L6" s="7"/>
      <c r="M6" s="7"/>
      <c r="N6" s="7"/>
      <c r="O6" s="7"/>
      <c r="P6" s="7"/>
      <c r="Q6" s="7"/>
      <c r="R6" s="7"/>
      <c r="S6" s="7"/>
      <c r="T6" s="7"/>
      <c r="U6" s="7"/>
      <c r="V6" s="7"/>
      <c r="W6" s="7"/>
      <c r="X6" s="7"/>
    </row>
    <row r="7" spans="1:24" s="6" customFormat="1" x14ac:dyDescent="0.3">
      <c r="A7" s="6" t="s">
        <v>54</v>
      </c>
      <c r="B7" s="8" t="s">
        <v>28</v>
      </c>
      <c r="C7" s="6" t="s">
        <v>1</v>
      </c>
      <c r="D7" s="463">
        <f>225*16*365*0.99</f>
        <v>1300860</v>
      </c>
      <c r="E7" s="463">
        <f t="shared" ref="E7:N7" si="1">225*16*365*0.99</f>
        <v>1300860</v>
      </c>
      <c r="F7" s="463">
        <f t="shared" si="1"/>
        <v>1300860</v>
      </c>
      <c r="G7" s="463">
        <f t="shared" si="1"/>
        <v>1300860</v>
      </c>
      <c r="H7" s="463">
        <f t="shared" si="1"/>
        <v>1300860</v>
      </c>
      <c r="I7" s="463">
        <f t="shared" si="1"/>
        <v>1300860</v>
      </c>
      <c r="J7" s="463">
        <f t="shared" si="1"/>
        <v>1300860</v>
      </c>
      <c r="K7" s="463">
        <f t="shared" si="1"/>
        <v>1300860</v>
      </c>
      <c r="L7" s="463">
        <f t="shared" si="1"/>
        <v>1300860</v>
      </c>
      <c r="M7" s="463">
        <f t="shared" si="1"/>
        <v>1300860</v>
      </c>
      <c r="N7" s="463">
        <f t="shared" si="1"/>
        <v>1300860</v>
      </c>
      <c r="O7" s="7"/>
      <c r="P7" s="7"/>
      <c r="Q7" s="7"/>
      <c r="R7" s="7"/>
      <c r="S7" s="7"/>
      <c r="T7" s="7"/>
      <c r="U7" s="7"/>
      <c r="V7" s="7"/>
      <c r="W7" s="7"/>
      <c r="X7" s="7"/>
    </row>
    <row r="8" spans="1:24" s="6" customFormat="1" x14ac:dyDescent="0.3">
      <c r="A8" s="6" t="s">
        <v>54</v>
      </c>
      <c r="B8" s="8" t="s">
        <v>50</v>
      </c>
      <c r="C8" s="6" t="s">
        <v>1</v>
      </c>
      <c r="D8" s="7">
        <f>D3-D6-D7</f>
        <v>1564696.0620559999</v>
      </c>
      <c r="E8" s="7">
        <f t="shared" ref="E8:N8" ca="1" si="2">E3-E6-E7</f>
        <v>1496107.5124495886</v>
      </c>
      <c r="F8" s="7">
        <f t="shared" ca="1" si="2"/>
        <v>1654856.7948307381</v>
      </c>
      <c r="G8" s="7">
        <f t="shared" ca="1" si="2"/>
        <v>1599422.4500202364</v>
      </c>
      <c r="H8" s="7">
        <f t="shared" ca="1" si="2"/>
        <v>1559257.6935054078</v>
      </c>
      <c r="I8" s="7">
        <f t="shared" ca="1" si="2"/>
        <v>1744497.3770068502</v>
      </c>
      <c r="J8" s="7">
        <f t="shared" ca="1" si="2"/>
        <v>1721078.1478112144</v>
      </c>
      <c r="K8" s="7">
        <f t="shared" ca="1" si="2"/>
        <v>1698674.546085957</v>
      </c>
      <c r="L8" s="7">
        <f t="shared" ca="1" si="2"/>
        <v>1975729.1151471492</v>
      </c>
      <c r="M8" s="7">
        <f t="shared" ca="1" si="2"/>
        <v>1956866.5522571658</v>
      </c>
      <c r="N8" s="7">
        <f t="shared" ca="1" si="2"/>
        <v>1939575.8261783943</v>
      </c>
      <c r="O8" s="7"/>
      <c r="P8" s="7"/>
      <c r="Q8" s="7"/>
      <c r="R8" s="7"/>
      <c r="S8" s="7"/>
      <c r="T8" s="7"/>
      <c r="U8" s="7"/>
      <c r="V8" s="7"/>
      <c r="W8" s="7"/>
      <c r="X8" s="7"/>
    </row>
    <row r="10" spans="1:24" x14ac:dyDescent="0.3">
      <c r="A10" t="s">
        <v>16</v>
      </c>
      <c r="B10" t="s">
        <v>82</v>
      </c>
      <c r="C10" t="s">
        <v>52</v>
      </c>
      <c r="D10" s="31">
        <v>0.5</v>
      </c>
      <c r="E10" s="31">
        <f>'price forecasts'!E21</f>
        <v>1</v>
      </c>
      <c r="F10" s="31">
        <f>'price forecasts'!F21</f>
        <v>1</v>
      </c>
      <c r="G10" s="31">
        <f>'price forecasts'!G21</f>
        <v>1</v>
      </c>
      <c r="H10" s="31">
        <f>'price forecasts'!H21</f>
        <v>1</v>
      </c>
      <c r="I10" s="31">
        <f>'price forecasts'!I21</f>
        <v>1</v>
      </c>
      <c r="J10" s="31">
        <f>'price forecasts'!J21</f>
        <v>1</v>
      </c>
      <c r="K10" s="31">
        <f>'price forecasts'!K21</f>
        <v>1</v>
      </c>
      <c r="L10" s="31">
        <f>'price forecasts'!L21</f>
        <v>1</v>
      </c>
      <c r="M10" s="31">
        <f>'price forecasts'!M21</f>
        <v>1</v>
      </c>
      <c r="N10" s="31">
        <f>'price forecasts'!N21</f>
        <v>1</v>
      </c>
      <c r="O10" s="22"/>
      <c r="P10" s="22"/>
      <c r="Q10" s="22"/>
      <c r="R10" s="22"/>
      <c r="S10" s="22"/>
      <c r="T10" s="22"/>
      <c r="U10" s="22"/>
    </row>
    <row r="11" spans="1:24" x14ac:dyDescent="0.3">
      <c r="A11" t="s">
        <v>17</v>
      </c>
      <c r="B11" t="s">
        <v>82</v>
      </c>
      <c r="C11" t="s">
        <v>52</v>
      </c>
      <c r="D11" s="31">
        <v>1</v>
      </c>
      <c r="E11" s="31">
        <f>'price forecasts'!E22</f>
        <v>1</v>
      </c>
      <c r="F11" s="31">
        <f>'price forecasts'!F22</f>
        <v>1.2</v>
      </c>
      <c r="G11" s="31">
        <f>'price forecasts'!G22</f>
        <v>1.44</v>
      </c>
      <c r="H11" s="31">
        <f>'price forecasts'!H22</f>
        <v>1.728</v>
      </c>
      <c r="I11" s="31">
        <f>'price forecasts'!I22</f>
        <v>2.0735999999999999</v>
      </c>
      <c r="J11" s="31">
        <f>'price forecasts'!J22</f>
        <v>2.4883199999999999</v>
      </c>
      <c r="K11" s="31">
        <f>'price forecasts'!K22</f>
        <v>2.9859839999999997</v>
      </c>
      <c r="L11" s="31">
        <f>'price forecasts'!L22</f>
        <v>3.5831807999999996</v>
      </c>
      <c r="M11" s="31">
        <f>'price forecasts'!M22</f>
        <v>4.2998169599999994</v>
      </c>
      <c r="N11" s="31">
        <f>'price forecasts'!N22</f>
        <v>5.1597803519999994</v>
      </c>
      <c r="O11" s="22"/>
      <c r="P11" s="22"/>
      <c r="Q11" s="22"/>
      <c r="R11" s="22"/>
      <c r="S11" s="22"/>
      <c r="T11" s="22"/>
      <c r="U11" s="22"/>
    </row>
    <row r="12" spans="1:24" x14ac:dyDescent="0.3">
      <c r="A12" t="s">
        <v>18</v>
      </c>
      <c r="B12" t="s">
        <v>82</v>
      </c>
      <c r="C12" t="s">
        <v>52</v>
      </c>
      <c r="D12" s="31">
        <v>1</v>
      </c>
      <c r="E12" s="31">
        <f>'price forecasts'!E23</f>
        <v>3</v>
      </c>
      <c r="F12" s="31">
        <f>'price forecasts'!F23</f>
        <v>4</v>
      </c>
      <c r="G12" s="31">
        <f>'price forecasts'!G23</f>
        <v>5</v>
      </c>
      <c r="H12" s="31">
        <f>'price forecasts'!H23</f>
        <v>6</v>
      </c>
      <c r="I12" s="31">
        <f>'price forecasts'!I23</f>
        <v>7</v>
      </c>
      <c r="J12" s="31">
        <f>'price forecasts'!J23</f>
        <v>8</v>
      </c>
      <c r="K12" s="31">
        <f>'price forecasts'!K23</f>
        <v>9</v>
      </c>
      <c r="L12" s="31">
        <f>'price forecasts'!L23</f>
        <v>10</v>
      </c>
      <c r="M12" s="31">
        <f>'price forecasts'!M23</f>
        <v>10</v>
      </c>
      <c r="N12" s="31">
        <f>'price forecasts'!N23</f>
        <v>10</v>
      </c>
      <c r="O12" s="22"/>
      <c r="P12" s="22"/>
      <c r="Q12" s="22"/>
      <c r="R12" s="22"/>
      <c r="S12" s="22"/>
      <c r="T12" s="22"/>
      <c r="U12" s="22"/>
    </row>
    <row r="14" spans="1:24" x14ac:dyDescent="0.3">
      <c r="A14" t="s">
        <v>16</v>
      </c>
      <c r="B14" t="s">
        <v>51</v>
      </c>
      <c r="C14" t="s">
        <v>53</v>
      </c>
      <c r="D14" s="32">
        <f>D10*D8</f>
        <v>782348.03102799994</v>
      </c>
      <c r="E14" s="32">
        <f t="shared" ref="E14:N14" ca="1" si="3">E10*E8</f>
        <v>1496107.5124495886</v>
      </c>
      <c r="F14" s="32">
        <f t="shared" ca="1" si="3"/>
        <v>1654856.7948307381</v>
      </c>
      <c r="G14" s="32">
        <f t="shared" ca="1" si="3"/>
        <v>1599422.4500202364</v>
      </c>
      <c r="H14" s="32">
        <f t="shared" ca="1" si="3"/>
        <v>1559257.6935054078</v>
      </c>
      <c r="I14" s="32">
        <f t="shared" ca="1" si="3"/>
        <v>1744497.3770068502</v>
      </c>
      <c r="J14" s="32">
        <f t="shared" ca="1" si="3"/>
        <v>1721078.1478112144</v>
      </c>
      <c r="K14" s="32">
        <f t="shared" ca="1" si="3"/>
        <v>1698674.546085957</v>
      </c>
      <c r="L14" s="32">
        <f t="shared" ca="1" si="3"/>
        <v>1975729.1151471492</v>
      </c>
      <c r="M14" s="32">
        <f t="shared" ca="1" si="3"/>
        <v>1956866.5522571658</v>
      </c>
      <c r="N14" s="32">
        <f t="shared" ca="1" si="3"/>
        <v>1939575.8261783943</v>
      </c>
    </row>
    <row r="15" spans="1:24" x14ac:dyDescent="0.3">
      <c r="A15" t="s">
        <v>17</v>
      </c>
      <c r="B15" t="s">
        <v>51</v>
      </c>
      <c r="C15" t="s">
        <v>53</v>
      </c>
      <c r="D15" s="32">
        <f>D11*D8</f>
        <v>1564696.0620559999</v>
      </c>
      <c r="E15" s="32">
        <f t="shared" ref="E15:N15" ca="1" si="4">E11*E8</f>
        <v>1496107.5124495886</v>
      </c>
      <c r="F15" s="32">
        <f t="shared" ca="1" si="4"/>
        <v>1985828.1537968856</v>
      </c>
      <c r="G15" s="32">
        <f t="shared" ca="1" si="4"/>
        <v>2303168.3280291404</v>
      </c>
      <c r="H15" s="32">
        <f t="shared" ca="1" si="4"/>
        <v>2694397.2943773447</v>
      </c>
      <c r="I15" s="32">
        <f t="shared" ca="1" si="4"/>
        <v>3617389.7609614045</v>
      </c>
      <c r="J15" s="32">
        <f t="shared" ca="1" si="4"/>
        <v>4282593.1767616011</v>
      </c>
      <c r="K15" s="32">
        <f t="shared" ca="1" si="4"/>
        <v>5072215.0158199295</v>
      </c>
      <c r="L15" s="32">
        <f t="shared" ca="1" si="4"/>
        <v>7079394.6313962536</v>
      </c>
      <c r="M15" s="32">
        <f t="shared" ca="1" si="4"/>
        <v>8414167.9898520857</v>
      </c>
      <c r="N15" s="32">
        <f t="shared" ca="1" si="4"/>
        <v>10007785.239129445</v>
      </c>
    </row>
    <row r="16" spans="1:24" x14ac:dyDescent="0.3">
      <c r="A16" t="s">
        <v>18</v>
      </c>
      <c r="B16" t="s">
        <v>51</v>
      </c>
      <c r="C16" t="s">
        <v>53</v>
      </c>
      <c r="D16" s="32">
        <f t="shared" ref="D16:N16" si="5">D12*D8</f>
        <v>1564696.0620559999</v>
      </c>
      <c r="E16" s="32">
        <f t="shared" ca="1" si="5"/>
        <v>4488322.5373487659</v>
      </c>
      <c r="F16" s="32">
        <f t="shared" ca="1" si="5"/>
        <v>6619427.1793229524</v>
      </c>
      <c r="G16" s="32">
        <f t="shared" ca="1" si="5"/>
        <v>7997112.2501011826</v>
      </c>
      <c r="H16" s="32">
        <f t="shared" ca="1" si="5"/>
        <v>9355546.1610324457</v>
      </c>
      <c r="I16" s="32">
        <f t="shared" ca="1" si="5"/>
        <v>12211481.639047951</v>
      </c>
      <c r="J16" s="32">
        <f t="shared" ca="1" si="5"/>
        <v>13768625.182489716</v>
      </c>
      <c r="K16" s="32">
        <f t="shared" ca="1" si="5"/>
        <v>15288070.914773613</v>
      </c>
      <c r="L16" s="32">
        <f t="shared" ca="1" si="5"/>
        <v>19757291.151471492</v>
      </c>
      <c r="M16" s="32">
        <f t="shared" ca="1" si="5"/>
        <v>19568665.522571657</v>
      </c>
      <c r="N16" s="32">
        <f t="shared" ca="1" si="5"/>
        <v>19395758.261783943</v>
      </c>
    </row>
    <row r="18" spans="2:21" x14ac:dyDescent="0.3">
      <c r="B18" t="s">
        <v>82</v>
      </c>
      <c r="C18" t="s">
        <v>52</v>
      </c>
      <c r="D18" s="31">
        <f t="shared" ref="D18:N18" si="6">SUMIF($A$10:$A$12,$B$1,D$10:D$12)</f>
        <v>1</v>
      </c>
      <c r="E18" s="31">
        <f t="shared" si="6"/>
        <v>1</v>
      </c>
      <c r="F18" s="31">
        <f t="shared" si="6"/>
        <v>1.2</v>
      </c>
      <c r="G18" s="31">
        <f t="shared" si="6"/>
        <v>1.44</v>
      </c>
      <c r="H18" s="31">
        <f t="shared" si="6"/>
        <v>1.728</v>
      </c>
      <c r="I18" s="31">
        <f t="shared" si="6"/>
        <v>2.0735999999999999</v>
      </c>
      <c r="J18" s="31">
        <f t="shared" si="6"/>
        <v>2.4883199999999999</v>
      </c>
      <c r="K18" s="31">
        <f t="shared" si="6"/>
        <v>2.9859839999999997</v>
      </c>
      <c r="L18" s="31">
        <f t="shared" si="6"/>
        <v>3.5831807999999996</v>
      </c>
      <c r="M18" s="31">
        <f t="shared" si="6"/>
        <v>4.2998169599999994</v>
      </c>
      <c r="N18" s="31">
        <f t="shared" si="6"/>
        <v>5.1597803519999994</v>
      </c>
      <c r="O18" s="22"/>
      <c r="P18" s="22"/>
      <c r="Q18" s="22"/>
      <c r="R18" s="22"/>
      <c r="S18" s="22"/>
      <c r="T18" s="22"/>
      <c r="U18" s="22"/>
    </row>
    <row r="19" spans="2:21" x14ac:dyDescent="0.3">
      <c r="B19" t="s">
        <v>51</v>
      </c>
      <c r="C19" t="s">
        <v>53</v>
      </c>
      <c r="D19" s="36">
        <f>D18*D8</f>
        <v>1564696.0620559999</v>
      </c>
      <c r="E19" s="36">
        <f t="shared" ref="E19:N19" ca="1" si="7">E18*E8</f>
        <v>1496107.5124495886</v>
      </c>
      <c r="F19" s="36">
        <f t="shared" ca="1" si="7"/>
        <v>1985828.1537968856</v>
      </c>
      <c r="G19" s="36">
        <f t="shared" ca="1" si="7"/>
        <v>2303168.3280291404</v>
      </c>
      <c r="H19" s="36">
        <f t="shared" ca="1" si="7"/>
        <v>2694397.2943773447</v>
      </c>
      <c r="I19" s="36">
        <f t="shared" ca="1" si="7"/>
        <v>3617389.7609614045</v>
      </c>
      <c r="J19" s="36">
        <f t="shared" ca="1" si="7"/>
        <v>4282593.1767616011</v>
      </c>
      <c r="K19" s="36">
        <f t="shared" ca="1" si="7"/>
        <v>5072215.0158199295</v>
      </c>
      <c r="L19" s="36">
        <f t="shared" ca="1" si="7"/>
        <v>7079394.6313962536</v>
      </c>
      <c r="M19" s="36">
        <f t="shared" ca="1" si="7"/>
        <v>8414167.9898520857</v>
      </c>
      <c r="N19" s="36">
        <f t="shared" ca="1" si="7"/>
        <v>10007785.239129445</v>
      </c>
    </row>
    <row r="24" spans="2:21" ht="15" thickBot="1" x14ac:dyDescent="0.35"/>
    <row r="25" spans="2:21" x14ac:dyDescent="0.3">
      <c r="B25" s="271" t="s">
        <v>409</v>
      </c>
      <c r="C25" s="265"/>
      <c r="D25" s="48"/>
      <c r="E25" s="232"/>
      <c r="F25" s="232"/>
    </row>
    <row r="26" spans="2:21" ht="16.2" x14ac:dyDescent="0.45">
      <c r="B26" s="266"/>
      <c r="C26" s="267" t="s">
        <v>15</v>
      </c>
      <c r="D26" s="263"/>
      <c r="E26" s="232"/>
      <c r="F26" s="87"/>
    </row>
    <row r="27" spans="2:21" x14ac:dyDescent="0.3">
      <c r="B27" s="266">
        <v>1</v>
      </c>
      <c r="C27" s="268">
        <v>6736.1160714285716</v>
      </c>
      <c r="D27" s="48"/>
      <c r="E27" s="232"/>
      <c r="F27" s="264"/>
    </row>
    <row r="28" spans="2:21" x14ac:dyDescent="0.3">
      <c r="B28" s="266">
        <v>2</v>
      </c>
      <c r="C28" s="268">
        <v>5939.375</v>
      </c>
      <c r="D28" s="48"/>
      <c r="E28" s="232"/>
      <c r="F28" s="264"/>
    </row>
    <row r="29" spans="2:21" x14ac:dyDescent="0.3">
      <c r="B29" s="266">
        <v>3</v>
      </c>
      <c r="C29" s="268">
        <v>7184.2782738095239</v>
      </c>
      <c r="D29" s="48"/>
      <c r="E29" s="232"/>
      <c r="F29" s="264"/>
    </row>
    <row r="30" spans="2:21" x14ac:dyDescent="0.3">
      <c r="B30" s="266">
        <v>4</v>
      </c>
      <c r="C30" s="268">
        <v>6831.6889880952385</v>
      </c>
      <c r="D30" s="48"/>
      <c r="E30" s="232"/>
      <c r="F30" s="264"/>
    </row>
    <row r="31" spans="2:21" x14ac:dyDescent="0.3">
      <c r="B31" s="266">
        <v>5</v>
      </c>
      <c r="C31" s="268">
        <v>7732.8348214285716</v>
      </c>
      <c r="D31" s="48"/>
      <c r="E31" s="232"/>
      <c r="F31" s="264"/>
    </row>
    <row r="32" spans="2:21" x14ac:dyDescent="0.3">
      <c r="B32" s="266">
        <v>6</v>
      </c>
      <c r="C32" s="268">
        <v>6910.4017857142862</v>
      </c>
      <c r="D32" s="48"/>
      <c r="E32" s="232"/>
      <c r="F32" s="264"/>
    </row>
    <row r="33" spans="2:6" x14ac:dyDescent="0.3">
      <c r="B33" s="266">
        <v>7</v>
      </c>
      <c r="C33" s="268">
        <v>7515.1785714285716</v>
      </c>
      <c r="D33" s="48"/>
      <c r="E33" s="232"/>
      <c r="F33" s="264"/>
    </row>
    <row r="34" spans="2:6" x14ac:dyDescent="0.3">
      <c r="B34" s="266">
        <v>8</v>
      </c>
      <c r="C34" s="268">
        <v>7683.8467261904771</v>
      </c>
      <c r="D34" s="48"/>
      <c r="E34" s="232"/>
      <c r="F34" s="264"/>
    </row>
    <row r="35" spans="2:6" x14ac:dyDescent="0.3">
      <c r="B35" s="266">
        <v>9</v>
      </c>
      <c r="C35" s="268">
        <v>6728.0803571428578</v>
      </c>
      <c r="D35" s="48"/>
      <c r="E35" s="232"/>
      <c r="F35" s="264"/>
    </row>
    <row r="36" spans="2:6" x14ac:dyDescent="0.3">
      <c r="B36" s="266">
        <v>10</v>
      </c>
      <c r="C36" s="268">
        <v>7111.1904761904771</v>
      </c>
      <c r="D36" s="48"/>
      <c r="E36" s="232"/>
      <c r="F36" s="264"/>
    </row>
    <row r="37" spans="2:6" x14ac:dyDescent="0.3">
      <c r="B37" s="266">
        <v>11</v>
      </c>
      <c r="C37" s="268">
        <v>7189.8958333333339</v>
      </c>
      <c r="D37" s="48"/>
      <c r="E37" s="232"/>
      <c r="F37" s="264"/>
    </row>
    <row r="38" spans="2:6" x14ac:dyDescent="0.3">
      <c r="B38" s="272">
        <v>12</v>
      </c>
      <c r="C38" s="273">
        <v>7355.3497023809523</v>
      </c>
      <c r="D38" s="48"/>
      <c r="E38" s="232"/>
      <c r="F38" s="264"/>
    </row>
    <row r="39" spans="2:6" x14ac:dyDescent="0.3">
      <c r="B39" s="266"/>
      <c r="C39" s="268"/>
      <c r="D39" s="48"/>
      <c r="E39" s="232"/>
      <c r="F39" s="232"/>
    </row>
    <row r="40" spans="2:6" ht="18.600000000000001" thickBot="1" x14ac:dyDescent="0.4">
      <c r="B40" s="269" t="s">
        <v>29</v>
      </c>
      <c r="C40" s="270">
        <f>SUM(C27:C38)</f>
        <v>84918.236607142855</v>
      </c>
      <c r="E40" s="232"/>
      <c r="F40" s="23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X61"/>
  <sheetViews>
    <sheetView zoomScale="80" zoomScaleNormal="80" workbookViewId="0">
      <pane xSplit="3" ySplit="2" topLeftCell="D3" activePane="bottomRight" state="frozen"/>
      <selection pane="topRight" activeCell="D1" sqref="D1"/>
      <selection pane="bottomLeft" activeCell="A3" sqref="A3"/>
      <selection pane="bottomRight" activeCell="F33" sqref="F33"/>
    </sheetView>
  </sheetViews>
  <sheetFormatPr defaultRowHeight="14.4" x14ac:dyDescent="0.3"/>
  <cols>
    <col min="1" max="1" width="10.88671875" bestFit="1" customWidth="1"/>
    <col min="2" max="2" width="39" customWidth="1"/>
    <col min="4" max="4" width="15.33203125" bestFit="1" customWidth="1"/>
    <col min="5" max="6" width="13.109375" bestFit="1" customWidth="1"/>
    <col min="7" max="8" width="14.88671875" bestFit="1" customWidth="1"/>
    <col min="9" max="9" width="16.88671875" customWidth="1"/>
    <col min="10" max="14" width="14.88671875" bestFit="1" customWidth="1"/>
    <col min="15" max="15" width="2.88671875" customWidth="1"/>
    <col min="16" max="16" width="9" style="33"/>
  </cols>
  <sheetData>
    <row r="2" spans="1:24" s="14" customFormat="1" x14ac:dyDescent="0.3">
      <c r="D2" s="15">
        <f>base_year-1</f>
        <v>2018</v>
      </c>
      <c r="E2" s="15">
        <f>D2+1</f>
        <v>2019</v>
      </c>
      <c r="F2" s="15">
        <f t="shared" ref="F2:N2" si="0">E2+1</f>
        <v>2020</v>
      </c>
      <c r="G2" s="15">
        <f t="shared" si="0"/>
        <v>2021</v>
      </c>
      <c r="H2" s="15">
        <f t="shared" si="0"/>
        <v>2022</v>
      </c>
      <c r="I2" s="15">
        <f t="shared" si="0"/>
        <v>2023</v>
      </c>
      <c r="J2" s="15">
        <f t="shared" si="0"/>
        <v>2024</v>
      </c>
      <c r="K2" s="15">
        <f t="shared" si="0"/>
        <v>2025</v>
      </c>
      <c r="L2" s="15">
        <f t="shared" si="0"/>
        <v>2026</v>
      </c>
      <c r="M2" s="15">
        <f t="shared" si="0"/>
        <v>2027</v>
      </c>
      <c r="N2" s="15">
        <f t="shared" si="0"/>
        <v>2028</v>
      </c>
      <c r="O2" s="15"/>
      <c r="P2" s="15" t="s">
        <v>87</v>
      </c>
      <c r="Q2" s="15"/>
      <c r="R2" s="15"/>
      <c r="S2" s="15"/>
      <c r="T2" s="15"/>
      <c r="U2" s="15"/>
      <c r="V2" s="15"/>
      <c r="W2" s="15"/>
      <c r="X2" s="15"/>
    </row>
    <row r="3" spans="1:24" x14ac:dyDescent="0.3">
      <c r="B3" t="s">
        <v>3</v>
      </c>
      <c r="C3" t="s">
        <v>1</v>
      </c>
      <c r="D3" s="16">
        <f>requirements!D12</f>
        <v>88406.17414399999</v>
      </c>
      <c r="E3" s="16">
        <f ca="1">requirements!E12</f>
        <v>120081.97968539951</v>
      </c>
      <c r="F3" s="16">
        <f ca="1">requirements!F12</f>
        <v>151494.78693106878</v>
      </c>
      <c r="G3" s="16">
        <f ca="1">requirements!G12</f>
        <v>182553.24334656121</v>
      </c>
      <c r="H3" s="16">
        <f ca="1">requirements!H12</f>
        <v>214190.37770948419</v>
      </c>
      <c r="I3" s="16">
        <f ca="1">requirements!I12</f>
        <v>246569.24544916968</v>
      </c>
      <c r="J3" s="16">
        <f ca="1">requirements!J12</f>
        <v>279516.92679270433</v>
      </c>
      <c r="K3" s="16">
        <f ca="1">requirements!K12</f>
        <v>312767.48893878574</v>
      </c>
      <c r="L3" s="16">
        <f ca="1">requirements!L12</f>
        <v>346042.41480101895</v>
      </c>
      <c r="M3" s="16">
        <f ca="1">requirements!M12</f>
        <v>380068.09776333591</v>
      </c>
      <c r="N3" s="16">
        <f ca="1">requirements!N12</f>
        <v>414601.21681743761</v>
      </c>
      <c r="O3" s="16"/>
      <c r="P3" s="67"/>
      <c r="Q3" s="16"/>
      <c r="R3" s="16"/>
      <c r="S3" s="16"/>
      <c r="T3" s="16"/>
    </row>
    <row r="5" spans="1:24" s="58" customFormat="1" x14ac:dyDescent="0.3">
      <c r="B5" s="289" t="s">
        <v>423</v>
      </c>
      <c r="C5" s="143" t="s">
        <v>1</v>
      </c>
      <c r="D5" s="228">
        <f>loads!E18*0.01</f>
        <v>902.29927200000009</v>
      </c>
      <c r="E5" s="228">
        <f>loads!F18*0.01</f>
        <v>902.29927200000009</v>
      </c>
      <c r="F5" s="228">
        <f>loads!G18*0.01</f>
        <v>902.29927200000009</v>
      </c>
      <c r="G5" s="228">
        <f>loads!H18*0.01</f>
        <v>902.29927200000009</v>
      </c>
      <c r="H5" s="228">
        <f>loads!I18*0.01</f>
        <v>902.29927200000009</v>
      </c>
      <c r="I5" s="228">
        <f>loads!J18*0.01</f>
        <v>902.29927200000009</v>
      </c>
      <c r="J5" s="228">
        <f>loads!K18*0.01</f>
        <v>902.29927200000009</v>
      </c>
      <c r="K5" s="228">
        <f>loads!L18*0.01</f>
        <v>902.29927200000009</v>
      </c>
      <c r="L5" s="228">
        <f>loads!M18*0.01</f>
        <v>902.29927200000009</v>
      </c>
      <c r="M5" s="228">
        <f>loads!N18*0.01</f>
        <v>902.29927200000009</v>
      </c>
      <c r="N5" s="228">
        <f>loads!O18*0.01</f>
        <v>902.29927200000009</v>
      </c>
      <c r="P5" s="235"/>
    </row>
    <row r="6" spans="1:24" s="11" customFormat="1" x14ac:dyDescent="0.3">
      <c r="B6" s="53" t="s">
        <v>753</v>
      </c>
      <c r="D6" s="228">
        <f>loads!E19</f>
        <v>24282.720000000001</v>
      </c>
      <c r="E6" s="228">
        <f>loads!F19</f>
        <v>24282.720000000001</v>
      </c>
      <c r="F6" s="228">
        <f>loads!G19</f>
        <v>24282.720000000001</v>
      </c>
      <c r="G6" s="228">
        <f>loads!H19</f>
        <v>24282.720000000001</v>
      </c>
      <c r="H6" s="228">
        <f>loads!I19</f>
        <v>24282.720000000001</v>
      </c>
      <c r="I6" s="228">
        <f>loads!J19</f>
        <v>24282.720000000001</v>
      </c>
      <c r="J6" s="228">
        <f>loads!K19</f>
        <v>24282.720000000001</v>
      </c>
      <c r="K6" s="228">
        <f>loads!L19</f>
        <v>24282.720000000001</v>
      </c>
      <c r="L6" s="228">
        <f>loads!M19</f>
        <v>24282.720000000001</v>
      </c>
      <c r="M6" s="228">
        <f>loads!N19</f>
        <v>24282.720000000001</v>
      </c>
      <c r="N6" s="228">
        <f>loads!O19</f>
        <v>24282.720000000001</v>
      </c>
      <c r="O6" s="6"/>
      <c r="P6" s="6"/>
      <c r="Q6" s="6"/>
      <c r="R6" s="6"/>
      <c r="S6" s="6"/>
    </row>
    <row r="7" spans="1:24" s="6" customFormat="1" x14ac:dyDescent="0.3">
      <c r="A7" s="88" t="str">
        <f>NM_escalation</f>
        <v>VELCO</v>
      </c>
      <c r="B7" s="128" t="s">
        <v>410</v>
      </c>
      <c r="C7" s="143" t="s">
        <v>1</v>
      </c>
      <c r="D7" s="290">
        <f>SUMIF($A$29:$A$32,$A$7,D$29:D$32)</f>
        <v>0</v>
      </c>
      <c r="E7" s="290">
        <f>SUMIF($A$29:$A$32,$A$7,E$29:E$32)</f>
        <v>58852.769524591407</v>
      </c>
      <c r="F7" s="290">
        <f t="shared" ref="F7:N7" si="1">SUMIF($A$29:$A$32,$A$7,F$29:F$32)</f>
        <v>94079.03126973976</v>
      </c>
      <c r="G7" s="290">
        <f t="shared" si="1"/>
        <v>123085.19050313662</v>
      </c>
      <c r="H7" s="290">
        <f t="shared" si="1"/>
        <v>141702.20106965155</v>
      </c>
      <c r="I7" s="290">
        <f t="shared" si="1"/>
        <v>154759.13624894095</v>
      </c>
      <c r="J7" s="290">
        <f t="shared" si="1"/>
        <v>159295.21283157391</v>
      </c>
      <c r="K7" s="290">
        <f t="shared" si="1"/>
        <v>162660.95544209925</v>
      </c>
      <c r="L7" s="290">
        <f t="shared" si="1"/>
        <v>164568.2254753703</v>
      </c>
      <c r="M7" s="290">
        <f t="shared" si="1"/>
        <v>167852.92648208735</v>
      </c>
      <c r="N7" s="290">
        <f t="shared" si="1"/>
        <v>172758.52648208739</v>
      </c>
      <c r="O7" s="7"/>
      <c r="P7" s="69"/>
      <c r="Q7" s="7"/>
      <c r="R7" s="7"/>
      <c r="S7" s="7"/>
      <c r="T7" s="7"/>
      <c r="U7" s="7"/>
      <c r="V7" s="7"/>
      <c r="W7" s="7"/>
      <c r="X7" s="7"/>
    </row>
    <row r="8" spans="1:24" s="6" customFormat="1" x14ac:dyDescent="0.3">
      <c r="A8" s="6" t="s">
        <v>54</v>
      </c>
      <c r="B8" s="291" t="s">
        <v>34</v>
      </c>
      <c r="C8" s="143" t="s">
        <v>1</v>
      </c>
      <c r="D8" s="292">
        <f>D48*$C$58*8760</f>
        <v>25340.511899999998</v>
      </c>
      <c r="E8" s="292">
        <f t="shared" ref="E8:N8" si="2">E48*$C$58*8760</f>
        <v>27123.171899999998</v>
      </c>
      <c r="F8" s="292">
        <f t="shared" si="2"/>
        <v>28905.831899999997</v>
      </c>
      <c r="G8" s="292">
        <f t="shared" si="2"/>
        <v>42275.781899999994</v>
      </c>
      <c r="H8" s="292">
        <f t="shared" si="2"/>
        <v>60102.381900000008</v>
      </c>
      <c r="I8" s="292">
        <f t="shared" si="2"/>
        <v>77928.981899999999</v>
      </c>
      <c r="J8" s="292">
        <f t="shared" si="2"/>
        <v>95755.581900000005</v>
      </c>
      <c r="K8" s="292">
        <f t="shared" si="2"/>
        <v>113582.1819</v>
      </c>
      <c r="L8" s="292">
        <f t="shared" si="2"/>
        <v>131408.7819</v>
      </c>
      <c r="M8" s="292">
        <f t="shared" si="2"/>
        <v>131408.7819</v>
      </c>
      <c r="N8" s="292">
        <f t="shared" si="2"/>
        <v>131408.7819</v>
      </c>
      <c r="O8" s="30"/>
      <c r="P8" s="69"/>
      <c r="Q8" s="7"/>
      <c r="R8" s="7"/>
      <c r="S8" s="7"/>
      <c r="T8" s="7"/>
      <c r="U8" s="7"/>
      <c r="V8" s="7"/>
      <c r="W8" s="7"/>
      <c r="X8" s="7"/>
    </row>
    <row r="9" spans="1:24" x14ac:dyDescent="0.3">
      <c r="B9" s="143"/>
      <c r="C9" s="143"/>
      <c r="D9" s="143"/>
      <c r="E9" s="143"/>
      <c r="F9" s="143"/>
      <c r="G9" s="143"/>
      <c r="H9" s="143"/>
      <c r="I9" s="143"/>
      <c r="J9" s="143"/>
      <c r="K9" s="143"/>
      <c r="L9" s="143"/>
      <c r="M9" s="143"/>
      <c r="N9" s="143"/>
    </row>
    <row r="10" spans="1:24" x14ac:dyDescent="0.3">
      <c r="B10" s="143" t="s">
        <v>93</v>
      </c>
      <c r="C10" s="143"/>
      <c r="D10" s="293">
        <f t="shared" ref="D10:N10" si="3">MAX(D3-SUM(D5:D9),0)</f>
        <v>37880.642971999987</v>
      </c>
      <c r="E10" s="293">
        <f t="shared" ca="1" si="3"/>
        <v>8921.0189888080931</v>
      </c>
      <c r="F10" s="293">
        <f t="shared" ca="1" si="3"/>
        <v>3324.9044893290265</v>
      </c>
      <c r="G10" s="293">
        <f t="shared" ca="1" si="3"/>
        <v>0</v>
      </c>
      <c r="H10" s="293">
        <f t="shared" ca="1" si="3"/>
        <v>0</v>
      </c>
      <c r="I10" s="293">
        <f t="shared" ca="1" si="3"/>
        <v>0</v>
      </c>
      <c r="J10" s="293">
        <f t="shared" ca="1" si="3"/>
        <v>0</v>
      </c>
      <c r="K10" s="293">
        <f t="shared" ca="1" si="3"/>
        <v>11339.33232468646</v>
      </c>
      <c r="L10" s="293">
        <f t="shared" ca="1" si="3"/>
        <v>24880.388153648644</v>
      </c>
      <c r="M10" s="293">
        <f t="shared" ca="1" si="3"/>
        <v>55621.370109248557</v>
      </c>
      <c r="N10" s="293">
        <f t="shared" ca="1" si="3"/>
        <v>85248.889163350221</v>
      </c>
    </row>
    <row r="11" spans="1:24" x14ac:dyDescent="0.3">
      <c r="B11" s="131" t="s">
        <v>92</v>
      </c>
      <c r="C11" s="143"/>
      <c r="D11" s="293">
        <f t="shared" ref="D11:N11" si="4">MAX(MIN(D3-SUM(D5:D9),0),-D8)</f>
        <v>0</v>
      </c>
      <c r="E11" s="293">
        <f t="shared" ca="1" si="4"/>
        <v>0</v>
      </c>
      <c r="F11" s="293">
        <f t="shared" ca="1" si="4"/>
        <v>0</v>
      </c>
      <c r="G11" s="293">
        <f t="shared" ca="1" si="4"/>
        <v>-7992.7483285753988</v>
      </c>
      <c r="H11" s="293">
        <f t="shared" ca="1" si="4"/>
        <v>-12799.224532167369</v>
      </c>
      <c r="I11" s="293">
        <f t="shared" ca="1" si="4"/>
        <v>-11303.891971771285</v>
      </c>
      <c r="J11" s="293">
        <f t="shared" ca="1" si="4"/>
        <v>-718.88721086957958</v>
      </c>
      <c r="K11" s="293">
        <f t="shared" ca="1" si="4"/>
        <v>0</v>
      </c>
      <c r="L11" s="293">
        <f t="shared" ca="1" si="4"/>
        <v>0</v>
      </c>
      <c r="M11" s="293">
        <f t="shared" ca="1" si="4"/>
        <v>0</v>
      </c>
      <c r="N11" s="293">
        <f t="shared" ca="1" si="4"/>
        <v>0</v>
      </c>
    </row>
    <row r="12" spans="1:24" x14ac:dyDescent="0.3">
      <c r="B12" s="143"/>
      <c r="C12" s="143"/>
      <c r="D12" s="143"/>
      <c r="E12" s="143"/>
      <c r="F12" s="143"/>
      <c r="G12" s="143"/>
      <c r="H12" s="143"/>
      <c r="I12" s="143"/>
      <c r="J12" s="143"/>
      <c r="K12" s="143"/>
      <c r="L12" s="143"/>
      <c r="M12" s="143"/>
      <c r="N12" s="143"/>
    </row>
    <row r="13" spans="1:24" x14ac:dyDescent="0.3">
      <c r="A13" t="s">
        <v>82</v>
      </c>
      <c r="B13" s="289" t="s">
        <v>423</v>
      </c>
      <c r="C13" s="143" t="s">
        <v>52</v>
      </c>
      <c r="D13" s="294">
        <v>0</v>
      </c>
      <c r="E13" s="294">
        <v>0</v>
      </c>
      <c r="F13" s="294">
        <v>0</v>
      </c>
      <c r="G13" s="294">
        <v>0</v>
      </c>
      <c r="H13" s="294">
        <v>0</v>
      </c>
      <c r="I13" s="294">
        <v>0</v>
      </c>
      <c r="J13" s="294">
        <v>0</v>
      </c>
      <c r="K13" s="294">
        <v>0</v>
      </c>
      <c r="L13" s="294">
        <v>0</v>
      </c>
      <c r="M13" s="294">
        <v>0</v>
      </c>
      <c r="N13" s="294">
        <v>0</v>
      </c>
    </row>
    <row r="14" spans="1:24" x14ac:dyDescent="0.3">
      <c r="A14" t="s">
        <v>82</v>
      </c>
      <c r="B14" s="128" t="s">
        <v>415</v>
      </c>
      <c r="C14" s="143" t="s">
        <v>52</v>
      </c>
      <c r="D14" s="294">
        <v>60</v>
      </c>
      <c r="E14" s="294">
        <v>55</v>
      </c>
      <c r="F14" s="294">
        <v>45</v>
      </c>
      <c r="G14" s="294">
        <v>35</v>
      </c>
      <c r="H14" s="294">
        <v>30</v>
      </c>
      <c r="I14" s="294">
        <f t="shared" ref="I14:N14" si="5">H14</f>
        <v>30</v>
      </c>
      <c r="J14" s="294">
        <f t="shared" si="5"/>
        <v>30</v>
      </c>
      <c r="K14" s="294">
        <f t="shared" si="5"/>
        <v>30</v>
      </c>
      <c r="L14" s="294">
        <f t="shared" si="5"/>
        <v>30</v>
      </c>
      <c r="M14" s="294">
        <f t="shared" si="5"/>
        <v>30</v>
      </c>
      <c r="N14" s="294">
        <f t="shared" si="5"/>
        <v>30</v>
      </c>
    </row>
    <row r="15" spans="1:24" x14ac:dyDescent="0.3">
      <c r="A15" t="s">
        <v>82</v>
      </c>
      <c r="B15" s="291" t="s">
        <v>34</v>
      </c>
      <c r="C15" s="143" t="s">
        <v>52</v>
      </c>
      <c r="D15" s="295">
        <v>25</v>
      </c>
      <c r="E15" s="295">
        <v>25</v>
      </c>
      <c r="F15" s="295">
        <v>25</v>
      </c>
      <c r="G15" s="295">
        <v>25</v>
      </c>
      <c r="H15" s="295">
        <v>25</v>
      </c>
      <c r="I15" s="295">
        <v>25</v>
      </c>
      <c r="J15" s="295">
        <v>25</v>
      </c>
      <c r="K15" s="295">
        <v>25</v>
      </c>
      <c r="L15" s="295">
        <v>25</v>
      </c>
      <c r="M15" s="295">
        <v>25</v>
      </c>
      <c r="N15" s="295">
        <v>25</v>
      </c>
    </row>
    <row r="16" spans="1:24" x14ac:dyDescent="0.3">
      <c r="A16" s="59" t="str">
        <f>REC_scenario</f>
        <v>MID</v>
      </c>
      <c r="B16" s="291" t="s">
        <v>94</v>
      </c>
      <c r="C16" s="143" t="s">
        <v>52</v>
      </c>
      <c r="D16" s="295">
        <f>SUMIF('price forecasts'!$A$25:$A$27,REC_scenario,'price forecasts'!D25:D27)</f>
        <v>0</v>
      </c>
      <c r="E16" s="295">
        <f>SUMIF('price forecasts'!$A$25:$A$27,REC_scenario,'price forecasts'!E25:E27)</f>
        <v>25</v>
      </c>
      <c r="F16" s="295">
        <f>SUMIF('price forecasts'!$A$25:$A$27,REC_scenario,'price forecasts'!F25:F27)</f>
        <v>25</v>
      </c>
      <c r="G16" s="295">
        <f>SUMIF('price forecasts'!$A$25:$A$27,REC_scenario,'price forecasts'!G25:G27)</f>
        <v>25</v>
      </c>
      <c r="H16" s="295">
        <f>SUMIF('price forecasts'!$A$25:$A$27,REC_scenario,'price forecasts'!H25:H27)</f>
        <v>25</v>
      </c>
      <c r="I16" s="295">
        <f>SUMIF('price forecasts'!$A$25:$A$27,REC_scenario,'price forecasts'!I25:I27)</f>
        <v>25</v>
      </c>
      <c r="J16" s="295">
        <f>SUMIF('price forecasts'!$A$25:$A$27,REC_scenario,'price forecasts'!J25:J27)</f>
        <v>25</v>
      </c>
      <c r="K16" s="295">
        <f>SUMIF('price forecasts'!$A$25:$A$27,REC_scenario,'price forecasts'!K25:K27)</f>
        <v>25</v>
      </c>
      <c r="L16" s="295">
        <f>SUMIF('price forecasts'!$A$25:$A$27,REC_scenario,'price forecasts'!L25:L27)</f>
        <v>25</v>
      </c>
      <c r="M16" s="295">
        <f>SUMIF('price forecasts'!$A$25:$A$27,REC_scenario,'price forecasts'!M25:M27)</f>
        <v>25</v>
      </c>
      <c r="N16" s="295">
        <f>SUMIF('price forecasts'!$A$25:$A$27,REC_scenario,'price forecasts'!N25:N27)</f>
        <v>25</v>
      </c>
    </row>
    <row r="17" spans="1:19" x14ac:dyDescent="0.3">
      <c r="B17" s="291"/>
      <c r="C17" s="143"/>
      <c r="D17" s="295"/>
      <c r="E17" s="295"/>
      <c r="F17" s="295"/>
      <c r="G17" s="295"/>
      <c r="H17" s="295"/>
      <c r="I17" s="295"/>
      <c r="J17" s="295"/>
      <c r="K17" s="295"/>
      <c r="L17" s="295"/>
      <c r="M17" s="295"/>
      <c r="N17" s="295"/>
    </row>
    <row r="18" spans="1:19" x14ac:dyDescent="0.3">
      <c r="A18" t="s">
        <v>51</v>
      </c>
      <c r="B18" s="289" t="s">
        <v>423</v>
      </c>
      <c r="C18" s="143"/>
      <c r="D18" s="296">
        <f t="shared" ref="D18:N18" si="6">SUM(D5:D5)*D13</f>
        <v>0</v>
      </c>
      <c r="E18" s="296">
        <f t="shared" si="6"/>
        <v>0</v>
      </c>
      <c r="F18" s="296">
        <f t="shared" si="6"/>
        <v>0</v>
      </c>
      <c r="G18" s="296">
        <f t="shared" si="6"/>
        <v>0</v>
      </c>
      <c r="H18" s="296">
        <f t="shared" si="6"/>
        <v>0</v>
      </c>
      <c r="I18" s="296">
        <f t="shared" si="6"/>
        <v>0</v>
      </c>
      <c r="J18" s="296">
        <f t="shared" si="6"/>
        <v>0</v>
      </c>
      <c r="K18" s="296">
        <f t="shared" si="6"/>
        <v>0</v>
      </c>
      <c r="L18" s="296">
        <f t="shared" si="6"/>
        <v>0</v>
      </c>
      <c r="M18" s="296">
        <f t="shared" si="6"/>
        <v>0</v>
      </c>
      <c r="N18" s="296">
        <f t="shared" si="6"/>
        <v>0</v>
      </c>
    </row>
    <row r="19" spans="1:19" x14ac:dyDescent="0.3">
      <c r="A19" t="s">
        <v>51</v>
      </c>
      <c r="B19" s="128" t="s">
        <v>72</v>
      </c>
      <c r="C19" s="143" t="s">
        <v>53</v>
      </c>
      <c r="D19" s="296">
        <f>D14*(D7+D6)</f>
        <v>1456963.2000000002</v>
      </c>
      <c r="E19" s="296">
        <f>D19+E14*(E7-D7)+D14*E6</f>
        <v>6150828.7238525273</v>
      </c>
      <c r="F19" s="296">
        <f>E19+F14*(F7-E7)</f>
        <v>7736010.5023842035</v>
      </c>
      <c r="G19" s="296">
        <f>F19+G14*(G7-F7)</f>
        <v>8751226.0755530931</v>
      </c>
      <c r="H19" s="296">
        <f t="shared" ref="H19:N19" si="7">G19+H14*(H7-G7)</f>
        <v>9309736.3925485406</v>
      </c>
      <c r="I19" s="296">
        <f t="shared" si="7"/>
        <v>9701444.4479272235</v>
      </c>
      <c r="J19" s="296">
        <f t="shared" si="7"/>
        <v>9837526.7454062123</v>
      </c>
      <c r="K19" s="296">
        <f t="shared" si="7"/>
        <v>9938499.0237219725</v>
      </c>
      <c r="L19" s="296">
        <f t="shared" si="7"/>
        <v>9995717.124720104</v>
      </c>
      <c r="M19" s="296">
        <f t="shared" si="7"/>
        <v>10094258.154921615</v>
      </c>
      <c r="N19" s="296">
        <f t="shared" si="7"/>
        <v>10241426.154921617</v>
      </c>
    </row>
    <row r="20" spans="1:19" x14ac:dyDescent="0.3">
      <c r="A20" s="72" t="s">
        <v>51</v>
      </c>
      <c r="B20" s="291" t="s">
        <v>34</v>
      </c>
      <c r="C20" s="128" t="s">
        <v>53</v>
      </c>
      <c r="D20" s="137">
        <f>D15*D8</f>
        <v>633512.79749999999</v>
      </c>
      <c r="E20" s="137">
        <f t="shared" ref="E20:N20" si="8">E15*E8</f>
        <v>678079.29749999999</v>
      </c>
      <c r="F20" s="137">
        <f t="shared" si="8"/>
        <v>722645.79749999999</v>
      </c>
      <c r="G20" s="137">
        <f t="shared" si="8"/>
        <v>1056894.5474999999</v>
      </c>
      <c r="H20" s="137">
        <f t="shared" si="8"/>
        <v>1502559.5475000001</v>
      </c>
      <c r="I20" s="137">
        <f t="shared" si="8"/>
        <v>1948224.5474999999</v>
      </c>
      <c r="J20" s="137">
        <f t="shared" si="8"/>
        <v>2393889.5475000003</v>
      </c>
      <c r="K20" s="137">
        <f t="shared" si="8"/>
        <v>2839554.5474999999</v>
      </c>
      <c r="L20" s="137">
        <f t="shared" si="8"/>
        <v>3285219.5474999999</v>
      </c>
      <c r="M20" s="137">
        <f t="shared" si="8"/>
        <v>3285219.5474999999</v>
      </c>
      <c r="N20" s="137">
        <f t="shared" si="8"/>
        <v>3285219.5474999999</v>
      </c>
    </row>
    <row r="21" spans="1:19" x14ac:dyDescent="0.3">
      <c r="A21" s="21" t="s">
        <v>51</v>
      </c>
      <c r="B21" s="297" t="s">
        <v>94</v>
      </c>
      <c r="C21" s="226" t="s">
        <v>53</v>
      </c>
      <c r="D21" s="227">
        <f>D16*(D10+D11)</f>
        <v>0</v>
      </c>
      <c r="E21" s="227">
        <f ca="1">E16*(E10+E11)</f>
        <v>223025.47472020233</v>
      </c>
      <c r="F21" s="227">
        <f t="shared" ref="F21:N21" ca="1" si="9">F16*(F10+F11)</f>
        <v>83122.612233225664</v>
      </c>
      <c r="G21" s="227">
        <f t="shared" ca="1" si="9"/>
        <v>-199818.70821438497</v>
      </c>
      <c r="H21" s="227">
        <f t="shared" ca="1" si="9"/>
        <v>-319980.61330418423</v>
      </c>
      <c r="I21" s="227">
        <f t="shared" ca="1" si="9"/>
        <v>-282597.2992942821</v>
      </c>
      <c r="J21" s="227">
        <f t="shared" ca="1" si="9"/>
        <v>-17972.180271739489</v>
      </c>
      <c r="K21" s="227">
        <f t="shared" ca="1" si="9"/>
        <v>283483.3081171615</v>
      </c>
      <c r="L21" s="227">
        <f t="shared" ca="1" si="9"/>
        <v>622009.70384121616</v>
      </c>
      <c r="M21" s="227">
        <f t="shared" ca="1" si="9"/>
        <v>1390534.2527312138</v>
      </c>
      <c r="N21" s="227">
        <f t="shared" ca="1" si="9"/>
        <v>2131222.2290837555</v>
      </c>
    </row>
    <row r="22" spans="1:19" x14ac:dyDescent="0.3">
      <c r="A22" s="33" t="s">
        <v>51</v>
      </c>
      <c r="B22" s="298" t="s">
        <v>8</v>
      </c>
      <c r="C22" s="299" t="s">
        <v>53</v>
      </c>
      <c r="D22" s="300">
        <f>SUM(D18:D21)</f>
        <v>2090475.9975000001</v>
      </c>
      <c r="E22" s="300">
        <f t="shared" ref="E22:N22" ca="1" si="10">SUM(E18:E21)</f>
        <v>7051933.49607273</v>
      </c>
      <c r="F22" s="300">
        <f t="shared" ca="1" si="10"/>
        <v>8541778.9121174291</v>
      </c>
      <c r="G22" s="300">
        <f t="shared" ca="1" si="10"/>
        <v>9608301.9148387071</v>
      </c>
      <c r="H22" s="300">
        <f t="shared" ca="1" si="10"/>
        <v>10492315.326744355</v>
      </c>
      <c r="I22" s="300">
        <f t="shared" ca="1" si="10"/>
        <v>11367071.696132941</v>
      </c>
      <c r="J22" s="300">
        <f t="shared" ca="1" si="10"/>
        <v>12213444.112634474</v>
      </c>
      <c r="K22" s="300">
        <f t="shared" ca="1" si="10"/>
        <v>13061536.879339132</v>
      </c>
      <c r="L22" s="300">
        <f t="shared" ca="1" si="10"/>
        <v>13902946.37606132</v>
      </c>
      <c r="M22" s="300">
        <f t="shared" ca="1" si="10"/>
        <v>14770011.955152828</v>
      </c>
      <c r="N22" s="300">
        <f t="shared" ca="1" si="10"/>
        <v>15657867.931505373</v>
      </c>
    </row>
    <row r="23" spans="1:19" x14ac:dyDescent="0.3">
      <c r="B23" s="143"/>
      <c r="C23" s="143"/>
      <c r="D23" s="143"/>
      <c r="E23" s="143"/>
      <c r="F23" s="143"/>
      <c r="G23" s="143"/>
      <c r="H23" s="143"/>
      <c r="I23" s="143"/>
      <c r="J23" s="143"/>
      <c r="K23" s="143"/>
      <c r="L23" s="143"/>
      <c r="M23" s="143"/>
      <c r="N23" s="143"/>
    </row>
    <row r="24" spans="1:19" x14ac:dyDescent="0.3">
      <c r="D24" s="147">
        <f ca="1">NPV(discount_rate,E22:N22)</f>
        <v>82632433.333007157</v>
      </c>
    </row>
    <row r="25" spans="1:19" x14ac:dyDescent="0.3">
      <c r="E25" s="24"/>
      <c r="F25" s="24"/>
      <c r="G25" s="24"/>
      <c r="H25" s="24"/>
      <c r="I25" s="24"/>
      <c r="J25" s="24"/>
      <c r="K25" s="24"/>
      <c r="L25" s="24"/>
      <c r="M25" s="24"/>
      <c r="N25" s="24"/>
    </row>
    <row r="26" spans="1:19" x14ac:dyDescent="0.3">
      <c r="E26" s="45"/>
      <c r="F26" s="24"/>
      <c r="G26" s="24"/>
      <c r="H26" s="24"/>
      <c r="I26" s="24"/>
      <c r="J26" s="24"/>
      <c r="K26" s="24"/>
      <c r="L26" s="24"/>
      <c r="M26" s="24"/>
      <c r="N26" s="24"/>
    </row>
    <row r="27" spans="1:19" ht="15.6" x14ac:dyDescent="0.3">
      <c r="B27" s="63" t="s">
        <v>85</v>
      </c>
    </row>
    <row r="28" spans="1:19" s="19" customFormat="1" x14ac:dyDescent="0.3">
      <c r="B28" s="9" t="s">
        <v>432</v>
      </c>
      <c r="D28" s="44"/>
      <c r="P28" s="330"/>
    </row>
    <row r="29" spans="1:19" s="9" customFormat="1" x14ac:dyDescent="0.3">
      <c r="A29" s="9" t="s">
        <v>86</v>
      </c>
      <c r="B29" s="9" t="s">
        <v>72</v>
      </c>
      <c r="C29" s="9" t="s">
        <v>1</v>
      </c>
      <c r="D29" s="44">
        <f>D34*0.14*8760</f>
        <v>0</v>
      </c>
      <c r="E29" s="44">
        <f>E34*0.14*8760</f>
        <v>58852.769524591407</v>
      </c>
      <c r="F29" s="44">
        <f t="shared" ref="F29:N29" si="11">F34*0.14*8760</f>
        <v>94079.03126973976</v>
      </c>
      <c r="G29" s="44">
        <f t="shared" si="11"/>
        <v>123085.19050313662</v>
      </c>
      <c r="H29" s="44">
        <f t="shared" si="11"/>
        <v>141702.20106965155</v>
      </c>
      <c r="I29" s="44">
        <f t="shared" si="11"/>
        <v>154759.13624894095</v>
      </c>
      <c r="J29" s="44">
        <f t="shared" si="11"/>
        <v>159295.21283157391</v>
      </c>
      <c r="K29" s="44">
        <f t="shared" si="11"/>
        <v>162660.95544209925</v>
      </c>
      <c r="L29" s="44">
        <f t="shared" si="11"/>
        <v>164568.2254753703</v>
      </c>
      <c r="M29" s="44">
        <f t="shared" si="11"/>
        <v>167852.92648208735</v>
      </c>
      <c r="N29" s="44">
        <f t="shared" si="11"/>
        <v>172758.52648208739</v>
      </c>
      <c r="O29" s="48"/>
      <c r="P29" s="70">
        <f>(N29/E29)^(1/($N$2-$D$2))-1</f>
        <v>0.11369753552608475</v>
      </c>
      <c r="Q29" s="48"/>
      <c r="R29" s="48"/>
      <c r="S29" s="6"/>
    </row>
    <row r="30" spans="1:19" x14ac:dyDescent="0.3">
      <c r="A30" t="s">
        <v>32</v>
      </c>
      <c r="B30" s="9" t="s">
        <v>72</v>
      </c>
      <c r="C30" s="9"/>
      <c r="D30" s="44">
        <f t="shared" ref="D30" si="12">D35*0.14*8760</f>
        <v>0</v>
      </c>
      <c r="E30" s="44">
        <f t="shared" ref="E30:N32" si="13">E35*0.14*8760</f>
        <v>41697.600000000006</v>
      </c>
      <c r="F30" s="44">
        <f t="shared" si="13"/>
        <v>63772.80000000001</v>
      </c>
      <c r="G30" s="44">
        <f t="shared" si="13"/>
        <v>73584</v>
      </c>
      <c r="H30" s="44">
        <f t="shared" si="13"/>
        <v>82168.800000000003</v>
      </c>
      <c r="I30" s="44">
        <f t="shared" si="13"/>
        <v>89527.200000000012</v>
      </c>
      <c r="J30" s="44">
        <f t="shared" si="13"/>
        <v>95659.200000000012</v>
      </c>
      <c r="K30" s="44">
        <f t="shared" si="13"/>
        <v>101791.20000000001</v>
      </c>
      <c r="L30" s="44">
        <f t="shared" si="13"/>
        <v>107923.2</v>
      </c>
      <c r="M30" s="44">
        <f t="shared" si="13"/>
        <v>114055.20000000001</v>
      </c>
      <c r="N30" s="44">
        <f t="shared" si="13"/>
        <v>120187.20000000001</v>
      </c>
      <c r="P30" s="70">
        <f>(N30/E30)^(1/($N$2-$D$2))-1</f>
        <v>0.1116670053981812</v>
      </c>
    </row>
    <row r="31" spans="1:19" x14ac:dyDescent="0.3">
      <c r="A31" t="s">
        <v>43</v>
      </c>
      <c r="B31" s="9" t="s">
        <v>72</v>
      </c>
      <c r="C31" s="9" t="s">
        <v>1</v>
      </c>
      <c r="D31" s="44">
        <f t="shared" ref="D31" si="14">D36*0.14*8760</f>
        <v>0</v>
      </c>
      <c r="E31" s="44">
        <f t="shared" si="13"/>
        <v>41697.600000000006</v>
      </c>
      <c r="F31" s="44">
        <f t="shared" si="13"/>
        <v>72357.60000000002</v>
      </c>
      <c r="G31" s="44">
        <f t="shared" si="13"/>
        <v>90447.000000000015</v>
      </c>
      <c r="H31" s="44">
        <f t="shared" si="13"/>
        <v>108536.40000000001</v>
      </c>
      <c r="I31" s="44">
        <f t="shared" si="13"/>
        <v>119390.04000000002</v>
      </c>
      <c r="J31" s="44">
        <f t="shared" si="13"/>
        <v>128344.29300000002</v>
      </c>
      <c r="K31" s="44">
        <f t="shared" si="13"/>
        <v>134761.50765000001</v>
      </c>
      <c r="L31" s="44">
        <f t="shared" si="13"/>
        <v>138804.35287950002</v>
      </c>
      <c r="M31" s="44">
        <f t="shared" si="13"/>
        <v>140192.39640829503</v>
      </c>
      <c r="N31" s="44">
        <f t="shared" si="13"/>
        <v>141594.32037237799</v>
      </c>
      <c r="P31" s="70">
        <f>(N31/E31)^(1/($N$2-$D$2))-1</f>
        <v>0.13003911784825051</v>
      </c>
    </row>
    <row r="32" spans="1:19" s="11" customFormat="1" x14ac:dyDescent="0.3">
      <c r="A32" s="11" t="s">
        <v>33</v>
      </c>
      <c r="B32" s="9" t="s">
        <v>72</v>
      </c>
      <c r="C32" s="9" t="s">
        <v>1</v>
      </c>
      <c r="D32" s="44">
        <f t="shared" ref="D32" si="15">D37*0.14*8760</f>
        <v>0</v>
      </c>
      <c r="E32" s="44">
        <f>E37*0.14*8760</f>
        <v>42924</v>
      </c>
      <c r="F32" s="44">
        <f t="shared" si="13"/>
        <v>79716.000000000015</v>
      </c>
      <c r="G32" s="44">
        <f t="shared" si="13"/>
        <v>110376.00000000001</v>
      </c>
      <c r="H32" s="44">
        <f>H37*0.14*8760</f>
        <v>138583.20000000001</v>
      </c>
      <c r="I32" s="44">
        <f t="shared" si="13"/>
        <v>163111.20000000001</v>
      </c>
      <c r="J32" s="44">
        <f t="shared" si="13"/>
        <v>181507.20000000001</v>
      </c>
      <c r="K32" s="44">
        <f t="shared" si="13"/>
        <v>196224.00000000003</v>
      </c>
      <c r="L32" s="44">
        <f t="shared" si="13"/>
        <v>208488</v>
      </c>
      <c r="M32" s="44">
        <f t="shared" si="13"/>
        <v>217072.80000000002</v>
      </c>
      <c r="N32" s="44">
        <f t="shared" si="13"/>
        <v>223204.80000000005</v>
      </c>
      <c r="O32" s="48"/>
      <c r="P32" s="70">
        <f>(N32/E32)^(1/($N$2-$D$2))-1</f>
        <v>0.17923492854605416</v>
      </c>
      <c r="Q32" s="48"/>
      <c r="R32" s="48"/>
      <c r="S32" s="6"/>
    </row>
    <row r="33" spans="1:19" s="11" customFormat="1" x14ac:dyDescent="0.3">
      <c r="D33" s="16"/>
      <c r="E33" s="16"/>
      <c r="F33" s="16"/>
      <c r="G33" s="16"/>
      <c r="H33" s="16"/>
      <c r="I33" s="16"/>
      <c r="J33" s="16"/>
      <c r="K33" s="16"/>
      <c r="L33" s="16"/>
      <c r="M33" s="16"/>
      <c r="N33" s="16"/>
      <c r="O33" s="48"/>
      <c r="P33" s="68"/>
      <c r="Q33" s="48"/>
      <c r="R33" s="48"/>
      <c r="S33" s="6"/>
    </row>
    <row r="34" spans="1:19" s="11" customFormat="1" x14ac:dyDescent="0.3">
      <c r="A34" s="9" t="s">
        <v>86</v>
      </c>
      <c r="B34" s="11" t="s">
        <v>433</v>
      </c>
      <c r="C34" s="11" t="s">
        <v>434</v>
      </c>
      <c r="D34" s="16"/>
      <c r="E34" s="16">
        <v>47.988233467540283</v>
      </c>
      <c r="F34" s="16">
        <v>76.711538869650809</v>
      </c>
      <c r="G34" s="16">
        <v>100.36300595493853</v>
      </c>
      <c r="H34" s="16">
        <v>115.54321678869172</v>
      </c>
      <c r="I34" s="16">
        <v>126.18977189248284</v>
      </c>
      <c r="J34" s="16">
        <v>129.88846447453841</v>
      </c>
      <c r="K34" s="16">
        <v>132.63287299584087</v>
      </c>
      <c r="L34" s="16">
        <v>134.18805077900382</v>
      </c>
      <c r="M34" s="16">
        <v>136.86637841005165</v>
      </c>
      <c r="N34" s="16">
        <f>M34+4</f>
        <v>140.86637841005165</v>
      </c>
      <c r="O34" s="48"/>
      <c r="P34" s="68"/>
      <c r="Q34" s="48"/>
      <c r="R34" s="48"/>
      <c r="S34" s="6"/>
    </row>
    <row r="35" spans="1:19" s="11" customFormat="1" x14ac:dyDescent="0.3">
      <c r="A35" t="s">
        <v>32</v>
      </c>
      <c r="B35" s="11" t="s">
        <v>433</v>
      </c>
      <c r="C35" s="11" t="s">
        <v>434</v>
      </c>
      <c r="D35" s="16"/>
      <c r="E35" s="16">
        <v>34</v>
      </c>
      <c r="F35" s="16">
        <f>E35+18</f>
        <v>52</v>
      </c>
      <c r="G35" s="16">
        <f>F35+8</f>
        <v>60</v>
      </c>
      <c r="H35" s="16">
        <f>G35+7</f>
        <v>67</v>
      </c>
      <c r="I35" s="16">
        <f>H35+6</f>
        <v>73</v>
      </c>
      <c r="J35" s="16">
        <f>I35+5</f>
        <v>78</v>
      </c>
      <c r="K35" s="16">
        <f>J35+5</f>
        <v>83</v>
      </c>
      <c r="L35" s="16">
        <f>K35+5</f>
        <v>88</v>
      </c>
      <c r="M35" s="16">
        <f>L35+5</f>
        <v>93</v>
      </c>
      <c r="N35" s="16">
        <f>M35+5</f>
        <v>98</v>
      </c>
      <c r="O35" s="48"/>
      <c r="P35" s="68"/>
      <c r="Q35" s="48"/>
      <c r="R35" s="48"/>
      <c r="S35" s="6"/>
    </row>
    <row r="36" spans="1:19" s="11" customFormat="1" x14ac:dyDescent="0.3">
      <c r="A36" t="s">
        <v>43</v>
      </c>
      <c r="B36" s="11" t="s">
        <v>433</v>
      </c>
      <c r="C36" s="11" t="s">
        <v>434</v>
      </c>
      <c r="D36" s="16"/>
      <c r="E36" s="16">
        <f>D36+34</f>
        <v>34</v>
      </c>
      <c r="F36" s="16">
        <f>E36+25</f>
        <v>59</v>
      </c>
      <c r="G36" s="16">
        <f>F36*(1.25)</f>
        <v>73.75</v>
      </c>
      <c r="H36" s="16">
        <f>G36*(1.2)</f>
        <v>88.5</v>
      </c>
      <c r="I36" s="16">
        <f>H36*(1.1)</f>
        <v>97.350000000000009</v>
      </c>
      <c r="J36" s="16">
        <f>I36*(1.075)</f>
        <v>104.65125</v>
      </c>
      <c r="K36" s="16">
        <f>J36*(1.05)</f>
        <v>109.8838125</v>
      </c>
      <c r="L36" s="16">
        <f>K36*(1.03)</f>
        <v>113.18032687500001</v>
      </c>
      <c r="M36" s="16">
        <f>L36*(1.01)</f>
        <v>114.31213014375001</v>
      </c>
      <c r="N36" s="16">
        <f>M36*(1.01)</f>
        <v>115.45525144518751</v>
      </c>
      <c r="O36" s="48"/>
      <c r="P36" s="68"/>
      <c r="Q36" s="48"/>
      <c r="R36" s="48"/>
      <c r="S36" s="6"/>
    </row>
    <row r="37" spans="1:19" x14ac:dyDescent="0.3">
      <c r="A37" s="11" t="s">
        <v>33</v>
      </c>
      <c r="B37" s="11" t="s">
        <v>433</v>
      </c>
      <c r="C37" s="11" t="s">
        <v>434</v>
      </c>
      <c r="D37" s="16"/>
      <c r="E37" s="16">
        <f>D37+35</f>
        <v>35</v>
      </c>
      <c r="F37" s="16">
        <f>E37+30</f>
        <v>65</v>
      </c>
      <c r="G37" s="16">
        <f>F37+25</f>
        <v>90</v>
      </c>
      <c r="H37" s="16">
        <f>G37+23</f>
        <v>113</v>
      </c>
      <c r="I37" s="16">
        <f>H37+20</f>
        <v>133</v>
      </c>
      <c r="J37" s="16">
        <f>I37+15</f>
        <v>148</v>
      </c>
      <c r="K37" s="16">
        <f>J37+12</f>
        <v>160</v>
      </c>
      <c r="L37" s="16">
        <f>K37+10</f>
        <v>170</v>
      </c>
      <c r="M37" s="16">
        <f>L37+7</f>
        <v>177</v>
      </c>
      <c r="N37" s="16">
        <f>M37+5</f>
        <v>182</v>
      </c>
    </row>
    <row r="38" spans="1:19" s="11" customFormat="1" x14ac:dyDescent="0.3">
      <c r="D38" s="16"/>
      <c r="E38" s="16"/>
      <c r="F38" s="16"/>
      <c r="G38" s="16"/>
      <c r="H38" s="16"/>
      <c r="I38" s="16"/>
      <c r="J38" s="16"/>
      <c r="K38" s="16"/>
      <c r="L38" s="16"/>
      <c r="M38" s="16"/>
      <c r="N38" s="16"/>
      <c r="O38" s="48"/>
      <c r="P38" s="68"/>
      <c r="Q38" s="48"/>
      <c r="R38" s="48"/>
      <c r="S38" s="6"/>
    </row>
    <row r="39" spans="1:19" s="11" customFormat="1" x14ac:dyDescent="0.3">
      <c r="A39" s="9" t="s">
        <v>86</v>
      </c>
      <c r="B39" s="11" t="s">
        <v>91</v>
      </c>
      <c r="C39" s="11" t="s">
        <v>5</v>
      </c>
      <c r="D39" s="16"/>
      <c r="E39" s="24"/>
      <c r="F39" s="24">
        <f t="shared" ref="F39:N39" si="16">F29/E29-1</f>
        <v>0.59854892182141395</v>
      </c>
      <c r="G39" s="24">
        <f t="shared" si="16"/>
        <v>0.30831694206365201</v>
      </c>
      <c r="H39" s="24">
        <f t="shared" si="16"/>
        <v>0.15125305075626061</v>
      </c>
      <c r="I39" s="24">
        <f t="shared" si="16"/>
        <v>9.2143488814767638E-2</v>
      </c>
      <c r="J39" s="24">
        <f t="shared" si="16"/>
        <v>2.9310557635423562E-2</v>
      </c>
      <c r="K39" s="24">
        <f t="shared" si="16"/>
        <v>2.1128962701999043E-2</v>
      </c>
      <c r="L39" s="24">
        <f t="shared" si="16"/>
        <v>1.1725432376117784E-2</v>
      </c>
      <c r="M39" s="24">
        <f t="shared" si="16"/>
        <v>1.9959509177600365E-2</v>
      </c>
      <c r="N39" s="24">
        <f t="shared" si="16"/>
        <v>2.9225585176339219E-2</v>
      </c>
      <c r="O39" s="48"/>
      <c r="P39" s="68"/>
      <c r="Q39" s="48"/>
      <c r="R39" s="48"/>
      <c r="S39" s="6"/>
    </row>
    <row r="40" spans="1:19" s="11" customFormat="1" x14ac:dyDescent="0.3">
      <c r="A40" t="s">
        <v>32</v>
      </c>
      <c r="B40" s="11" t="s">
        <v>91</v>
      </c>
      <c r="C40" s="11" t="s">
        <v>5</v>
      </c>
      <c r="D40" s="16"/>
      <c r="E40" s="24">
        <v>0.15</v>
      </c>
      <c r="F40" s="24">
        <f t="shared" ref="F40:N40" si="17">F30/E30-1</f>
        <v>0.52941176470588247</v>
      </c>
      <c r="G40" s="24">
        <f t="shared" si="17"/>
        <v>0.15384615384615374</v>
      </c>
      <c r="H40" s="24">
        <f t="shared" si="17"/>
        <v>0.1166666666666667</v>
      </c>
      <c r="I40" s="24">
        <f t="shared" si="17"/>
        <v>8.9552238805970186E-2</v>
      </c>
      <c r="J40" s="24">
        <f t="shared" si="17"/>
        <v>6.8493150684931559E-2</v>
      </c>
      <c r="K40" s="24">
        <f t="shared" si="17"/>
        <v>6.4102564102564097E-2</v>
      </c>
      <c r="L40" s="24">
        <f t="shared" si="17"/>
        <v>6.0240963855421548E-2</v>
      </c>
      <c r="M40" s="24">
        <f t="shared" si="17"/>
        <v>5.6818181818181879E-2</v>
      </c>
      <c r="N40" s="24">
        <f t="shared" si="17"/>
        <v>5.3763440860215006E-2</v>
      </c>
      <c r="O40" s="48"/>
      <c r="P40" s="68"/>
      <c r="Q40" s="48"/>
      <c r="R40" s="48"/>
      <c r="S40" s="6"/>
    </row>
    <row r="41" spans="1:19" s="11" customFormat="1" x14ac:dyDescent="0.3">
      <c r="A41" t="s">
        <v>43</v>
      </c>
      <c r="B41" s="11" t="s">
        <v>91</v>
      </c>
      <c r="C41" s="11" t="s">
        <v>5</v>
      </c>
      <c r="D41" s="16"/>
      <c r="E41" s="24">
        <f>E39/2</f>
        <v>0</v>
      </c>
      <c r="F41" s="24">
        <f t="shared" ref="F41:N41" si="18">F31/E31-1</f>
        <v>0.7352941176470591</v>
      </c>
      <c r="G41" s="24">
        <f t="shared" si="18"/>
        <v>0.24999999999999978</v>
      </c>
      <c r="H41" s="24">
        <f t="shared" si="18"/>
        <v>0.19999999999999996</v>
      </c>
      <c r="I41" s="24">
        <f t="shared" si="18"/>
        <v>0.10000000000000009</v>
      </c>
      <c r="J41" s="24">
        <f t="shared" si="18"/>
        <v>7.4999999999999956E-2</v>
      </c>
      <c r="K41" s="24">
        <f t="shared" si="18"/>
        <v>5.0000000000000044E-2</v>
      </c>
      <c r="L41" s="24">
        <f t="shared" si="18"/>
        <v>3.0000000000000027E-2</v>
      </c>
      <c r="M41" s="24">
        <f t="shared" si="18"/>
        <v>1.0000000000000009E-2</v>
      </c>
      <c r="N41" s="24">
        <f t="shared" si="18"/>
        <v>1.0000000000000009E-2</v>
      </c>
      <c r="O41" s="48"/>
      <c r="P41" s="68"/>
      <c r="Q41" s="48"/>
      <c r="R41" s="48"/>
      <c r="S41" s="6"/>
    </row>
    <row r="42" spans="1:19" x14ac:dyDescent="0.3">
      <c r="A42" s="11" t="s">
        <v>33</v>
      </c>
      <c r="B42" s="11" t="s">
        <v>91</v>
      </c>
      <c r="C42" s="11" t="s">
        <v>5</v>
      </c>
      <c r="E42" s="24">
        <f>E39/1.25</f>
        <v>0</v>
      </c>
      <c r="F42" s="24">
        <v>3.5</v>
      </c>
      <c r="G42" s="24">
        <f>G39/1.25</f>
        <v>0.24665355365092162</v>
      </c>
      <c r="H42" s="24">
        <f t="shared" ref="H42:N42" si="19">H39/1.25</f>
        <v>0.12100244060500849</v>
      </c>
      <c r="I42" s="24">
        <f t="shared" si="19"/>
        <v>7.371479105181411E-2</v>
      </c>
      <c r="J42" s="24">
        <f t="shared" si="19"/>
        <v>2.344844610833885E-2</v>
      </c>
      <c r="K42" s="24">
        <f t="shared" si="19"/>
        <v>1.6903170161599236E-2</v>
      </c>
      <c r="L42" s="24">
        <f t="shared" si="19"/>
        <v>9.3803459008942273E-3</v>
      </c>
      <c r="M42" s="24">
        <f t="shared" si="19"/>
        <v>1.5967607342080293E-2</v>
      </c>
      <c r="N42" s="24">
        <f t="shared" si="19"/>
        <v>2.3380468141071375E-2</v>
      </c>
    </row>
    <row r="43" spans="1:19" x14ac:dyDescent="0.3">
      <c r="A43" s="11"/>
    </row>
    <row r="44" spans="1:19" x14ac:dyDescent="0.3">
      <c r="A44" s="11"/>
    </row>
    <row r="45" spans="1:19" ht="15.6" x14ac:dyDescent="0.3">
      <c r="B45" s="63" t="s">
        <v>84</v>
      </c>
    </row>
    <row r="46" spans="1:19" x14ac:dyDescent="0.3">
      <c r="B46" t="s">
        <v>749</v>
      </c>
      <c r="D46" s="92">
        <v>51.085000000000001</v>
      </c>
      <c r="E46" s="92">
        <v>51.085000000000001</v>
      </c>
      <c r="F46" s="92">
        <v>51.085000000000001</v>
      </c>
      <c r="G46" s="92">
        <v>51.085000000000001</v>
      </c>
      <c r="H46" s="92">
        <v>51.085000000000001</v>
      </c>
      <c r="I46" s="92">
        <v>51.085000000000001</v>
      </c>
      <c r="J46" s="92">
        <v>51.085000000000001</v>
      </c>
      <c r="K46" s="92">
        <v>51.085000000000001</v>
      </c>
      <c r="L46" s="92">
        <v>51.085000000000001</v>
      </c>
      <c r="M46" s="92">
        <v>51.085000000000001</v>
      </c>
      <c r="N46" s="92">
        <v>51.085000000000001</v>
      </c>
    </row>
    <row r="47" spans="1:19" x14ac:dyDescent="0.3">
      <c r="B47" t="s">
        <v>88</v>
      </c>
      <c r="D47" s="66"/>
      <c r="E47">
        <v>1</v>
      </c>
      <c r="F47">
        <v>7.5</v>
      </c>
      <c r="G47">
        <v>10</v>
      </c>
      <c r="H47">
        <v>10</v>
      </c>
      <c r="I47">
        <v>10</v>
      </c>
      <c r="J47">
        <v>10</v>
      </c>
      <c r="K47">
        <v>10</v>
      </c>
    </row>
    <row r="48" spans="1:19" x14ac:dyDescent="0.3">
      <c r="B48" t="s">
        <v>89</v>
      </c>
      <c r="D48" s="66">
        <v>14.215</v>
      </c>
      <c r="E48" s="66">
        <f>D48+E47</f>
        <v>15.215</v>
      </c>
      <c r="F48" s="66">
        <f t="shared" ref="F48" si="20">E48+E47</f>
        <v>16.215</v>
      </c>
      <c r="G48" s="66">
        <f>F48+F47</f>
        <v>23.715</v>
      </c>
      <c r="H48" s="66">
        <f t="shared" ref="H48:N48" si="21">G48+G47</f>
        <v>33.715000000000003</v>
      </c>
      <c r="I48" s="66">
        <f t="shared" si="21"/>
        <v>43.715000000000003</v>
      </c>
      <c r="J48" s="66">
        <f t="shared" si="21"/>
        <v>53.715000000000003</v>
      </c>
      <c r="K48" s="66">
        <f t="shared" si="21"/>
        <v>63.715000000000003</v>
      </c>
      <c r="L48" s="66">
        <f t="shared" si="21"/>
        <v>73.715000000000003</v>
      </c>
      <c r="M48" s="66">
        <f t="shared" si="21"/>
        <v>73.715000000000003</v>
      </c>
      <c r="N48" s="66">
        <f t="shared" si="21"/>
        <v>73.715000000000003</v>
      </c>
    </row>
    <row r="50" spans="2:16" ht="15" thickBot="1" x14ac:dyDescent="0.35"/>
    <row r="51" spans="2:16" s="78" customFormat="1" ht="40.200000000000003" customHeight="1" thickBot="1" x14ac:dyDescent="0.35">
      <c r="B51" s="79" t="s">
        <v>35</v>
      </c>
      <c r="C51" s="80" t="s">
        <v>36</v>
      </c>
      <c r="D51" s="81" t="s">
        <v>42</v>
      </c>
      <c r="G51" s="578" t="s">
        <v>418</v>
      </c>
      <c r="H51" s="579"/>
      <c r="I51" s="283" t="s">
        <v>420</v>
      </c>
      <c r="P51" s="82"/>
    </row>
    <row r="52" spans="2:16" x14ac:dyDescent="0.3">
      <c r="B52" s="27" t="s">
        <v>37</v>
      </c>
      <c r="C52" s="73">
        <v>0.65</v>
      </c>
      <c r="D52" s="74">
        <v>0</v>
      </c>
      <c r="G52" s="278" t="s">
        <v>419</v>
      </c>
      <c r="H52" s="285">
        <v>42735</v>
      </c>
      <c r="I52" s="288" t="s">
        <v>422</v>
      </c>
    </row>
    <row r="53" spans="2:16" x14ac:dyDescent="0.3">
      <c r="B53" s="27" t="s">
        <v>38</v>
      </c>
      <c r="C53" s="73">
        <v>0.6</v>
      </c>
      <c r="D53" s="74">
        <v>0</v>
      </c>
      <c r="G53" s="280">
        <f>1+H52</f>
        <v>42736</v>
      </c>
      <c r="H53" s="286">
        <v>43281</v>
      </c>
      <c r="I53" s="279">
        <v>0.06</v>
      </c>
    </row>
    <row r="54" spans="2:16" x14ac:dyDescent="0.3">
      <c r="B54" s="27" t="s">
        <v>39</v>
      </c>
      <c r="C54" s="73">
        <v>0.35</v>
      </c>
      <c r="D54" s="74">
        <v>0.03</v>
      </c>
      <c r="G54" s="280">
        <f>1+H53</f>
        <v>43282</v>
      </c>
      <c r="H54" s="286">
        <v>43646</v>
      </c>
      <c r="I54" s="279">
        <v>0.05</v>
      </c>
    </row>
    <row r="55" spans="2:16" x14ac:dyDescent="0.3">
      <c r="B55" s="27" t="s">
        <v>40</v>
      </c>
      <c r="C55" s="73">
        <v>0.7</v>
      </c>
      <c r="D55" s="74">
        <v>0.08</v>
      </c>
      <c r="G55" s="280">
        <f>1+H54</f>
        <v>43647</v>
      </c>
      <c r="H55" s="284" t="s">
        <v>421</v>
      </c>
      <c r="I55" s="279">
        <v>0.04</v>
      </c>
    </row>
    <row r="56" spans="2:16" ht="15" thickBot="1" x14ac:dyDescent="0.35">
      <c r="B56" s="28" t="s">
        <v>12</v>
      </c>
      <c r="C56" s="73">
        <v>0.15</v>
      </c>
      <c r="D56" s="74">
        <v>0.82</v>
      </c>
      <c r="G56" s="281">
        <f>1+H55</f>
        <v>44013</v>
      </c>
      <c r="H56" s="287" t="s">
        <v>421</v>
      </c>
      <c r="I56" s="282">
        <v>0.03</v>
      </c>
    </row>
    <row r="57" spans="2:16" x14ac:dyDescent="0.3">
      <c r="B57" s="27" t="s">
        <v>41</v>
      </c>
      <c r="C57" s="73">
        <v>0.2</v>
      </c>
      <c r="D57" s="74">
        <v>7.0000000000000007E-2</v>
      </c>
    </row>
    <row r="58" spans="2:16" x14ac:dyDescent="0.3">
      <c r="B58" s="76" t="s">
        <v>90</v>
      </c>
      <c r="C58" s="77">
        <f>SUMPRODUCT(C52:C57,D52:D57)</f>
        <v>0.20349999999999999</v>
      </c>
      <c r="D58" s="75"/>
    </row>
    <row r="61" spans="2:16" x14ac:dyDescent="0.3">
      <c r="B61" t="s">
        <v>389</v>
      </c>
    </row>
  </sheetData>
  <mergeCells count="1">
    <mergeCell ref="G51:H51"/>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W98"/>
  <sheetViews>
    <sheetView zoomScale="80" zoomScaleNormal="80" workbookViewId="0">
      <pane xSplit="3" ySplit="9" topLeftCell="D10" activePane="bottomRight" state="frozen"/>
      <selection pane="topRight" activeCell="D1" sqref="D1"/>
      <selection pane="bottomLeft" activeCell="A10" sqref="A10"/>
      <selection pane="bottomRight" activeCell="F3" sqref="F3"/>
    </sheetView>
  </sheetViews>
  <sheetFormatPr defaultRowHeight="14.4" x14ac:dyDescent="0.3"/>
  <cols>
    <col min="2" max="2" width="14.44140625" bestFit="1" customWidth="1"/>
    <col min="3" max="3" width="10" bestFit="1" customWidth="1"/>
    <col min="4" max="4" width="15.109375" bestFit="1" customWidth="1"/>
    <col min="5" max="6" width="14.44140625" bestFit="1" customWidth="1"/>
    <col min="7" max="7" width="15.44140625" bestFit="1" customWidth="1"/>
    <col min="8" max="14" width="15.88671875" bestFit="1" customWidth="1"/>
    <col min="15" max="15" width="11.109375" bestFit="1" customWidth="1"/>
    <col min="16" max="16" width="16.44140625" bestFit="1" customWidth="1"/>
    <col min="17" max="17" width="15.88671875" customWidth="1"/>
    <col min="18" max="18" width="13.5546875" bestFit="1" customWidth="1"/>
  </cols>
  <sheetData>
    <row r="1" spans="2:23" ht="15" thickBot="1" x14ac:dyDescent="0.35">
      <c r="D1" s="65" t="s">
        <v>445</v>
      </c>
      <c r="E1">
        <f>IF(FF_scenario="high",0.75,(IF(FF_scenario="low",1.3,1)))</f>
        <v>0.75</v>
      </c>
      <c r="F1" t="s">
        <v>447</v>
      </c>
    </row>
    <row r="2" spans="2:23" s="225" customFormat="1" ht="56.4" customHeight="1" x14ac:dyDescent="0.3">
      <c r="B2" s="222"/>
      <c r="C2" s="223" t="s">
        <v>61</v>
      </c>
      <c r="D2" s="223" t="s">
        <v>219</v>
      </c>
      <c r="E2" s="348" t="s">
        <v>439</v>
      </c>
      <c r="F2" s="223" t="s">
        <v>444</v>
      </c>
      <c r="G2" s="223" t="s">
        <v>62</v>
      </c>
      <c r="H2" s="223" t="s">
        <v>249</v>
      </c>
      <c r="I2" s="223" t="s">
        <v>214</v>
      </c>
      <c r="J2" s="223" t="s">
        <v>71</v>
      </c>
      <c r="K2" s="223" t="s">
        <v>243</v>
      </c>
      <c r="L2" s="223" t="s">
        <v>215</v>
      </c>
      <c r="M2" s="223" t="s">
        <v>216</v>
      </c>
      <c r="N2" s="223" t="s">
        <v>247</v>
      </c>
      <c r="O2" s="223" t="s">
        <v>217</v>
      </c>
      <c r="P2" s="224" t="s">
        <v>218</v>
      </c>
      <c r="Q2" s="225" t="s">
        <v>411</v>
      </c>
    </row>
    <row r="3" spans="2:23" x14ac:dyDescent="0.3">
      <c r="B3" s="205" t="s">
        <v>6</v>
      </c>
      <c r="C3" s="201">
        <f>assumptions!D21</f>
        <v>0.3</v>
      </c>
      <c r="D3" s="202">
        <f ca="1">M3-N3</f>
        <v>27.681260325168502</v>
      </c>
      <c r="E3" s="349">
        <f ca="1">F3*O3*$E$1</f>
        <v>589.7995807919425</v>
      </c>
      <c r="F3" s="85">
        <f>assumptions!D29</f>
        <v>25</v>
      </c>
      <c r="G3" s="351">
        <f ca="1">'Tier III PT'!E10/1000</f>
        <v>3.0769398770198286</v>
      </c>
      <c r="H3" s="48">
        <f>'Tier III PT'!D10</f>
        <v>26.461682942370523</v>
      </c>
      <c r="I3" s="48">
        <v>15</v>
      </c>
      <c r="J3" s="203">
        <v>0.75</v>
      </c>
      <c r="K3" s="48">
        <v>9232</v>
      </c>
      <c r="L3" s="231">
        <v>0.88</v>
      </c>
      <c r="M3" s="44">
        <f>H3*1000*I3*L3/K3</f>
        <v>37.835161919333935</v>
      </c>
      <c r="N3" s="44">
        <f ca="1">G3*I3*L3*(1-J3)</f>
        <v>10.153901594165434</v>
      </c>
      <c r="O3" s="44">
        <f ca="1">D3/L3</f>
        <v>31.455977642236935</v>
      </c>
      <c r="P3" s="206">
        <f ca="1">G3/D3*1000</f>
        <v>111.15606156928473</v>
      </c>
      <c r="Q3" s="47">
        <f>'Tier III PT'!F33</f>
        <v>3973.2216937969342</v>
      </c>
    </row>
    <row r="4" spans="2:23" x14ac:dyDescent="0.3">
      <c r="B4" s="205" t="s">
        <v>7</v>
      </c>
      <c r="C4" s="201">
        <f>assumptions!D22</f>
        <v>0.45</v>
      </c>
      <c r="D4" s="202">
        <f>M4-N4</f>
        <v>29.940473990784508</v>
      </c>
      <c r="E4" s="349">
        <f>F4*O4*$E$1</f>
        <v>673.66066479265146</v>
      </c>
      <c r="F4" s="85">
        <f>assumptions!D30</f>
        <v>30</v>
      </c>
      <c r="G4" s="351">
        <f>'Tier III PT'!E19/1000</f>
        <v>2.4398310000000003</v>
      </c>
      <c r="H4" s="48">
        <f>'Tier III PT'!D19</f>
        <v>40.182436933365324</v>
      </c>
      <c r="I4" s="48">
        <v>8</v>
      </c>
      <c r="J4" s="203">
        <v>0.75</v>
      </c>
      <c r="K4" s="48">
        <v>9232</v>
      </c>
      <c r="L4" s="232">
        <v>1</v>
      </c>
      <c r="M4" s="44">
        <f>H4*1000*I4*L4/K4</f>
        <v>34.820135990784507</v>
      </c>
      <c r="N4" s="44">
        <f>G4*I4*L4*(1-J4)</f>
        <v>4.8796620000000006</v>
      </c>
      <c r="O4" s="44">
        <f>D4/L4</f>
        <v>29.940473990784508</v>
      </c>
      <c r="P4" s="206">
        <f>G4/D4*1000</f>
        <v>81.489391275200433</v>
      </c>
      <c r="Q4" s="47">
        <f>'Tier III PT'!F34</f>
        <v>6316.6790859250286</v>
      </c>
    </row>
    <row r="5" spans="2:23" x14ac:dyDescent="0.3">
      <c r="B5" s="205" t="s">
        <v>24</v>
      </c>
      <c r="C5" s="201">
        <f>assumptions!D23</f>
        <v>0.05</v>
      </c>
      <c r="D5" s="202">
        <f>M5-N5</f>
        <v>56.000000000000007</v>
      </c>
      <c r="E5" s="349">
        <f>F5*O5*$E$1</f>
        <v>840.00000000000023</v>
      </c>
      <c r="F5" s="85">
        <f>assumptions!D31</f>
        <v>20</v>
      </c>
      <c r="G5" s="360">
        <v>0</v>
      </c>
      <c r="H5" s="360">
        <f>'Tier III PT'!D40</f>
        <v>17.233066666666669</v>
      </c>
      <c r="I5" s="48">
        <v>30</v>
      </c>
      <c r="J5" s="203">
        <v>0.75</v>
      </c>
      <c r="K5" s="48">
        <v>9232</v>
      </c>
      <c r="L5" s="232">
        <v>1</v>
      </c>
      <c r="M5" s="204">
        <f>H5*1000*I5*L5/K5</f>
        <v>56.000000000000007</v>
      </c>
      <c r="N5" s="44">
        <f>G5*I5*L5*(1-J5)</f>
        <v>0</v>
      </c>
      <c r="O5" s="44">
        <f>D5/L5</f>
        <v>56.000000000000007</v>
      </c>
      <c r="P5" s="206">
        <f>G5/D5*1000</f>
        <v>0</v>
      </c>
      <c r="Q5" s="47">
        <f>'Tier III PT'!F40</f>
        <v>2587.5449600000006</v>
      </c>
    </row>
    <row r="6" spans="2:23" x14ac:dyDescent="0.3">
      <c r="B6" s="205" t="s">
        <v>23</v>
      </c>
      <c r="C6" s="201">
        <f>assumptions!D24</f>
        <v>0.15</v>
      </c>
      <c r="D6" s="202">
        <f>M6-N6</f>
        <v>6596.5201429809358</v>
      </c>
      <c r="E6" s="349">
        <f>F6*O6*$E$1</f>
        <v>59368.681286828425</v>
      </c>
      <c r="F6" s="85">
        <f>assumptions!D32</f>
        <v>12</v>
      </c>
      <c r="G6" s="360">
        <f>6649*0.029</f>
        <v>192.821</v>
      </c>
      <c r="H6" s="360">
        <v>2475</v>
      </c>
      <c r="I6" s="48">
        <v>30</v>
      </c>
      <c r="J6" s="203">
        <v>0.75</v>
      </c>
      <c r="K6" s="48">
        <v>9232</v>
      </c>
      <c r="L6" s="232">
        <v>1</v>
      </c>
      <c r="M6" s="44">
        <f>H6*1000*I6*L6/K6</f>
        <v>8042.6776429809361</v>
      </c>
      <c r="N6" s="44">
        <f>G6*I6*L6*(1-J6)</f>
        <v>1446.1575</v>
      </c>
      <c r="O6" s="44">
        <f>D6/L6</f>
        <v>6596.5201429809358</v>
      </c>
      <c r="P6" s="206">
        <f>G6/D6*1000</f>
        <v>29.23071495585021</v>
      </c>
      <c r="Q6" s="47">
        <f>57*O6</f>
        <v>376001.64814991335</v>
      </c>
    </row>
    <row r="7" spans="2:23" ht="15" thickBot="1" x14ac:dyDescent="0.35">
      <c r="B7" s="207" t="s">
        <v>70</v>
      </c>
      <c r="C7" s="208">
        <f>assumptions!D25</f>
        <v>0.05</v>
      </c>
      <c r="D7" s="209">
        <v>1</v>
      </c>
      <c r="E7" s="350"/>
      <c r="F7" s="210"/>
      <c r="G7" s="234"/>
      <c r="H7" s="234">
        <v>8</v>
      </c>
      <c r="I7" s="234">
        <v>1</v>
      </c>
      <c r="J7" s="211"/>
      <c r="K7" s="233"/>
      <c r="L7" s="233">
        <v>1</v>
      </c>
      <c r="M7" s="213">
        <v>1</v>
      </c>
      <c r="N7" s="212">
        <v>1</v>
      </c>
      <c r="O7" s="213">
        <f>D7/L7</f>
        <v>1</v>
      </c>
      <c r="P7" s="214">
        <f>G7/D7*1000</f>
        <v>0</v>
      </c>
      <c r="Q7" s="47">
        <f>emissions!C29</f>
        <v>654</v>
      </c>
    </row>
    <row r="9" spans="2:23" s="14" customFormat="1" x14ac:dyDescent="0.3">
      <c r="C9" s="14" t="s">
        <v>55</v>
      </c>
      <c r="D9" s="15">
        <f>base_year-1</f>
        <v>2018</v>
      </c>
      <c r="E9" s="15">
        <f>D9+1</f>
        <v>2019</v>
      </c>
      <c r="F9" s="15">
        <f t="shared" ref="F9:N9" si="0">E9+1</f>
        <v>2020</v>
      </c>
      <c r="G9" s="15">
        <f t="shared" si="0"/>
        <v>2021</v>
      </c>
      <c r="H9" s="15">
        <f t="shared" si="0"/>
        <v>2022</v>
      </c>
      <c r="I9" s="15">
        <f t="shared" si="0"/>
        <v>2023</v>
      </c>
      <c r="J9" s="15">
        <f t="shared" si="0"/>
        <v>2024</v>
      </c>
      <c r="K9" s="15">
        <f t="shared" si="0"/>
        <v>2025</v>
      </c>
      <c r="L9" s="15">
        <f t="shared" si="0"/>
        <v>2026</v>
      </c>
      <c r="M9" s="15">
        <f t="shared" si="0"/>
        <v>2027</v>
      </c>
      <c r="N9" s="15">
        <f t="shared" si="0"/>
        <v>2028</v>
      </c>
      <c r="O9" s="15"/>
      <c r="P9" s="15"/>
      <c r="Q9" s="15"/>
      <c r="R9" s="15"/>
      <c r="S9" s="15"/>
      <c r="T9" s="15"/>
      <c r="U9" s="15"/>
      <c r="V9" s="15"/>
      <c r="W9" s="15"/>
    </row>
    <row r="11" spans="2:23" x14ac:dyDescent="0.3">
      <c r="B11" t="s">
        <v>68</v>
      </c>
      <c r="D11" s="16">
        <f>requirements!D13</f>
        <v>147343.62357333335</v>
      </c>
      <c r="E11" s="16">
        <f>requirements!E13</f>
        <v>184179.52946666666</v>
      </c>
      <c r="F11" s="16">
        <f ca="1">requirements!F13</f>
        <v>218330.87215527185</v>
      </c>
      <c r="G11" s="16">
        <f ca="1">requirements!G13</f>
        <v>252491.31155178137</v>
      </c>
      <c r="H11" s="16">
        <f ca="1">requirements!H13</f>
        <v>286358.0287789196</v>
      </c>
      <c r="I11" s="16">
        <f ca="1">requirements!I13</f>
        <v>321285.56656422635</v>
      </c>
      <c r="J11" s="16">
        <f ca="1">requirements!J13</f>
        <v>357346.7325350286</v>
      </c>
      <c r="K11" s="16">
        <f ca="1">requirements!K13</f>
        <v>394190.53778458311</v>
      </c>
      <c r="L11" s="16">
        <f ca="1">requirements!L13</f>
        <v>431403.43301901489</v>
      </c>
      <c r="M11" s="16">
        <f ca="1">requirements!M13</f>
        <v>468599.10337637994</v>
      </c>
      <c r="N11" s="16">
        <f ca="1">requirements!N13</f>
        <v>506757.46368444798</v>
      </c>
    </row>
    <row r="13" spans="2:23" x14ac:dyDescent="0.3">
      <c r="B13" s="20" t="s">
        <v>69</v>
      </c>
    </row>
    <row r="14" spans="2:23" x14ac:dyDescent="0.3">
      <c r="B14" t="s">
        <v>6</v>
      </c>
      <c r="D14" s="18">
        <f>$C3*D$11</f>
        <v>44203.087072000002</v>
      </c>
      <c r="E14" s="18">
        <f t="shared" ref="E14:N14" si="1">$C3*E$11</f>
        <v>55253.858839999994</v>
      </c>
      <c r="F14" s="18">
        <f t="shared" ca="1" si="1"/>
        <v>65499.261646581552</v>
      </c>
      <c r="G14" s="18">
        <f t="shared" ca="1" si="1"/>
        <v>75747.393465534406</v>
      </c>
      <c r="H14" s="18">
        <f t="shared" ca="1" si="1"/>
        <v>85907.408633675877</v>
      </c>
      <c r="I14" s="18">
        <f t="shared" ca="1" si="1"/>
        <v>96385.669969267896</v>
      </c>
      <c r="J14" s="18">
        <f t="shared" ca="1" si="1"/>
        <v>107204.01976050857</v>
      </c>
      <c r="K14" s="18">
        <f t="shared" ca="1" si="1"/>
        <v>118257.16133537493</v>
      </c>
      <c r="L14" s="18">
        <f t="shared" ca="1" si="1"/>
        <v>129421.02990570446</v>
      </c>
      <c r="M14" s="18">
        <f t="shared" ca="1" si="1"/>
        <v>140579.73101291398</v>
      </c>
      <c r="N14" s="18">
        <f t="shared" ca="1" si="1"/>
        <v>152027.23910533439</v>
      </c>
    </row>
    <row r="15" spans="2:23" x14ac:dyDescent="0.3">
      <c r="B15" t="s">
        <v>7</v>
      </c>
      <c r="D15" s="18">
        <f t="shared" ref="D15:N18" si="2">$C4*D$11</f>
        <v>66304.630608000007</v>
      </c>
      <c r="E15" s="18">
        <f t="shared" si="2"/>
        <v>82880.788260000001</v>
      </c>
      <c r="F15" s="18">
        <f ca="1">$C4*F$11</f>
        <v>98248.892469872328</v>
      </c>
      <c r="G15" s="18">
        <f ca="1">$C4*G$11</f>
        <v>113621.09019830162</v>
      </c>
      <c r="H15" s="18">
        <f t="shared" ca="1" si="2"/>
        <v>128861.11295051382</v>
      </c>
      <c r="I15" s="18">
        <f t="shared" ca="1" si="2"/>
        <v>144578.50495390187</v>
      </c>
      <c r="J15" s="18">
        <f t="shared" ca="1" si="2"/>
        <v>160806.02964076286</v>
      </c>
      <c r="K15" s="18">
        <f t="shared" ca="1" si="2"/>
        <v>177385.74200306239</v>
      </c>
      <c r="L15" s="18">
        <f t="shared" ca="1" si="2"/>
        <v>194131.54485855671</v>
      </c>
      <c r="M15" s="18">
        <f t="shared" ca="1" si="2"/>
        <v>210869.59651937097</v>
      </c>
      <c r="N15" s="18">
        <f t="shared" ca="1" si="2"/>
        <v>228040.85865800158</v>
      </c>
    </row>
    <row r="16" spans="2:23" x14ac:dyDescent="0.3">
      <c r="B16" t="s">
        <v>24</v>
      </c>
      <c r="D16" s="18">
        <f t="shared" si="2"/>
        <v>7367.1811786666676</v>
      </c>
      <c r="E16" s="18">
        <f t="shared" si="2"/>
        <v>9208.9764733333341</v>
      </c>
      <c r="F16" s="18">
        <f t="shared" ca="1" si="2"/>
        <v>10916.543607763593</v>
      </c>
      <c r="G16" s="18">
        <f t="shared" ca="1" si="2"/>
        <v>12624.56557758907</v>
      </c>
      <c r="H16" s="18">
        <f t="shared" ca="1" si="2"/>
        <v>14317.901438945981</v>
      </c>
      <c r="I16" s="18">
        <f t="shared" ca="1" si="2"/>
        <v>16064.278328211318</v>
      </c>
      <c r="J16" s="18">
        <f t="shared" ca="1" si="2"/>
        <v>17867.336626751432</v>
      </c>
      <c r="K16" s="18">
        <f t="shared" ca="1" si="2"/>
        <v>19709.526889229157</v>
      </c>
      <c r="L16" s="18">
        <f t="shared" ca="1" si="2"/>
        <v>21570.171650950746</v>
      </c>
      <c r="M16" s="18">
        <f t="shared" ca="1" si="2"/>
        <v>23429.955168818997</v>
      </c>
      <c r="N16" s="18">
        <f t="shared" ca="1" si="2"/>
        <v>25337.873184222401</v>
      </c>
      <c r="Q16" s="323"/>
    </row>
    <row r="17" spans="2:18" x14ac:dyDescent="0.3">
      <c r="B17" t="s">
        <v>23</v>
      </c>
      <c r="D17" s="18">
        <f t="shared" si="2"/>
        <v>22101.543536000001</v>
      </c>
      <c r="E17" s="18">
        <f t="shared" si="2"/>
        <v>27626.929419999997</v>
      </c>
      <c r="F17" s="18">
        <f t="shared" ca="1" si="2"/>
        <v>32749.630823290776</v>
      </c>
      <c r="G17" s="18">
        <f t="shared" ca="1" si="2"/>
        <v>37873.696732767203</v>
      </c>
      <c r="H17" s="18">
        <f t="shared" ca="1" si="2"/>
        <v>42953.704316837939</v>
      </c>
      <c r="I17" s="18">
        <f t="shared" ca="1" si="2"/>
        <v>48192.834984633948</v>
      </c>
      <c r="J17" s="18">
        <f t="shared" ca="1" si="2"/>
        <v>53602.009880254285</v>
      </c>
      <c r="K17" s="18">
        <f t="shared" ca="1" si="2"/>
        <v>59128.580667687464</v>
      </c>
      <c r="L17" s="18">
        <f t="shared" ca="1" si="2"/>
        <v>64710.514952852231</v>
      </c>
      <c r="M17" s="18">
        <f t="shared" ca="1" si="2"/>
        <v>70289.86550645699</v>
      </c>
      <c r="N17" s="18">
        <f t="shared" ca="1" si="2"/>
        <v>76013.619552667195</v>
      </c>
    </row>
    <row r="18" spans="2:18" x14ac:dyDescent="0.3">
      <c r="B18" t="s">
        <v>70</v>
      </c>
      <c r="D18" s="18">
        <f t="shared" si="2"/>
        <v>7367.1811786666676</v>
      </c>
      <c r="E18" s="18">
        <f t="shared" si="2"/>
        <v>9208.9764733333341</v>
      </c>
      <c r="F18" s="18">
        <f t="shared" ca="1" si="2"/>
        <v>10916.543607763593</v>
      </c>
      <c r="G18" s="18">
        <f t="shared" ca="1" si="2"/>
        <v>12624.56557758907</v>
      </c>
      <c r="H18" s="18">
        <f t="shared" ca="1" si="2"/>
        <v>14317.901438945981</v>
      </c>
      <c r="I18" s="18">
        <f t="shared" ca="1" si="2"/>
        <v>16064.278328211318</v>
      </c>
      <c r="J18" s="18">
        <f t="shared" ca="1" si="2"/>
        <v>17867.336626751432</v>
      </c>
      <c r="K18" s="18">
        <f t="shared" ca="1" si="2"/>
        <v>19709.526889229157</v>
      </c>
      <c r="L18" s="18">
        <f t="shared" ca="1" si="2"/>
        <v>21570.171650950746</v>
      </c>
      <c r="M18" s="18">
        <f t="shared" ca="1" si="2"/>
        <v>23429.955168818997</v>
      </c>
      <c r="N18" s="18">
        <f t="shared" ca="1" si="2"/>
        <v>25337.873184222401</v>
      </c>
    </row>
    <row r="20" spans="2:18" x14ac:dyDescent="0.3">
      <c r="B20" s="20" t="s">
        <v>74</v>
      </c>
    </row>
    <row r="21" spans="2:18" x14ac:dyDescent="0.3">
      <c r="B21" t="s">
        <v>6</v>
      </c>
      <c r="D21" s="462">
        <v>4632</v>
      </c>
      <c r="E21" s="18">
        <f ca="1">E14/$D3</f>
        <v>1996.0745352971442</v>
      </c>
      <c r="F21" s="18">
        <f ca="1">F14/$D3</f>
        <v>2366.1950676078127</v>
      </c>
      <c r="G21" s="18">
        <f t="shared" ref="G21:N21" ca="1" si="3">G14/$D3</f>
        <v>2736.4141869170226</v>
      </c>
      <c r="H21" s="18">
        <f t="shared" ca="1" si="3"/>
        <v>3103.4500461515004</v>
      </c>
      <c r="I21" s="18">
        <f t="shared" ca="1" si="3"/>
        <v>3481.9827145526178</v>
      </c>
      <c r="J21" s="18">
        <f t="shared" ca="1" si="3"/>
        <v>3872.8012561998835</v>
      </c>
      <c r="K21" s="18">
        <f t="shared" ca="1" si="3"/>
        <v>4272.1017737712082</v>
      </c>
      <c r="L21" s="18">
        <f t="shared" ca="1" si="3"/>
        <v>4675.4023619376749</v>
      </c>
      <c r="M21" s="18">
        <f t="shared" ca="1" si="3"/>
        <v>5078.5162727975694</v>
      </c>
      <c r="N21" s="18">
        <f t="shared" ca="1" si="3"/>
        <v>5492.063486975966</v>
      </c>
    </row>
    <row r="22" spans="2:18" x14ac:dyDescent="0.3">
      <c r="B22" t="s">
        <v>7</v>
      </c>
      <c r="D22" s="462">
        <f t="shared" ref="D22:N25" si="4">D15/$D4</f>
        <v>2214.5484613372573</v>
      </c>
      <c r="E22" s="18">
        <f>E15/$D4</f>
        <v>2768.1855766715717</v>
      </c>
      <c r="F22" s="18">
        <f t="shared" ca="1" si="4"/>
        <v>3281.4741844138048</v>
      </c>
      <c r="G22" s="18">
        <f ca="1">G15/$D4</f>
        <v>3794.8995140582442</v>
      </c>
      <c r="H22" s="18">
        <f t="shared" ca="1" si="4"/>
        <v>4303.9102517273595</v>
      </c>
      <c r="I22" s="18">
        <f t="shared" ca="1" si="4"/>
        <v>4828.8649337482848</v>
      </c>
      <c r="J22" s="18">
        <f t="shared" ca="1" si="4"/>
        <v>5370.8578458129277</v>
      </c>
      <c r="K22" s="18">
        <f t="shared" ca="1" si="4"/>
        <v>5924.613687066565</v>
      </c>
      <c r="L22" s="18">
        <f t="shared" ca="1" si="4"/>
        <v>6483.9168851605082</v>
      </c>
      <c r="M22" s="18">
        <f t="shared" ca="1" si="4"/>
        <v>7042.9611964151045</v>
      </c>
      <c r="N22" s="18">
        <f ca="1">N15/$D4</f>
        <v>7616.4745664411039</v>
      </c>
    </row>
    <row r="23" spans="2:18" x14ac:dyDescent="0.3">
      <c r="B23" t="s">
        <v>24</v>
      </c>
      <c r="D23" s="462">
        <f t="shared" si="4"/>
        <v>131.55680676190477</v>
      </c>
      <c r="E23" s="18">
        <f t="shared" si="4"/>
        <v>164.44600845238094</v>
      </c>
      <c r="F23" s="18">
        <f t="shared" ca="1" si="4"/>
        <v>194.93827871006414</v>
      </c>
      <c r="G23" s="18">
        <f t="shared" ca="1" si="4"/>
        <v>225.43867102837623</v>
      </c>
      <c r="H23" s="18">
        <f t="shared" ca="1" si="4"/>
        <v>255.67681140974963</v>
      </c>
      <c r="I23" s="18">
        <f t="shared" ca="1" si="4"/>
        <v>286.86211300377352</v>
      </c>
      <c r="J23" s="18">
        <f t="shared" ca="1" si="4"/>
        <v>319.05958262056123</v>
      </c>
      <c r="K23" s="18">
        <f t="shared" ca="1" si="4"/>
        <v>351.9558373076635</v>
      </c>
      <c r="L23" s="18">
        <f t="shared" ca="1" si="4"/>
        <v>385.18163662412042</v>
      </c>
      <c r="M23" s="18">
        <f t="shared" ca="1" si="4"/>
        <v>418.39205658605346</v>
      </c>
      <c r="N23" s="18">
        <f t="shared" ca="1" si="4"/>
        <v>452.46202114682853</v>
      </c>
    </row>
    <row r="24" spans="2:18" x14ac:dyDescent="0.3">
      <c r="B24" t="s">
        <v>23</v>
      </c>
      <c r="D24" s="462">
        <f t="shared" si="4"/>
        <v>3.3504852644946856</v>
      </c>
      <c r="E24" s="18">
        <f t="shared" si="4"/>
        <v>4.1881065806183564</v>
      </c>
      <c r="F24" s="18">
        <f t="shared" ca="1" si="4"/>
        <v>4.9646829106007058</v>
      </c>
      <c r="G24" s="18">
        <f t="shared" ca="1" si="4"/>
        <v>5.741466093007678</v>
      </c>
      <c r="H24" s="18">
        <f t="shared" ca="1" si="4"/>
        <v>6.5115702500420722</v>
      </c>
      <c r="I24" s="18">
        <f t="shared" ca="1" si="4"/>
        <v>7.3057966837126695</v>
      </c>
      <c r="J24" s="18">
        <f t="shared" ca="1" si="4"/>
        <v>8.1258009857348501</v>
      </c>
      <c r="K24" s="18">
        <f t="shared" ca="1" si="4"/>
        <v>8.9636019273894831</v>
      </c>
      <c r="L24" s="18">
        <f t="shared" ca="1" si="4"/>
        <v>9.8097957029219138</v>
      </c>
      <c r="M24" s="18">
        <f t="shared" ca="1" si="4"/>
        <v>10.655597797461335</v>
      </c>
      <c r="N24" s="18">
        <f t="shared" ca="1" si="4"/>
        <v>11.523290751040896</v>
      </c>
    </row>
    <row r="25" spans="2:18" x14ac:dyDescent="0.3">
      <c r="B25" t="s">
        <v>70</v>
      </c>
      <c r="D25" s="462">
        <f t="shared" si="4"/>
        <v>7367.1811786666676</v>
      </c>
      <c r="E25" s="18">
        <f t="shared" si="4"/>
        <v>9208.9764733333341</v>
      </c>
      <c r="F25" s="18">
        <f t="shared" ca="1" si="4"/>
        <v>10916.543607763593</v>
      </c>
      <c r="G25" s="18">
        <f t="shared" ca="1" si="4"/>
        <v>12624.56557758907</v>
      </c>
      <c r="H25" s="18">
        <f t="shared" ca="1" si="4"/>
        <v>14317.901438945981</v>
      </c>
      <c r="I25" s="18">
        <f t="shared" ca="1" si="4"/>
        <v>16064.278328211318</v>
      </c>
      <c r="J25" s="18">
        <f t="shared" ca="1" si="4"/>
        <v>17867.336626751432</v>
      </c>
      <c r="K25" s="18">
        <f t="shared" ca="1" si="4"/>
        <v>19709.526889229157</v>
      </c>
      <c r="L25" s="18">
        <f t="shared" ca="1" si="4"/>
        <v>21570.171650950746</v>
      </c>
      <c r="M25" s="18">
        <f t="shared" ca="1" si="4"/>
        <v>23429.955168818997</v>
      </c>
      <c r="N25" s="18">
        <f t="shared" ca="1" si="4"/>
        <v>25337.873184222401</v>
      </c>
    </row>
    <row r="26" spans="2:18" x14ac:dyDescent="0.3">
      <c r="D26" s="18"/>
      <c r="E26" s="18"/>
      <c r="F26" s="18"/>
      <c r="G26" s="18"/>
      <c r="H26" s="18"/>
      <c r="I26" s="18"/>
      <c r="J26" s="18"/>
      <c r="K26" s="18"/>
      <c r="L26" s="18"/>
      <c r="M26" s="18"/>
      <c r="N26" s="18"/>
      <c r="R26" s="45"/>
    </row>
    <row r="27" spans="2:18" x14ac:dyDescent="0.3">
      <c r="B27" s="20" t="s">
        <v>171</v>
      </c>
    </row>
    <row r="28" spans="2:18" x14ac:dyDescent="0.3">
      <c r="B28" t="s">
        <v>6</v>
      </c>
      <c r="D28" s="18">
        <f>1057+1869</f>
        <v>2926</v>
      </c>
      <c r="E28" s="18">
        <f ca="1">SUM($D21:E21)</f>
        <v>6628.0745352971444</v>
      </c>
      <c r="F28" s="18">
        <f ca="1">SUM($D21:F21)</f>
        <v>8994.2696029049566</v>
      </c>
      <c r="G28" s="18">
        <f ca="1">SUM($D21:G21)</f>
        <v>11730.683789821978</v>
      </c>
      <c r="H28" s="18">
        <f ca="1">SUM($D21:H21)</f>
        <v>14834.133835973478</v>
      </c>
      <c r="I28" s="18">
        <f ca="1">SUM($D21:I21)</f>
        <v>18316.116550526094</v>
      </c>
      <c r="J28" s="18">
        <f ca="1">SUM($D21:J21)</f>
        <v>22188.917806725978</v>
      </c>
      <c r="K28" s="18">
        <f ca="1">SUM($D21:K21)</f>
        <v>26461.019580497188</v>
      </c>
      <c r="L28" s="18">
        <f ca="1">SUM($D21:L21)</f>
        <v>31136.421942434863</v>
      </c>
      <c r="M28" s="18">
        <f ca="1">SUM($D21:M21)</f>
        <v>36214.938215232432</v>
      </c>
      <c r="N28" s="18">
        <f ca="1">SUM($D21:N21)</f>
        <v>41707.001702208399</v>
      </c>
    </row>
    <row r="29" spans="2:18" x14ac:dyDescent="0.3">
      <c r="B29" t="s">
        <v>7</v>
      </c>
      <c r="D29" s="18">
        <f>SUM($D22:D22)</f>
        <v>2214.5484613372573</v>
      </c>
      <c r="E29" s="18">
        <f>SUM($D22:E22)</f>
        <v>4982.734038008829</v>
      </c>
      <c r="F29" s="18">
        <f ca="1">SUM($D22:F22)</f>
        <v>8264.2082224226342</v>
      </c>
      <c r="G29" s="18">
        <f ca="1">SUM($D22:G22)</f>
        <v>12059.107736480879</v>
      </c>
      <c r="H29" s="18">
        <f ca="1">SUM($D22:H22)</f>
        <v>16363.017988208238</v>
      </c>
      <c r="I29" s="18">
        <f ca="1">SUM($D22:I22)</f>
        <v>21191.882921956523</v>
      </c>
      <c r="J29" s="18">
        <f ca="1">SUM($D22:J22)</f>
        <v>26562.74076776945</v>
      </c>
      <c r="K29" s="18">
        <f ca="1">SUM($D22:K22)</f>
        <v>32487.354454836015</v>
      </c>
      <c r="L29" s="18">
        <f ca="1">SUM($E22:L22)</f>
        <v>36756.722878659268</v>
      </c>
      <c r="M29" s="18">
        <f ca="1">SUM($F22:M22)</f>
        <v>41031.498498402798</v>
      </c>
      <c r="N29" s="18">
        <f ca="1">SUM($G22:N22)</f>
        <v>45366.498880430096</v>
      </c>
    </row>
    <row r="30" spans="2:18" x14ac:dyDescent="0.3">
      <c r="B30" t="s">
        <v>24</v>
      </c>
      <c r="D30" s="18">
        <f>SUM($D23:D23)</f>
        <v>131.55680676190477</v>
      </c>
      <c r="E30" s="18">
        <f>SUM($D23:E23)</f>
        <v>296.0028152142857</v>
      </c>
      <c r="F30" s="18">
        <f ca="1">SUM($D23:F23)</f>
        <v>490.94109392434984</v>
      </c>
      <c r="G30" s="18">
        <f ca="1">SUM($D23:G23)</f>
        <v>716.37976495272608</v>
      </c>
      <c r="H30" s="18">
        <f ca="1">SUM($D23:H23)</f>
        <v>972.05657636247565</v>
      </c>
      <c r="I30" s="18">
        <f ca="1">SUM($D23:I23)</f>
        <v>1258.9186893662491</v>
      </c>
      <c r="J30" s="18">
        <f ca="1">SUM($D23:J23)</f>
        <v>1577.9782719868103</v>
      </c>
      <c r="K30" s="18">
        <f ca="1">SUM($D23:K23)</f>
        <v>1929.9341092944737</v>
      </c>
      <c r="L30" s="18">
        <f ca="1">SUM($D23:L23)</f>
        <v>2315.1157459185943</v>
      </c>
      <c r="M30" s="18">
        <f ca="1">SUM($D23:M23)</f>
        <v>2733.5078025046478</v>
      </c>
      <c r="N30" s="18">
        <f ca="1">SUM($D23:N23)</f>
        <v>3185.9698236514764</v>
      </c>
    </row>
    <row r="31" spans="2:18" x14ac:dyDescent="0.3">
      <c r="B31" t="s">
        <v>23</v>
      </c>
      <c r="D31" s="18">
        <f>SUM($D24:D24)</f>
        <v>3.3504852644946856</v>
      </c>
      <c r="E31" s="18">
        <f>SUM($D24:E24)</f>
        <v>7.538591845113042</v>
      </c>
      <c r="F31" s="18">
        <f ca="1">SUM($D24:F24)</f>
        <v>12.503274755713747</v>
      </c>
      <c r="G31" s="18">
        <f ca="1">SUM($D24:G24)</f>
        <v>18.244740848721424</v>
      </c>
      <c r="H31" s="18">
        <f ca="1">SUM($D24:H24)</f>
        <v>24.756311098763497</v>
      </c>
      <c r="I31" s="18">
        <f ca="1">SUM($D24:I24)</f>
        <v>32.062107782476168</v>
      </c>
      <c r="J31" s="18">
        <f ca="1">SUM($D24:J24)</f>
        <v>40.187908768211017</v>
      </c>
      <c r="K31" s="18">
        <f ca="1">SUM($D24:K24)</f>
        <v>49.1515106956005</v>
      </c>
      <c r="L31" s="18">
        <f ca="1">SUM($D24:L24)</f>
        <v>58.96130639852241</v>
      </c>
      <c r="M31" s="18">
        <f ca="1">SUM($D24:M24)</f>
        <v>69.61690419598375</v>
      </c>
      <c r="N31" s="18">
        <f ca="1">SUM($D24:N24)</f>
        <v>81.140194947024639</v>
      </c>
    </row>
    <row r="32" spans="2:18" x14ac:dyDescent="0.3">
      <c r="B32" t="s">
        <v>70</v>
      </c>
      <c r="D32" s="18">
        <f>D25</f>
        <v>7367.1811786666676</v>
      </c>
      <c r="E32" s="18">
        <f t="shared" ref="E32:N32" si="5">E25</f>
        <v>9208.9764733333341</v>
      </c>
      <c r="F32" s="18">
        <f t="shared" ca="1" si="5"/>
        <v>10916.543607763593</v>
      </c>
      <c r="G32" s="18">
        <f t="shared" ca="1" si="5"/>
        <v>12624.56557758907</v>
      </c>
      <c r="H32" s="18">
        <f t="shared" ca="1" si="5"/>
        <v>14317.901438945981</v>
      </c>
      <c r="I32" s="18">
        <f t="shared" ca="1" si="5"/>
        <v>16064.278328211318</v>
      </c>
      <c r="J32" s="18">
        <f t="shared" ca="1" si="5"/>
        <v>17867.336626751432</v>
      </c>
      <c r="K32" s="18">
        <f t="shared" ca="1" si="5"/>
        <v>19709.526889229157</v>
      </c>
      <c r="L32" s="18">
        <f t="shared" ca="1" si="5"/>
        <v>21570.171650950746</v>
      </c>
      <c r="M32" s="18">
        <f t="shared" ca="1" si="5"/>
        <v>23429.955168818997</v>
      </c>
      <c r="N32" s="18">
        <f t="shared" ca="1" si="5"/>
        <v>25337.873184222401</v>
      </c>
    </row>
    <row r="34" spans="2:14" x14ac:dyDescent="0.3">
      <c r="B34" s="20" t="s">
        <v>75</v>
      </c>
    </row>
    <row r="35" spans="2:14" x14ac:dyDescent="0.3">
      <c r="B35" t="s">
        <v>6</v>
      </c>
      <c r="C35" t="s">
        <v>76</v>
      </c>
      <c r="D35" s="32"/>
      <c r="E35" s="32">
        <f t="shared" ref="E35:N35" ca="1" si="6">E21*$E3*(1+CCHP_incentive_escalation)^(E9-$E$9)</f>
        <v>1177283.924147727</v>
      </c>
      <c r="F35" s="32">
        <f t="shared" ca="1" si="6"/>
        <v>1395580.8589470501</v>
      </c>
      <c r="G35" s="32">
        <f t="shared" ca="1" si="6"/>
        <v>1613935.9403167842</v>
      </c>
      <c r="H35" s="32">
        <f t="shared" ca="1" si="6"/>
        <v>1830413.5362288896</v>
      </c>
      <c r="I35" s="32">
        <f t="shared" ca="1" si="6"/>
        <v>2053671.9453679239</v>
      </c>
      <c r="J35" s="32">
        <f t="shared" ca="1" si="6"/>
        <v>2284176.5573971998</v>
      </c>
      <c r="K35" s="32">
        <f t="shared" ca="1" si="6"/>
        <v>2519683.8352707727</v>
      </c>
      <c r="L35" s="32">
        <f t="shared" ca="1" si="6"/>
        <v>2757550.3531044987</v>
      </c>
      <c r="M35" s="32">
        <f t="shared" ca="1" si="6"/>
        <v>2995306.7687410647</v>
      </c>
      <c r="N35" s="32">
        <f t="shared" ca="1" si="6"/>
        <v>3239216.7423011586</v>
      </c>
    </row>
    <row r="36" spans="2:14" x14ac:dyDescent="0.3">
      <c r="B36" t="s">
        <v>7</v>
      </c>
      <c r="C36" t="s">
        <v>76</v>
      </c>
      <c r="D36" s="32"/>
      <c r="E36" s="32">
        <f t="shared" ref="E36:N36" si="7">E22*$E4*(1+EV_incentive_escalation)^(E$9-$E$9)</f>
        <v>1864817.7358500003</v>
      </c>
      <c r="F36" s="32">
        <f t="shared" ca="1" si="7"/>
        <v>2166388.0789606846</v>
      </c>
      <c r="G36" s="32">
        <f t="shared" ca="1" si="7"/>
        <v>2455238.1380950995</v>
      </c>
      <c r="H36" s="32">
        <f t="shared" ca="1" si="7"/>
        <v>2728868.5939527</v>
      </c>
      <c r="I36" s="32">
        <f t="shared" ca="1" si="7"/>
        <v>3000478.7157723303</v>
      </c>
      <c r="J36" s="32">
        <f t="shared" ca="1" si="7"/>
        <v>3270508.0749702621</v>
      </c>
      <c r="K36" s="32">
        <f t="shared" ca="1" si="7"/>
        <v>3535555.6806147005</v>
      </c>
      <c r="L36" s="32">
        <f t="shared" ca="1" si="7"/>
        <v>3791937.3952577407</v>
      </c>
      <c r="M36" s="32">
        <f t="shared" ca="1" si="7"/>
        <v>4036501.244371986</v>
      </c>
      <c r="N36" s="32">
        <f t="shared" ca="1" si="7"/>
        <v>4277892.5005577989</v>
      </c>
    </row>
    <row r="37" spans="2:14" x14ac:dyDescent="0.3">
      <c r="B37" t="s">
        <v>24</v>
      </c>
      <c r="C37" t="s">
        <v>76</v>
      </c>
      <c r="D37" s="32"/>
      <c r="E37" s="32">
        <f t="shared" ref="E37:N37" si="8">E23*$E5*(1+wx_incentive_escalation)^(E$9-$E$9)</f>
        <v>138134.64710000003</v>
      </c>
      <c r="F37" s="32">
        <f t="shared" ca="1" si="8"/>
        <v>163748.15411645392</v>
      </c>
      <c r="G37" s="32">
        <f t="shared" ca="1" si="8"/>
        <v>189368.48366383609</v>
      </c>
      <c r="H37" s="32">
        <f t="shared" ca="1" si="8"/>
        <v>214768.52158418976</v>
      </c>
      <c r="I37" s="32">
        <f t="shared" ca="1" si="8"/>
        <v>240964.1749231698</v>
      </c>
      <c r="J37" s="32">
        <f t="shared" ca="1" si="8"/>
        <v>268010.04940127151</v>
      </c>
      <c r="K37" s="32">
        <f t="shared" ca="1" si="8"/>
        <v>295642.90333843743</v>
      </c>
      <c r="L37" s="32">
        <f t="shared" ca="1" si="8"/>
        <v>323552.57476426126</v>
      </c>
      <c r="M37" s="32">
        <f t="shared" ca="1" si="8"/>
        <v>351449.32753228501</v>
      </c>
      <c r="N37" s="32">
        <f t="shared" ca="1" si="8"/>
        <v>380068.09776333609</v>
      </c>
    </row>
    <row r="38" spans="2:14" x14ac:dyDescent="0.3">
      <c r="B38" t="s">
        <v>23</v>
      </c>
      <c r="C38" t="s">
        <v>76</v>
      </c>
      <c r="D38" s="32"/>
      <c r="E38" s="32">
        <f t="shared" ref="E38:N38" si="9">E24*$E6*(1+custom_incentive_escalation)^(E$9-$E$9)</f>
        <v>248642.36478</v>
      </c>
      <c r="F38" s="32">
        <f t="shared" ca="1" si="9"/>
        <v>338958.67902105954</v>
      </c>
      <c r="G38" s="32">
        <f t="shared" ca="1" si="9"/>
        <v>450791.67536176159</v>
      </c>
      <c r="H38" s="32">
        <f t="shared" ca="1" si="9"/>
        <v>587944.9354758379</v>
      </c>
      <c r="I38" s="32">
        <f t="shared" ca="1" si="9"/>
        <v>758606.12634009065</v>
      </c>
      <c r="J38" s="32">
        <f t="shared" ca="1" si="9"/>
        <v>970315.09053385886</v>
      </c>
      <c r="K38" s="32">
        <f t="shared" ca="1" si="9"/>
        <v>1230912.0006256863</v>
      </c>
      <c r="L38" s="32">
        <f t="shared" ca="1" si="9"/>
        <v>1549181.3062496143</v>
      </c>
      <c r="M38" s="32">
        <f t="shared" ca="1" si="9"/>
        <v>1935164.7503014288</v>
      </c>
      <c r="N38" s="32">
        <f t="shared" ca="1" si="9"/>
        <v>2406658.5907861348</v>
      </c>
    </row>
    <row r="39" spans="2:14" x14ac:dyDescent="0.3">
      <c r="B39" s="21" t="s">
        <v>70</v>
      </c>
      <c r="C39" s="21" t="s">
        <v>76</v>
      </c>
      <c r="D39" s="86"/>
      <c r="E39" s="86">
        <f>E25*'Tier II'!E16</f>
        <v>230224.41183333335</v>
      </c>
      <c r="F39" s="86">
        <f ca="1">F25*'Tier II'!F16</f>
        <v>272913.5901940898</v>
      </c>
      <c r="G39" s="86">
        <f ca="1">G25*'Tier II'!G16</f>
        <v>315614.13943972677</v>
      </c>
      <c r="H39" s="86">
        <f ca="1">H25*'Tier II'!H16</f>
        <v>357947.53597364953</v>
      </c>
      <c r="I39" s="86">
        <f ca="1">I25*'Tier II'!I16</f>
        <v>401606.95820528292</v>
      </c>
      <c r="J39" s="86">
        <f ca="1">J25*'Tier II'!J16</f>
        <v>446683.4156687858</v>
      </c>
      <c r="K39" s="86">
        <f ca="1">K25*'Tier II'!K16</f>
        <v>492738.1722307289</v>
      </c>
      <c r="L39" s="86">
        <f ca="1">L25*'Tier II'!L16</f>
        <v>539254.29127376864</v>
      </c>
      <c r="M39" s="86">
        <f ca="1">M25*'Tier II'!M16</f>
        <v>585748.87922047498</v>
      </c>
      <c r="N39" s="86">
        <f ca="1">N25*'Tier II'!N16</f>
        <v>633446.82960556005</v>
      </c>
    </row>
    <row r="40" spans="2:14" x14ac:dyDescent="0.3">
      <c r="B40" t="s">
        <v>8</v>
      </c>
      <c r="C40" t="s">
        <v>76</v>
      </c>
      <c r="D40" s="32"/>
      <c r="E40" s="32">
        <f ca="1">SUM(E35:E39)</f>
        <v>3659103.0837110607</v>
      </c>
      <c r="F40" s="32">
        <f t="shared" ref="F40:N40" ca="1" si="10">SUM(F35:F39)</f>
        <v>4337589.3612393383</v>
      </c>
      <c r="G40" s="32">
        <f t="shared" ca="1" si="10"/>
        <v>5024948.3768772092</v>
      </c>
      <c r="H40" s="32">
        <f t="shared" ca="1" si="10"/>
        <v>5719943.1232152674</v>
      </c>
      <c r="I40" s="32">
        <f t="shared" ca="1" si="10"/>
        <v>6455327.9206087962</v>
      </c>
      <c r="J40" s="32">
        <f t="shared" ca="1" si="10"/>
        <v>7239693.1879713777</v>
      </c>
      <c r="K40" s="32">
        <f t="shared" ca="1" si="10"/>
        <v>8074532.5920803258</v>
      </c>
      <c r="L40" s="32">
        <f t="shared" ca="1" si="10"/>
        <v>8961475.9206498843</v>
      </c>
      <c r="M40" s="32">
        <f t="shared" ca="1" si="10"/>
        <v>9904170.9701672383</v>
      </c>
      <c r="N40" s="32">
        <f t="shared" ca="1" si="10"/>
        <v>10937282.761013988</v>
      </c>
    </row>
    <row r="41" spans="2:14" x14ac:dyDescent="0.3">
      <c r="D41" s="32"/>
      <c r="E41" s="32"/>
      <c r="F41" s="32"/>
      <c r="G41" s="32"/>
      <c r="H41" s="32"/>
      <c r="I41" s="32"/>
      <c r="J41" s="32"/>
      <c r="K41" s="32"/>
      <c r="L41" s="32"/>
      <c r="M41" s="32"/>
      <c r="N41" s="32"/>
    </row>
    <row r="42" spans="2:14" x14ac:dyDescent="0.3">
      <c r="B42" t="s">
        <v>440</v>
      </c>
      <c r="D42" s="32"/>
      <c r="E42" s="32">
        <f>Tier3_Overhead</f>
        <v>200000</v>
      </c>
      <c r="F42" s="32">
        <f t="shared" ref="F42:N42" si="11">E42*(1+overhead_escalation)</f>
        <v>206000</v>
      </c>
      <c r="G42" s="32">
        <f t="shared" si="11"/>
        <v>212180</v>
      </c>
      <c r="H42" s="32">
        <f t="shared" si="11"/>
        <v>218545.4</v>
      </c>
      <c r="I42" s="32">
        <f t="shared" si="11"/>
        <v>225101.76199999999</v>
      </c>
      <c r="J42" s="32">
        <f t="shared" si="11"/>
        <v>231854.81485999998</v>
      </c>
      <c r="K42" s="32">
        <f t="shared" si="11"/>
        <v>238810.4593058</v>
      </c>
      <c r="L42" s="32">
        <f t="shared" si="11"/>
        <v>245974.773084974</v>
      </c>
      <c r="M42" s="32">
        <f t="shared" si="11"/>
        <v>253354.01627752322</v>
      </c>
      <c r="N42" s="32">
        <f t="shared" si="11"/>
        <v>260954.63676584893</v>
      </c>
    </row>
    <row r="44" spans="2:14" x14ac:dyDescent="0.3">
      <c r="B44" s="20" t="s">
        <v>383</v>
      </c>
    </row>
    <row r="45" spans="2:14" s="143" customFormat="1" x14ac:dyDescent="0.3">
      <c r="B45" s="143" t="s">
        <v>6</v>
      </c>
      <c r="C45" s="143" t="s">
        <v>1</v>
      </c>
      <c r="D45" s="230"/>
      <c r="E45" s="230">
        <f ca="1">E28*$G3</f>
        <v>20394.186845515454</v>
      </c>
      <c r="F45" s="230">
        <f t="shared" ref="F45:N45" ca="1" si="12">F28*$G3</f>
        <v>27674.826805845561</v>
      </c>
      <c r="G45" s="230">
        <f t="shared" ca="1" si="12"/>
        <v>36094.608737613336</v>
      </c>
      <c r="H45" s="230">
        <f ca="1">H28*$G3</f>
        <v>45643.737940955914</v>
      </c>
      <c r="I45" s="230">
        <f t="shared" ca="1" si="12"/>
        <v>56357.589406456609</v>
      </c>
      <c r="J45" s="230">
        <f t="shared" ca="1" si="12"/>
        <v>68273.966027430521</v>
      </c>
      <c r="K45" s="230">
        <f t="shared" ca="1" si="12"/>
        <v>81418.966333834294</v>
      </c>
      <c r="L45" s="230">
        <f t="shared" ca="1" si="12"/>
        <v>95804.89830239302</v>
      </c>
      <c r="M45" s="230">
        <f t="shared" ca="1" si="12"/>
        <v>111431.18753825797</v>
      </c>
      <c r="N45" s="230">
        <f t="shared" ca="1" si="12"/>
        <v>128329.9366884589</v>
      </c>
    </row>
    <row r="46" spans="2:14" s="143" customFormat="1" x14ac:dyDescent="0.3">
      <c r="B46" s="143" t="s">
        <v>7</v>
      </c>
      <c r="C46" s="143" t="s">
        <v>1</v>
      </c>
      <c r="D46" s="230"/>
      <c r="E46" s="230">
        <f>E29*$G4</f>
        <v>12157.02897068912</v>
      </c>
      <c r="F46" s="230">
        <f t="shared" ref="F46:N46" ca="1" si="13">F29*$G4</f>
        <v>20163.27141152164</v>
      </c>
      <c r="G46" s="230">
        <f t="shared" ca="1" si="13"/>
        <v>29422.184887805885</v>
      </c>
      <c r="H46" s="230">
        <f t="shared" ca="1" si="13"/>
        <v>39922.998541188099</v>
      </c>
      <c r="I46" s="230">
        <f t="shared" ca="1" si="13"/>
        <v>51704.612901360109</v>
      </c>
      <c r="J46" s="230">
        <f t="shared" ca="1" si="13"/>
        <v>64808.598370167711</v>
      </c>
      <c r="K46" s="230">
        <f t="shared" ca="1" si="13"/>
        <v>79263.654506897015</v>
      </c>
      <c r="L46" s="230">
        <f t="shared" ca="1" si="13"/>
        <v>89680.191937762138</v>
      </c>
      <c r="M46" s="230">
        <f t="shared" ca="1" si="13"/>
        <v>100109.92201285661</v>
      </c>
      <c r="N46" s="230">
        <f t="shared" ca="1" si="13"/>
        <v>110686.59032993866</v>
      </c>
    </row>
    <row r="47" spans="2:14" s="143" customFormat="1" x14ac:dyDescent="0.3">
      <c r="B47" s="143" t="s">
        <v>24</v>
      </c>
      <c r="C47" s="143" t="s">
        <v>1</v>
      </c>
      <c r="D47" s="230"/>
      <c r="E47" s="230">
        <f t="shared" ref="E47:N47" si="14">E30*$G5</f>
        <v>0</v>
      </c>
      <c r="F47" s="230">
        <f t="shared" ca="1" si="14"/>
        <v>0</v>
      </c>
      <c r="G47" s="230">
        <f t="shared" ca="1" si="14"/>
        <v>0</v>
      </c>
      <c r="H47" s="230">
        <f t="shared" ca="1" si="14"/>
        <v>0</v>
      </c>
      <c r="I47" s="230">
        <f t="shared" ca="1" si="14"/>
        <v>0</v>
      </c>
      <c r="J47" s="230">
        <f t="shared" ca="1" si="14"/>
        <v>0</v>
      </c>
      <c r="K47" s="230">
        <f t="shared" ca="1" si="14"/>
        <v>0</v>
      </c>
      <c r="L47" s="230">
        <f t="shared" ca="1" si="14"/>
        <v>0</v>
      </c>
      <c r="M47" s="230">
        <f t="shared" ca="1" si="14"/>
        <v>0</v>
      </c>
      <c r="N47" s="230">
        <f t="shared" ca="1" si="14"/>
        <v>0</v>
      </c>
    </row>
    <row r="48" spans="2:14" s="143" customFormat="1" x14ac:dyDescent="0.3">
      <c r="B48" s="128" t="s">
        <v>23</v>
      </c>
      <c r="C48" s="128" t="s">
        <v>1</v>
      </c>
      <c r="D48" s="228"/>
      <c r="E48" s="228">
        <f t="shared" ref="E48:N48" si="15">E31*$G6</f>
        <v>1453.5988181665418</v>
      </c>
      <c r="F48" s="228">
        <f t="shared" ca="1" si="15"/>
        <v>2410.8939416714802</v>
      </c>
      <c r="G48" s="228">
        <f t="shared" ca="1" si="15"/>
        <v>3517.9691751913138</v>
      </c>
      <c r="H48" s="228">
        <f t="shared" ca="1" si="15"/>
        <v>4773.5366623746759</v>
      </c>
      <c r="I48" s="228">
        <f t="shared" ca="1" si="15"/>
        <v>6182.2476847248372</v>
      </c>
      <c r="J48" s="228">
        <f t="shared" ca="1" si="15"/>
        <v>7749.0727565952166</v>
      </c>
      <c r="K48" s="228">
        <f t="shared" ca="1" si="15"/>
        <v>9477.4434438363842</v>
      </c>
      <c r="L48" s="228">
        <f t="shared" ca="1" si="15"/>
        <v>11368.978061069489</v>
      </c>
      <c r="M48" s="228">
        <f t="shared" ca="1" si="15"/>
        <v>13423.601083973783</v>
      </c>
      <c r="N48" s="228">
        <f t="shared" ca="1" si="15"/>
        <v>15645.533529880238</v>
      </c>
    </row>
    <row r="49" spans="2:16" s="143" customFormat="1" x14ac:dyDescent="0.3">
      <c r="B49" s="226" t="s">
        <v>70</v>
      </c>
      <c r="C49" s="226" t="s">
        <v>1</v>
      </c>
      <c r="D49" s="248"/>
      <c r="E49" s="248">
        <f t="shared" ref="E49:N49" si="16">E32*$G7</f>
        <v>0</v>
      </c>
      <c r="F49" s="248">
        <f t="shared" ca="1" si="16"/>
        <v>0</v>
      </c>
      <c r="G49" s="248">
        <f t="shared" ca="1" si="16"/>
        <v>0</v>
      </c>
      <c r="H49" s="248">
        <f t="shared" ca="1" si="16"/>
        <v>0</v>
      </c>
      <c r="I49" s="248">
        <f t="shared" ca="1" si="16"/>
        <v>0</v>
      </c>
      <c r="J49" s="248">
        <f t="shared" ca="1" si="16"/>
        <v>0</v>
      </c>
      <c r="K49" s="248">
        <f t="shared" ca="1" si="16"/>
        <v>0</v>
      </c>
      <c r="L49" s="248">
        <f t="shared" ca="1" si="16"/>
        <v>0</v>
      </c>
      <c r="M49" s="248">
        <f t="shared" ca="1" si="16"/>
        <v>0</v>
      </c>
      <c r="N49" s="248">
        <f t="shared" ca="1" si="16"/>
        <v>0</v>
      </c>
    </row>
    <row r="50" spans="2:16" s="16" customFormat="1" x14ac:dyDescent="0.3">
      <c r="B50" s="16" t="s">
        <v>8</v>
      </c>
      <c r="C50" s="16" t="s">
        <v>1</v>
      </c>
      <c r="E50" s="16">
        <f t="shared" ref="E50:N50" ca="1" si="17">SUM(E45:E49)</f>
        <v>34004.81463437112</v>
      </c>
      <c r="F50" s="16">
        <f t="shared" ca="1" si="17"/>
        <v>50248.99215903868</v>
      </c>
      <c r="G50" s="16">
        <f t="shared" ca="1" si="17"/>
        <v>69034.762800610537</v>
      </c>
      <c r="H50" s="16">
        <f t="shared" ca="1" si="17"/>
        <v>90340.273144518695</v>
      </c>
      <c r="I50" s="16">
        <f t="shared" ca="1" si="17"/>
        <v>114244.44999254154</v>
      </c>
      <c r="J50" s="16">
        <f t="shared" ca="1" si="17"/>
        <v>140831.63715419345</v>
      </c>
      <c r="K50" s="16">
        <f t="shared" ca="1" si="17"/>
        <v>170160.06428456769</v>
      </c>
      <c r="L50" s="16">
        <f t="shared" ca="1" si="17"/>
        <v>196854.06830122467</v>
      </c>
      <c r="M50" s="16">
        <f t="shared" ca="1" si="17"/>
        <v>224964.71063508836</v>
      </c>
      <c r="N50" s="16">
        <f t="shared" ca="1" si="17"/>
        <v>254662.0605482778</v>
      </c>
    </row>
    <row r="52" spans="2:16" x14ac:dyDescent="0.3">
      <c r="B52" s="20" t="s">
        <v>168</v>
      </c>
    </row>
    <row r="53" spans="2:16" x14ac:dyDescent="0.3">
      <c r="B53" t="s">
        <v>6</v>
      </c>
      <c r="C53" t="s">
        <v>1</v>
      </c>
      <c r="D53" s="32"/>
      <c r="E53" s="32">
        <f ca="1">E45*Retail_Rate_yr1*(1+Retail_Rate_escalation)^('Tier III'!E$9-base_year)</f>
        <v>3503721.3000595551</v>
      </c>
      <c r="F53" s="32">
        <f ca="1">F45*Retail_Rate_yr1*(1+Retail_Rate_escalation)^('Tier III'!F$9-base_year)</f>
        <v>4859135.0206396412</v>
      </c>
      <c r="G53" s="32">
        <f ca="1">G45*Retail_Rate_yr1*(1+Retail_Rate_escalation)^('Tier III'!G$9-base_year)</f>
        <v>6476901.4575214013</v>
      </c>
      <c r="H53" s="32">
        <f ca="1">H45*Retail_Rate_yr1*(1+Retail_Rate_escalation)^('Tier III'!H$9-base_year)</f>
        <v>8370608.8860627757</v>
      </c>
      <c r="I53" s="32">
        <f ca="1">I45*Retail_Rate_yr1*(1+Retail_Rate_escalation)^('Tier III'!I$9-base_year)</f>
        <v>10562802.300667288</v>
      </c>
      <c r="J53" s="32">
        <f ca="1">J45*Retail_Rate_yr1*(1+Retail_Rate_escalation)^('Tier III'!J$9-base_year)</f>
        <v>13077742.148163106</v>
      </c>
      <c r="K53" s="32">
        <f ca="1">K45*Retail_Rate_yr1*(1+Retail_Rate_escalation)^('Tier III'!K$9-base_year)</f>
        <v>15938744.860606082</v>
      </c>
      <c r="L53" s="32">
        <f ca="1">L45*Retail_Rate_yr1*(1+Retail_Rate_escalation)^('Tier III'!L$9-base_year)</f>
        <v>19167573.80963302</v>
      </c>
      <c r="M53" s="32">
        <f ca="1">M45*Retail_Rate_yr1*(1+Retail_Rate_escalation)^('Tier III'!M$9-base_year)</f>
        <v>22784373.156006549</v>
      </c>
      <c r="N53" s="32">
        <f ca="1">N45*Retail_Rate_yr1*(1+Retail_Rate_escalation)^('Tier III'!N$9-base_year)</f>
        <v>26816938.850191329</v>
      </c>
    </row>
    <row r="54" spans="2:16" x14ac:dyDescent="0.3">
      <c r="B54" t="s">
        <v>7</v>
      </c>
      <c r="C54" t="s">
        <v>1</v>
      </c>
      <c r="D54" s="32"/>
      <c r="E54" s="32">
        <f>E46*Retail_Rate_yr1*(1+Retail_Rate_escalation)^('Tier III'!E$9-base_year)</f>
        <v>2088577.5771643908</v>
      </c>
      <c r="F54" s="32">
        <f ca="1">F46*Retail_Rate_yr1*(1+Retail_Rate_escalation)^('Tier III'!F$9-base_year)</f>
        <v>3540259.1291264053</v>
      </c>
      <c r="G54" s="32">
        <f ca="1">G46*Retail_Rate_yr1*(1+Retail_Rate_escalation)^('Tier III'!G$9-base_year)</f>
        <v>5279586.0337089961</v>
      </c>
      <c r="H54" s="32">
        <f ca="1">H46*Retail_Rate_yr1*(1+Retail_Rate_escalation)^('Tier III'!H$9-base_year)</f>
        <v>7321482.0131390318</v>
      </c>
      <c r="I54" s="32">
        <f ca="1">I46*Retail_Rate_yr1*(1+Retail_Rate_escalation)^('Tier III'!I$9-base_year)</f>
        <v>9690719.7391063143</v>
      </c>
      <c r="J54" s="32">
        <f ca="1">J46*Retail_Rate_yr1*(1+Retail_Rate_escalation)^('Tier III'!J$9-base_year)</f>
        <v>12413957.87859161</v>
      </c>
      <c r="K54" s="32">
        <f ca="1">K46*Retail_Rate_yr1*(1+Retail_Rate_escalation)^('Tier III'!K$9-base_year)</f>
        <v>15516816.569797944</v>
      </c>
      <c r="L54" s="32">
        <f ca="1">L46*Retail_Rate_yr1*(1+Retail_Rate_escalation)^('Tier III'!L$9-base_year)</f>
        <v>17942210.979688246</v>
      </c>
      <c r="M54" s="32">
        <f ca="1">M46*Retail_Rate_yr1*(1+Retail_Rate_escalation)^('Tier III'!M$9-base_year)</f>
        <v>20469510.10888686</v>
      </c>
      <c r="N54" s="32">
        <f ca="1">N46*Retail_Rate_yr1*(1+Retail_Rate_escalation)^('Tier III'!N$9-base_year)</f>
        <v>23130031.861701138</v>
      </c>
    </row>
    <row r="55" spans="2:16" x14ac:dyDescent="0.3">
      <c r="B55" t="s">
        <v>24</v>
      </c>
      <c r="C55" t="s">
        <v>1</v>
      </c>
      <c r="D55" s="32"/>
      <c r="E55" s="32">
        <f>E47*Retail_Rate_yr1*(1+Retail_Rate_escalation)^('Tier III'!E$9-base_year)</f>
        <v>0</v>
      </c>
      <c r="F55" s="32">
        <f ca="1">F47*Retail_Rate_yr1*(1+Retail_Rate_escalation)^('Tier III'!F$9-base_year)</f>
        <v>0</v>
      </c>
      <c r="G55" s="32">
        <f ca="1">G47*Retail_Rate_yr1*(1+Retail_Rate_escalation)^('Tier III'!G$9-base_year)</f>
        <v>0</v>
      </c>
      <c r="H55" s="32">
        <f ca="1">H47*Retail_Rate_yr1*(1+Retail_Rate_escalation)^('Tier III'!H$9-base_year)</f>
        <v>0</v>
      </c>
      <c r="I55" s="32">
        <f ca="1">I47*Retail_Rate_yr1*(1+Retail_Rate_escalation)^('Tier III'!I$9-base_year)</f>
        <v>0</v>
      </c>
      <c r="J55" s="32">
        <f ca="1">J47*Retail_Rate_yr1*(1+Retail_Rate_escalation)^('Tier III'!J$9-base_year)</f>
        <v>0</v>
      </c>
      <c r="K55" s="32">
        <f ca="1">K47*Retail_Rate_yr1*(1+Retail_Rate_escalation)^('Tier III'!K$9-base_year)</f>
        <v>0</v>
      </c>
      <c r="L55" s="32">
        <f ca="1">L47*Retail_Rate_yr1*(1+Retail_Rate_escalation)^('Tier III'!L$9-base_year)</f>
        <v>0</v>
      </c>
      <c r="M55" s="32">
        <f ca="1">M47*Retail_Rate_yr1*(1+Retail_Rate_escalation)^('Tier III'!M$9-base_year)</f>
        <v>0</v>
      </c>
      <c r="N55" s="32">
        <f ca="1">N47*Retail_Rate_yr1*(1+Retail_Rate_escalation)^('Tier III'!N$9-base_year)</f>
        <v>0</v>
      </c>
    </row>
    <row r="56" spans="2:16" x14ac:dyDescent="0.3">
      <c r="B56" t="s">
        <v>23</v>
      </c>
      <c r="C56" t="s">
        <v>1</v>
      </c>
      <c r="D56" s="32"/>
      <c r="E56" s="32">
        <f>E48*Retail_Rate_yr1*(1+Retail_Rate_escalation)^('Tier III'!E$9-base_year)</f>
        <v>249728.2769610119</v>
      </c>
      <c r="F56" s="32">
        <f ca="1">F48*Retail_Rate_yr1*(1+Retail_Rate_escalation)^('Tier III'!F$9-base_year)</f>
        <v>423303.7939211019</v>
      </c>
      <c r="G56" s="32">
        <f ca="1">G48*Retail_Rate_yr1*(1+Retail_Rate_escalation)^('Tier III'!G$9-base_year)</f>
        <v>631272.66024545406</v>
      </c>
      <c r="H56" s="32">
        <f ca="1">H48*Retail_Rate_yr1*(1+Retail_Rate_escalation)^('Tier III'!H$9-base_year)</f>
        <v>875419.28436510253</v>
      </c>
      <c r="I56" s="32">
        <f ca="1">I48*Retail_Rate_yr1*(1+Retail_Rate_escalation)^('Tier III'!I$9-base_year)</f>
        <v>1158705.6997158434</v>
      </c>
      <c r="J56" s="32">
        <f ca="1">J48*Retail_Rate_yr1*(1+Retail_Rate_escalation)^('Tier III'!J$9-base_year)</f>
        <v>1484319.4455320213</v>
      </c>
      <c r="K56" s="32">
        <f ca="1">K48*Retail_Rate_yr1*(1+Retail_Rate_escalation)^('Tier III'!K$9-base_year)</f>
        <v>1855323.8856258779</v>
      </c>
      <c r="L56" s="32">
        <f ca="1">L48*Retail_Rate_yr1*(1+Retail_Rate_escalation)^('Tier III'!L$9-base_year)</f>
        <v>2274578.126870208</v>
      </c>
      <c r="M56" s="32">
        <f ca="1">M48*Retail_Rate_yr1*(1+Retail_Rate_escalation)^('Tier III'!M$9-base_year)</f>
        <v>2744728.3202436026</v>
      </c>
      <c r="N56" s="32">
        <f ca="1">N48*Retail_Rate_yr1*(1+Retail_Rate_escalation)^('Tier III'!N$9-base_year)</f>
        <v>3269426.6573821916</v>
      </c>
    </row>
    <row r="57" spans="2:16" x14ac:dyDescent="0.3">
      <c r="B57" t="s">
        <v>70</v>
      </c>
      <c r="C57" t="s">
        <v>1</v>
      </c>
      <c r="D57" s="32"/>
      <c r="E57" s="32">
        <f>E49*Retail_Rate_yr1*(1+Retail_Rate_escalation)^('Tier III'!E$9-base_year)</f>
        <v>0</v>
      </c>
      <c r="F57" s="32">
        <f ca="1">F49*Retail_Rate_yr1*(1+Retail_Rate_escalation)^('Tier III'!F$9-base_year)</f>
        <v>0</v>
      </c>
      <c r="G57" s="32">
        <f ca="1">G49*Retail_Rate_yr1*(1+Retail_Rate_escalation)^('Tier III'!G$9-base_year)</f>
        <v>0</v>
      </c>
      <c r="H57" s="32">
        <f ca="1">H49*Retail_Rate_yr1*(1+Retail_Rate_escalation)^('Tier III'!H$9-base_year)</f>
        <v>0</v>
      </c>
      <c r="I57" s="32">
        <f ca="1">I49*Retail_Rate_yr1*(1+Retail_Rate_escalation)^('Tier III'!I$9-base_year)</f>
        <v>0</v>
      </c>
      <c r="J57" s="32">
        <f ca="1">J49*Retail_Rate_yr1*(1+Retail_Rate_escalation)^('Tier III'!J$9-base_year)</f>
        <v>0</v>
      </c>
      <c r="K57" s="32">
        <f ca="1">K49*Retail_Rate_yr1*(1+Retail_Rate_escalation)^('Tier III'!K$9-base_year)</f>
        <v>0</v>
      </c>
      <c r="L57" s="32">
        <f ca="1">L49*Retail_Rate_yr1*(1+Retail_Rate_escalation)^('Tier III'!L$9-base_year)</f>
        <v>0</v>
      </c>
      <c r="M57" s="32">
        <f ca="1">M49*Retail_Rate_yr1*(1+Retail_Rate_escalation)^('Tier III'!M$9-base_year)</f>
        <v>0</v>
      </c>
      <c r="N57" s="32">
        <f ca="1">N49*Retail_Rate_yr1*(1+Retail_Rate_escalation)^('Tier III'!N$9-base_year)</f>
        <v>0</v>
      </c>
    </row>
    <row r="58" spans="2:16" x14ac:dyDescent="0.3">
      <c r="B58" s="99" t="s">
        <v>8</v>
      </c>
      <c r="C58" s="99" t="s">
        <v>1</v>
      </c>
      <c r="D58" s="139"/>
      <c r="E58" s="139">
        <f t="shared" ref="E58:N58" ca="1" si="18">SUM(E53:E57)</f>
        <v>5842027.154184958</v>
      </c>
      <c r="F58" s="139">
        <f t="shared" ca="1" si="18"/>
        <v>8822697.9436871484</v>
      </c>
      <c r="G58" s="139">
        <f t="shared" ca="1" si="18"/>
        <v>12387760.151475852</v>
      </c>
      <c r="H58" s="139">
        <f t="shared" ca="1" si="18"/>
        <v>16567510.183566909</v>
      </c>
      <c r="I58" s="139">
        <f t="shared" ca="1" si="18"/>
        <v>21412227.739489444</v>
      </c>
      <c r="J58" s="139">
        <f t="shared" ca="1" si="18"/>
        <v>26976019.472286735</v>
      </c>
      <c r="K58" s="139">
        <f t="shared" ca="1" si="18"/>
        <v>33310885.316029903</v>
      </c>
      <c r="L58" s="139">
        <f t="shared" ca="1" si="18"/>
        <v>39384362.916191474</v>
      </c>
      <c r="M58" s="139">
        <f t="shared" ca="1" si="18"/>
        <v>45998611.585137017</v>
      </c>
      <c r="N58" s="139">
        <f t="shared" ca="1" si="18"/>
        <v>53216397.369274661</v>
      </c>
      <c r="P58" s="147">
        <f ca="1">NPV(discount_rate,E58:N58)</f>
        <v>175711173.33608308</v>
      </c>
    </row>
    <row r="60" spans="2:16" x14ac:dyDescent="0.3">
      <c r="B60" s="20" t="s">
        <v>169</v>
      </c>
    </row>
    <row r="61" spans="2:16" x14ac:dyDescent="0.3">
      <c r="B61" t="s">
        <v>6</v>
      </c>
      <c r="C61" t="s">
        <v>76</v>
      </c>
      <c r="D61" s="32">
        <f>D45*'price forecasts'!E33</f>
        <v>0</v>
      </c>
      <c r="E61" s="32">
        <f ca="1">E45*'price forecasts'!E33</f>
        <v>1065168.7949344523</v>
      </c>
      <c r="F61" s="32">
        <f ca="1">F45*'price forecasts'!F33</f>
        <v>1340335.9118782536</v>
      </c>
      <c r="G61" s="32">
        <f ca="1">G45*'price forecasts'!G33</f>
        <v>1805828.698305449</v>
      </c>
      <c r="H61" s="32">
        <f ca="1">H45*'price forecasts'!H33</f>
        <v>2374491.9218600076</v>
      </c>
      <c r="I61" s="32">
        <f ca="1">I45*'price forecasts'!I33</f>
        <v>3065418.6686848416</v>
      </c>
      <c r="J61" s="32">
        <f ca="1">J45*'price forecasts'!J33</f>
        <v>3849208.8180213491</v>
      </c>
      <c r="K61" s="32">
        <f ca="1">K45*'price forecasts'!K33</f>
        <v>4876602.7385055507</v>
      </c>
      <c r="L61" s="32">
        <f ca="1">L45*'price forecasts'!L33</f>
        <v>6093236.2129860586</v>
      </c>
      <c r="M61" s="32">
        <f ca="1">M45*'price forecasts'!M33</f>
        <v>7637010.7707429891</v>
      </c>
      <c r="N61" s="32">
        <f ca="1">N45*'price forecasts'!N33</f>
        <v>9417629.3643085789</v>
      </c>
    </row>
    <row r="62" spans="2:16" x14ac:dyDescent="0.3">
      <c r="B62" t="s">
        <v>7</v>
      </c>
      <c r="C62" t="s">
        <v>76</v>
      </c>
      <c r="D62" s="32">
        <f>D54*Retail_Rate_yr1</f>
        <v>0</v>
      </c>
      <c r="E62" s="32">
        <f>E46*'price forecasts'!E34</f>
        <v>591762.34678279446</v>
      </c>
      <c r="F62" s="32">
        <f ca="1">F46*'price forecasts'!F34</f>
        <v>910459.54069627146</v>
      </c>
      <c r="G62" s="32">
        <f ca="1">G46*'price forecasts'!G34</f>
        <v>1372270.3630781611</v>
      </c>
      <c r="H62" s="32">
        <f ca="1">H46*'price forecasts'!H34</f>
        <v>1935786.6944404342</v>
      </c>
      <c r="I62" s="32">
        <f ca="1">I46*'price forecasts'!I34</f>
        <v>2621856.9681623327</v>
      </c>
      <c r="J62" s="32">
        <f ca="1">J46*'price forecasts'!J34</f>
        <v>3407188.7877454702</v>
      </c>
      <c r="K62" s="32">
        <f ca="1">K46*'price forecasts'!K34</f>
        <v>4427434.4914288102</v>
      </c>
      <c r="L62" s="32">
        <f ca="1">L46*'price forecasts'!L34</f>
        <v>5319868.0895264028</v>
      </c>
      <c r="M62" s="32">
        <f ca="1">M46*'price forecasts'!M34</f>
        <v>6399338.9955164054</v>
      </c>
      <c r="N62" s="32">
        <f ca="1">N46*'price forecasts'!N34</f>
        <v>7576523.0139544867</v>
      </c>
    </row>
    <row r="63" spans="2:16" x14ac:dyDescent="0.3">
      <c r="B63" t="s">
        <v>24</v>
      </c>
      <c r="C63" t="s">
        <v>76</v>
      </c>
      <c r="D63" s="32">
        <f>D55*Retail_Rate_yr1</f>
        <v>0</v>
      </c>
      <c r="E63" s="32">
        <f>E47*'price forecasts'!E35</f>
        <v>0</v>
      </c>
      <c r="F63" s="32">
        <f ca="1">F47*'price forecasts'!F35</f>
        <v>0</v>
      </c>
      <c r="G63" s="32">
        <f ca="1">G47*'price forecasts'!G35</f>
        <v>0</v>
      </c>
      <c r="H63" s="32">
        <f ca="1">H47*'price forecasts'!H35</f>
        <v>0</v>
      </c>
      <c r="I63" s="32">
        <f ca="1">I47*'price forecasts'!I35</f>
        <v>0</v>
      </c>
      <c r="J63" s="32">
        <f ca="1">J47*'price forecasts'!J35</f>
        <v>0</v>
      </c>
      <c r="K63" s="32">
        <f ca="1">K47*'price forecasts'!K35</f>
        <v>0</v>
      </c>
      <c r="L63" s="32">
        <f ca="1">L47*'price forecasts'!L35</f>
        <v>0</v>
      </c>
      <c r="M63" s="32">
        <f ca="1">M47*'price forecasts'!M35</f>
        <v>0</v>
      </c>
      <c r="N63" s="32">
        <f ca="1">N47*'price forecasts'!N35</f>
        <v>0</v>
      </c>
    </row>
    <row r="64" spans="2:16" x14ac:dyDescent="0.3">
      <c r="B64" t="s">
        <v>23</v>
      </c>
      <c r="C64" t="s">
        <v>76</v>
      </c>
      <c r="D64" s="32">
        <f>D56*Retail_Rate_yr1</f>
        <v>0</v>
      </c>
      <c r="E64" s="32">
        <f>E48*'price forecasts'!E36</f>
        <v>72692.644963751634</v>
      </c>
      <c r="F64" s="32">
        <f ca="1">F48*'price forecasts'!F36</f>
        <v>111825.26408724912</v>
      </c>
      <c r="G64" s="32">
        <f ca="1">G48*'price forecasts'!G36</f>
        <v>168552.33354554017</v>
      </c>
      <c r="H64" s="32">
        <f ca="1">H48*'price forecasts'!H36</f>
        <v>237785.92564852483</v>
      </c>
      <c r="I64" s="32">
        <f ca="1">I48*'price forecasts'!I36</f>
        <v>322032.33037906245</v>
      </c>
      <c r="J64" s="32">
        <f ca="1">J48*'price forecasts'!J36</f>
        <v>418451.95248006709</v>
      </c>
      <c r="K64" s="32">
        <f ca="1">K48*'price forecasts'!K36</f>
        <v>543733.71677778079</v>
      </c>
      <c r="L64" s="32">
        <f ca="1">L48*'price forecasts'!L36</f>
        <v>692660.07499709248</v>
      </c>
      <c r="M64" s="32">
        <f ca="1">M48*'price forecasts'!M36</f>
        <v>881297.37154929398</v>
      </c>
      <c r="N64" s="32">
        <f ca="1">N48*'price forecasts'!N36</f>
        <v>1099899.3358780518</v>
      </c>
    </row>
    <row r="65" spans="2:16" x14ac:dyDescent="0.3">
      <c r="B65" t="s">
        <v>70</v>
      </c>
      <c r="C65" s="21" t="s">
        <v>76</v>
      </c>
      <c r="D65" s="32">
        <f>D57*Retail_Rate_yr1</f>
        <v>0</v>
      </c>
      <c r="E65" s="32">
        <f>E57*Retail_Rate_yr1*(1+Retail_Rate_escalation)^('Tier III'!E$9-'Tier III'!$D$9)</f>
        <v>0</v>
      </c>
      <c r="F65" s="32">
        <f ca="1">F57*Retail_Rate_yr1*(1+Retail_Rate_escalation)^('Tier III'!F$9-'Tier III'!$D$9)</f>
        <v>0</v>
      </c>
      <c r="G65" s="32">
        <f ca="1">G57*Retail_Rate_yr1*(1+Retail_Rate_escalation)^('Tier III'!G$9-'Tier III'!$D$9)</f>
        <v>0</v>
      </c>
      <c r="H65" s="32">
        <f ca="1">H57*Retail_Rate_yr1*(1+Retail_Rate_escalation)^('Tier III'!H$9-'Tier III'!$D$9)</f>
        <v>0</v>
      </c>
      <c r="I65" s="32">
        <f ca="1">I57*Retail_Rate_yr1*(1+Retail_Rate_escalation)^('Tier III'!I$9-'Tier III'!$D$9)</f>
        <v>0</v>
      </c>
      <c r="J65" s="32">
        <f ca="1">J57*Retail_Rate_yr1*(1+Retail_Rate_escalation)^('Tier III'!J$9-'Tier III'!$D$9)</f>
        <v>0</v>
      </c>
      <c r="K65" s="32">
        <f ca="1">K57*Retail_Rate_yr1*(1+Retail_Rate_escalation)^('Tier III'!K$9-'Tier III'!$D$9)</f>
        <v>0</v>
      </c>
      <c r="L65" s="32">
        <f ca="1">L57*Retail_Rate_yr1*(1+Retail_Rate_escalation)^('Tier III'!L$9-'Tier III'!$D$9)</f>
        <v>0</v>
      </c>
      <c r="M65" s="32">
        <f ca="1">M57*Retail_Rate_yr1*(1+Retail_Rate_escalation)^('Tier III'!M$9-'Tier III'!$D$9)</f>
        <v>0</v>
      </c>
      <c r="N65" s="32">
        <f ca="1">N57*Retail_Rate_yr1*(1+Retail_Rate_escalation)^('Tier III'!N$9-'Tier III'!$D$9)</f>
        <v>0</v>
      </c>
    </row>
    <row r="66" spans="2:16" x14ac:dyDescent="0.3">
      <c r="B66" s="99" t="s">
        <v>8</v>
      </c>
      <c r="C66" t="s">
        <v>76</v>
      </c>
      <c r="D66" s="139"/>
      <c r="E66" s="139">
        <f t="shared" ref="E66:N66" ca="1" si="19">SUM(E61:E65)</f>
        <v>1729623.7866809983</v>
      </c>
      <c r="F66" s="139">
        <f t="shared" ca="1" si="19"/>
        <v>2362620.7166617741</v>
      </c>
      <c r="G66" s="139">
        <f t="shared" ca="1" si="19"/>
        <v>3346651.3949291501</v>
      </c>
      <c r="H66" s="139">
        <f t="shared" ca="1" si="19"/>
        <v>4548064.5419489658</v>
      </c>
      <c r="I66" s="139">
        <f t="shared" ca="1" si="19"/>
        <v>6009307.9672262361</v>
      </c>
      <c r="J66" s="139">
        <f t="shared" ca="1" si="19"/>
        <v>7674849.5582468873</v>
      </c>
      <c r="K66" s="139">
        <f t="shared" ca="1" si="19"/>
        <v>9847770.9467121419</v>
      </c>
      <c r="L66" s="139">
        <f t="shared" ca="1" si="19"/>
        <v>12105764.377509553</v>
      </c>
      <c r="M66" s="139">
        <f t="shared" ca="1" si="19"/>
        <v>14917647.137808688</v>
      </c>
      <c r="N66" s="139">
        <f t="shared" ca="1" si="19"/>
        <v>18094051.714141116</v>
      </c>
    </row>
    <row r="68" spans="2:16" x14ac:dyDescent="0.3">
      <c r="B68" s="20" t="s">
        <v>193</v>
      </c>
    </row>
    <row r="69" spans="2:16" x14ac:dyDescent="0.3">
      <c r="B69" t="s">
        <v>6</v>
      </c>
      <c r="C69" t="s">
        <v>76</v>
      </c>
      <c r="D69" s="85">
        <f>D61+D35</f>
        <v>0</v>
      </c>
      <c r="E69" s="85">
        <f ca="1">E61+E35</f>
        <v>2242452.7190821795</v>
      </c>
      <c r="F69" s="85">
        <f t="shared" ref="F69:N69" ca="1" si="20">F61+F35</f>
        <v>2735916.7708253036</v>
      </c>
      <c r="G69" s="85">
        <f t="shared" ca="1" si="20"/>
        <v>3419764.6386222332</v>
      </c>
      <c r="H69" s="85">
        <f t="shared" ca="1" si="20"/>
        <v>4204905.4580888972</v>
      </c>
      <c r="I69" s="85">
        <f t="shared" ca="1" si="20"/>
        <v>5119090.6140527651</v>
      </c>
      <c r="J69" s="85">
        <f t="shared" ca="1" si="20"/>
        <v>6133385.3754185494</v>
      </c>
      <c r="K69" s="85">
        <f t="shared" ca="1" si="20"/>
        <v>7396286.5737763233</v>
      </c>
      <c r="L69" s="85">
        <f t="shared" ca="1" si="20"/>
        <v>8850786.5660905577</v>
      </c>
      <c r="M69" s="85">
        <f t="shared" ca="1" si="20"/>
        <v>10632317.539484054</v>
      </c>
      <c r="N69" s="85">
        <f t="shared" ca="1" si="20"/>
        <v>12656846.106609738</v>
      </c>
    </row>
    <row r="70" spans="2:16" x14ac:dyDescent="0.3">
      <c r="B70" t="s">
        <v>7</v>
      </c>
      <c r="C70" t="s">
        <v>76</v>
      </c>
      <c r="D70" s="85">
        <f t="shared" ref="D70:N70" si="21">D62+D36</f>
        <v>0</v>
      </c>
      <c r="E70" s="85">
        <f>E62+E36</f>
        <v>2456580.082632795</v>
      </c>
      <c r="F70" s="85">
        <f t="shared" ca="1" si="21"/>
        <v>3076847.6196569558</v>
      </c>
      <c r="G70" s="85">
        <f t="shared" ca="1" si="21"/>
        <v>3827508.5011732606</v>
      </c>
      <c r="H70" s="85">
        <f t="shared" ca="1" si="21"/>
        <v>4664655.2883931343</v>
      </c>
      <c r="I70" s="85">
        <f t="shared" ca="1" si="21"/>
        <v>5622335.6839346625</v>
      </c>
      <c r="J70" s="85">
        <f t="shared" ca="1" si="21"/>
        <v>6677696.8627157323</v>
      </c>
      <c r="K70" s="85">
        <f t="shared" ca="1" si="21"/>
        <v>7962990.1720435107</v>
      </c>
      <c r="L70" s="85">
        <f t="shared" ca="1" si="21"/>
        <v>9111805.484784143</v>
      </c>
      <c r="M70" s="85">
        <f t="shared" ca="1" si="21"/>
        <v>10435840.239888392</v>
      </c>
      <c r="N70" s="85">
        <f t="shared" ca="1" si="21"/>
        <v>11854415.514512286</v>
      </c>
    </row>
    <row r="71" spans="2:16" x14ac:dyDescent="0.3">
      <c r="B71" t="s">
        <v>24</v>
      </c>
      <c r="C71" t="s">
        <v>76</v>
      </c>
      <c r="D71" s="85">
        <f t="shared" ref="D71:N71" si="22">D63+D37</f>
        <v>0</v>
      </c>
      <c r="E71" s="85">
        <f t="shared" si="22"/>
        <v>138134.64710000003</v>
      </c>
      <c r="F71" s="85">
        <f t="shared" ca="1" si="22"/>
        <v>163748.15411645392</v>
      </c>
      <c r="G71" s="85">
        <f t="shared" ca="1" si="22"/>
        <v>189368.48366383609</v>
      </c>
      <c r="H71" s="85">
        <f t="shared" ca="1" si="22"/>
        <v>214768.52158418976</v>
      </c>
      <c r="I71" s="85">
        <f t="shared" ca="1" si="22"/>
        <v>240964.1749231698</v>
      </c>
      <c r="J71" s="85">
        <f t="shared" ca="1" si="22"/>
        <v>268010.04940127151</v>
      </c>
      <c r="K71" s="85">
        <f t="shared" ca="1" si="22"/>
        <v>295642.90333843743</v>
      </c>
      <c r="L71" s="85">
        <f t="shared" ca="1" si="22"/>
        <v>323552.57476426126</v>
      </c>
      <c r="M71" s="85">
        <f t="shared" ca="1" si="22"/>
        <v>351449.32753228501</v>
      </c>
      <c r="N71" s="85">
        <f t="shared" ca="1" si="22"/>
        <v>380068.09776333609</v>
      </c>
    </row>
    <row r="72" spans="2:16" x14ac:dyDescent="0.3">
      <c r="B72" t="s">
        <v>23</v>
      </c>
      <c r="C72" t="s">
        <v>76</v>
      </c>
      <c r="D72" s="85">
        <f t="shared" ref="D72:N72" si="23">D64+D38</f>
        <v>0</v>
      </c>
      <c r="E72" s="85">
        <f t="shared" si="23"/>
        <v>321335.00974375161</v>
      </c>
      <c r="F72" s="85">
        <f t="shared" ca="1" si="23"/>
        <v>450783.94310830865</v>
      </c>
      <c r="G72" s="85">
        <f t="shared" ca="1" si="23"/>
        <v>619344.00890730182</v>
      </c>
      <c r="H72" s="85">
        <f t="shared" ca="1" si="23"/>
        <v>825730.8611243628</v>
      </c>
      <c r="I72" s="85">
        <f t="shared" ca="1" si="23"/>
        <v>1080638.4567191531</v>
      </c>
      <c r="J72" s="85">
        <f t="shared" ca="1" si="23"/>
        <v>1388767.0430139259</v>
      </c>
      <c r="K72" s="85">
        <f t="shared" ca="1" si="23"/>
        <v>1774645.717403467</v>
      </c>
      <c r="L72" s="85">
        <f t="shared" ca="1" si="23"/>
        <v>2241841.3812467069</v>
      </c>
      <c r="M72" s="85">
        <f t="shared" ca="1" si="23"/>
        <v>2816462.1218507229</v>
      </c>
      <c r="N72" s="85">
        <f t="shared" ca="1" si="23"/>
        <v>3506557.9266641866</v>
      </c>
    </row>
    <row r="73" spans="2:16" x14ac:dyDescent="0.3">
      <c r="B73" t="s">
        <v>70</v>
      </c>
      <c r="C73" s="21" t="s">
        <v>76</v>
      </c>
      <c r="D73" s="86">
        <f t="shared" ref="D73:N73" si="24">D65+D39</f>
        <v>0</v>
      </c>
      <c r="E73" s="86">
        <f t="shared" si="24"/>
        <v>230224.41183333335</v>
      </c>
      <c r="F73" s="86">
        <f t="shared" ca="1" si="24"/>
        <v>272913.5901940898</v>
      </c>
      <c r="G73" s="86">
        <f t="shared" ca="1" si="24"/>
        <v>315614.13943972677</v>
      </c>
      <c r="H73" s="86">
        <f t="shared" ca="1" si="24"/>
        <v>357947.53597364953</v>
      </c>
      <c r="I73" s="86">
        <f t="shared" ca="1" si="24"/>
        <v>401606.95820528292</v>
      </c>
      <c r="J73" s="86">
        <f t="shared" ca="1" si="24"/>
        <v>446683.4156687858</v>
      </c>
      <c r="K73" s="86">
        <f t="shared" ca="1" si="24"/>
        <v>492738.1722307289</v>
      </c>
      <c r="L73" s="86">
        <f t="shared" ca="1" si="24"/>
        <v>539254.29127376864</v>
      </c>
      <c r="M73" s="86">
        <f t="shared" ca="1" si="24"/>
        <v>585748.87922047498</v>
      </c>
      <c r="N73" s="86">
        <f t="shared" ca="1" si="24"/>
        <v>633446.82960556005</v>
      </c>
    </row>
    <row r="74" spans="2:16" x14ac:dyDescent="0.3">
      <c r="B74" s="99" t="s">
        <v>8</v>
      </c>
      <c r="C74" t="s">
        <v>76</v>
      </c>
      <c r="D74" s="139"/>
      <c r="E74" s="139">
        <f ca="1">SUM(E69:E73)+E42</f>
        <v>5588726.8703920599</v>
      </c>
      <c r="F74" s="139">
        <f t="shared" ref="F74:N74" ca="1" si="25">SUM(F69:F73)+F42</f>
        <v>6906210.0779011119</v>
      </c>
      <c r="G74" s="139">
        <f t="shared" ca="1" si="25"/>
        <v>8583779.7718063593</v>
      </c>
      <c r="H74" s="139">
        <f t="shared" ca="1" si="25"/>
        <v>10486553.065164234</v>
      </c>
      <c r="I74" s="139">
        <f t="shared" ca="1" si="25"/>
        <v>12689737.649835033</v>
      </c>
      <c r="J74" s="139">
        <f t="shared" ca="1" si="25"/>
        <v>15146397.561078265</v>
      </c>
      <c r="K74" s="139">
        <f t="shared" ca="1" si="25"/>
        <v>18161113.998098265</v>
      </c>
      <c r="L74" s="139">
        <f t="shared" ca="1" si="25"/>
        <v>21313215.071244419</v>
      </c>
      <c r="M74" s="139">
        <f t="shared" ca="1" si="25"/>
        <v>25075172.124253448</v>
      </c>
      <c r="N74" s="139">
        <f t="shared" ca="1" si="25"/>
        <v>29292289.11192096</v>
      </c>
      <c r="P74" s="147">
        <f ca="1">NPV(discount_rate,E74:N74)</f>
        <v>103741418.21547931</v>
      </c>
    </row>
    <row r="76" spans="2:16" s="143" customFormat="1" x14ac:dyDescent="0.3">
      <c r="B76" s="20" t="s">
        <v>248</v>
      </c>
    </row>
    <row r="77" spans="2:16" s="143" customFormat="1" x14ac:dyDescent="0.3">
      <c r="B77" s="143" t="s">
        <v>6</v>
      </c>
      <c r="D77" s="137"/>
      <c r="E77" s="228">
        <f ca="1">E28*$H$3</f>
        <v>175390.00687143288</v>
      </c>
      <c r="F77" s="228">
        <f t="shared" ref="F77:M77" ca="1" si="26">F28*$H$3</f>
        <v>238003.51053027177</v>
      </c>
      <c r="G77" s="228">
        <f ca="1">G28*$H$3</f>
        <v>310413.63514347462</v>
      </c>
      <c r="H77" s="228">
        <f t="shared" ca="1" si="26"/>
        <v>392536.1462922208</v>
      </c>
      <c r="I77" s="228">
        <f t="shared" ca="1" si="26"/>
        <v>484675.26889552677</v>
      </c>
      <c r="J77" s="228">
        <f t="shared" ca="1" si="26"/>
        <v>587156.10783590237</v>
      </c>
      <c r="K77" s="228">
        <f t="shared" ca="1" si="26"/>
        <v>700203.11047097482</v>
      </c>
      <c r="L77" s="228">
        <f t="shared" ca="1" si="26"/>
        <v>823922.12540057988</v>
      </c>
      <c r="M77" s="228">
        <f t="shared" ca="1" si="26"/>
        <v>958308.21282901848</v>
      </c>
      <c r="N77" s="228">
        <f ca="1">N28*$H$3</f>
        <v>1103637.4555207463</v>
      </c>
    </row>
    <row r="78" spans="2:16" s="143" customFormat="1" x14ac:dyDescent="0.3">
      <c r="B78" s="143" t="s">
        <v>7</v>
      </c>
      <c r="D78" s="137"/>
      <c r="E78" s="228">
        <f>E29*$H$4</f>
        <v>200218.39623802251</v>
      </c>
      <c r="F78" s="228">
        <f t="shared" ref="F78:M78" ca="1" si="27">F29*$H$4</f>
        <v>332076.02570169664</v>
      </c>
      <c r="G78" s="228">
        <f t="shared" ca="1" si="27"/>
        <v>484564.33609380078</v>
      </c>
      <c r="H78" s="228">
        <f t="shared" ca="1" si="27"/>
        <v>657505.93835069984</v>
      </c>
      <c r="I78" s="228">
        <f t="shared" ca="1" si="27"/>
        <v>851541.49901077966</v>
      </c>
      <c r="J78" s="228">
        <f t="shared" ca="1" si="27"/>
        <v>1067355.655678228</v>
      </c>
      <c r="K78" s="228">
        <f t="shared" ca="1" si="27"/>
        <v>1305421.0715133331</v>
      </c>
      <c r="L78" s="228">
        <f t="shared" ca="1" si="27"/>
        <v>1476974.6989489123</v>
      </c>
      <c r="M78" s="228">
        <f t="shared" ca="1" si="27"/>
        <v>1648745.6006935444</v>
      </c>
      <c r="N78" s="228">
        <f ca="1">N29*$H$4</f>
        <v>1822936.480150471</v>
      </c>
    </row>
    <row r="79" spans="2:16" s="143" customFormat="1" x14ac:dyDescent="0.3">
      <c r="B79" s="143" t="s">
        <v>24</v>
      </c>
      <c r="D79" s="137"/>
      <c r="E79" s="228">
        <f>E30*$H$5</f>
        <v>5101.0362481088005</v>
      </c>
      <c r="F79" s="228">
        <f t="shared" ref="F79:N79" ca="1" si="28">F30*$H$5</f>
        <v>8460.4206010045837</v>
      </c>
      <c r="G79" s="228">
        <f t="shared" ca="1" si="28"/>
        <v>12345.420248081327</v>
      </c>
      <c r="H79" s="228">
        <f t="shared" ca="1" si="28"/>
        <v>16751.515784226303</v>
      </c>
      <c r="I79" s="228">
        <f t="shared" ca="1" si="28"/>
        <v>21695.029701761199</v>
      </c>
      <c r="J79" s="228">
        <f t="shared" ca="1" si="28"/>
        <v>27193.404759700174</v>
      </c>
      <c r="K79" s="228">
        <f t="shared" ca="1" si="28"/>
        <v>33258.683167745621</v>
      </c>
      <c r="L79" s="228">
        <f t="shared" ca="1" si="28"/>
        <v>39896.543990464867</v>
      </c>
      <c r="M79" s="228">
        <f t="shared" ca="1" si="28"/>
        <v>47106.722194416099</v>
      </c>
      <c r="N79" s="228">
        <f t="shared" ca="1" si="28"/>
        <v>54904.030368974149</v>
      </c>
    </row>
    <row r="80" spans="2:16" s="143" customFormat="1" x14ac:dyDescent="0.3">
      <c r="B80" s="143" t="s">
        <v>23</v>
      </c>
      <c r="D80" s="137"/>
      <c r="E80" s="228">
        <f>E31*$H$6</f>
        <v>18658.014816654781</v>
      </c>
      <c r="F80" s="228">
        <f t="shared" ref="F80:N80" ca="1" si="29">F31*$H$6</f>
        <v>30945.605020391522</v>
      </c>
      <c r="G80" s="228">
        <f t="shared" ca="1" si="29"/>
        <v>45155.733600585525</v>
      </c>
      <c r="H80" s="228">
        <f t="shared" ca="1" si="29"/>
        <v>61271.869969439656</v>
      </c>
      <c r="I80" s="228">
        <f t="shared" ca="1" si="29"/>
        <v>79353.716761628515</v>
      </c>
      <c r="J80" s="228">
        <f t="shared" ca="1" si="29"/>
        <v>99465.074201322263</v>
      </c>
      <c r="K80" s="228">
        <f t="shared" ca="1" si="29"/>
        <v>121649.98897161124</v>
      </c>
      <c r="L80" s="228">
        <f t="shared" ca="1" si="29"/>
        <v>145929.23333634296</v>
      </c>
      <c r="M80" s="228">
        <f t="shared" ca="1" si="29"/>
        <v>172301.83788505979</v>
      </c>
      <c r="N80" s="228">
        <f t="shared" ca="1" si="29"/>
        <v>200821.982493886</v>
      </c>
    </row>
    <row r="81" spans="2:17" s="143" customFormat="1" ht="15" thickBot="1" x14ac:dyDescent="0.35">
      <c r="B81" s="143" t="s">
        <v>70</v>
      </c>
      <c r="C81" s="226"/>
      <c r="D81" s="227"/>
      <c r="E81" s="388">
        <f>E32*$H$7</f>
        <v>73671.811786666673</v>
      </c>
      <c r="F81" s="388">
        <f t="shared" ref="F81:N81" ca="1" si="30">F32*$H$7</f>
        <v>87332.348862108745</v>
      </c>
      <c r="G81" s="388">
        <f t="shared" ca="1" si="30"/>
        <v>100996.52462071256</v>
      </c>
      <c r="H81" s="388">
        <f t="shared" ca="1" si="30"/>
        <v>114543.21151156785</v>
      </c>
      <c r="I81" s="388">
        <f t="shared" ca="1" si="30"/>
        <v>128514.22662569054</v>
      </c>
      <c r="J81" s="388">
        <f t="shared" ca="1" si="30"/>
        <v>142938.69301401146</v>
      </c>
      <c r="K81" s="388">
        <f t="shared" ca="1" si="30"/>
        <v>157676.21511383326</v>
      </c>
      <c r="L81" s="388">
        <f t="shared" ca="1" si="30"/>
        <v>172561.37320760597</v>
      </c>
      <c r="M81" s="388">
        <f t="shared" ca="1" si="30"/>
        <v>187439.64135055197</v>
      </c>
      <c r="N81" s="388">
        <f t="shared" ca="1" si="30"/>
        <v>202702.9854737792</v>
      </c>
    </row>
    <row r="82" spans="2:17" s="230" customFormat="1" x14ac:dyDescent="0.3">
      <c r="B82" s="229" t="s">
        <v>8</v>
      </c>
      <c r="D82" s="229"/>
      <c r="E82" s="228">
        <f t="shared" ref="E82:N82" ca="1" si="31">SUM(E77:E81)</f>
        <v>473039.26596088562</v>
      </c>
      <c r="F82" s="229">
        <f t="shared" ca="1" si="31"/>
        <v>696817.91071547335</v>
      </c>
      <c r="G82" s="229">
        <f t="shared" ca="1" si="31"/>
        <v>953475.64970665472</v>
      </c>
      <c r="H82" s="229">
        <f t="shared" ca="1" si="31"/>
        <v>1242608.6819081546</v>
      </c>
      <c r="I82" s="229">
        <f t="shared" ca="1" si="31"/>
        <v>1565779.7409953864</v>
      </c>
      <c r="J82" s="229">
        <f t="shared" ca="1" si="31"/>
        <v>1924108.9354891642</v>
      </c>
      <c r="K82" s="229">
        <f t="shared" ca="1" si="31"/>
        <v>2318209.0692374976</v>
      </c>
      <c r="L82" s="229">
        <f t="shared" ca="1" si="31"/>
        <v>2659283.9748839061</v>
      </c>
      <c r="M82" s="229">
        <f t="shared" ca="1" si="31"/>
        <v>3013902.0149525907</v>
      </c>
      <c r="N82" s="229">
        <f t="shared" ca="1" si="31"/>
        <v>3385002.9340078561</v>
      </c>
      <c r="Q82" s="386"/>
    </row>
    <row r="83" spans="2:17" s="143" customFormat="1" x14ac:dyDescent="0.3"/>
    <row r="84" spans="2:17" s="143" customFormat="1" x14ac:dyDescent="0.3">
      <c r="B84" s="258" t="s">
        <v>388</v>
      </c>
      <c r="E84" s="230"/>
      <c r="F84" s="230"/>
      <c r="G84" s="230"/>
      <c r="H84" s="230"/>
      <c r="I84" s="230"/>
      <c r="J84" s="230"/>
      <c r="K84" s="230"/>
      <c r="L84" s="230"/>
      <c r="M84" s="230"/>
      <c r="N84" s="230"/>
    </row>
    <row r="85" spans="2:17" s="143" customFormat="1" x14ac:dyDescent="0.3">
      <c r="B85" s="143" t="s">
        <v>6</v>
      </c>
      <c r="D85" s="137"/>
      <c r="E85" s="228">
        <f ca="1">E28*$Q3</f>
        <v>26334809.531745646</v>
      </c>
      <c r="F85" s="228">
        <f ca="1">F28*$Q3</f>
        <v>35736227.106120311</v>
      </c>
      <c r="G85" s="228">
        <f t="shared" ref="G85:N85" ca="1" si="32">G28*$Q3</f>
        <v>46608607.316792719</v>
      </c>
      <c r="H85" s="228">
        <f t="shared" ca="1" si="32"/>
        <v>58939302.365776956</v>
      </c>
      <c r="I85" s="228">
        <f t="shared" ca="1" si="32"/>
        <v>72773991.624663353</v>
      </c>
      <c r="J85" s="228">
        <f t="shared" ca="1" si="32"/>
        <v>88161489.591560751</v>
      </c>
      <c r="K85" s="228">
        <f t="shared" ca="1" si="32"/>
        <v>105135497.03721689</v>
      </c>
      <c r="L85" s="228">
        <f t="shared" ca="1" si="32"/>
        <v>123711907.12889707</v>
      </c>
      <c r="M85" s="228">
        <f t="shared" ca="1" si="32"/>
        <v>143889978.15627712</v>
      </c>
      <c r="N85" s="228">
        <f t="shared" ca="1" si="32"/>
        <v>165711163.94644007</v>
      </c>
    </row>
    <row r="86" spans="2:17" s="143" customFormat="1" x14ac:dyDescent="0.3">
      <c r="B86" s="143" t="s">
        <v>7</v>
      </c>
      <c r="D86" s="137"/>
      <c r="E86" s="228">
        <f>E29*$Q4</f>
        <v>31474331.888617136</v>
      </c>
      <c r="F86" s="228">
        <f t="shared" ref="F86:N86" ca="1" si="33">F29*$Q4</f>
        <v>52202351.240306713</v>
      </c>
      <c r="G86" s="228">
        <f t="shared" ca="1" si="33"/>
        <v>76173513.63394548</v>
      </c>
      <c r="H86" s="228">
        <f t="shared" ca="1" si="33"/>
        <v>103359933.50873001</v>
      </c>
      <c r="I86" s="228">
        <f t="shared" ca="1" si="33"/>
        <v>133862323.64449455</v>
      </c>
      <c r="J86" s="228">
        <f t="shared" ca="1" si="33"/>
        <v>167788309.07261741</v>
      </c>
      <c r="K86" s="228">
        <f t="shared" ca="1" si="33"/>
        <v>205212192.44189596</v>
      </c>
      <c r="L86" s="228">
        <f t="shared" ca="1" si="33"/>
        <v>232180422.67476901</v>
      </c>
      <c r="M86" s="228">
        <f t="shared" ca="1" si="33"/>
        <v>259182808.42902517</v>
      </c>
      <c r="N86" s="228">
        <f t="shared" ca="1" si="33"/>
        <v>286565614.679654</v>
      </c>
    </row>
    <row r="87" spans="2:17" s="143" customFormat="1" x14ac:dyDescent="0.3">
      <c r="B87" s="143" t="s">
        <v>24</v>
      </c>
      <c r="D87" s="137"/>
      <c r="E87" s="228">
        <f>E30*$Q5</f>
        <v>765920.59265353647</v>
      </c>
      <c r="F87" s="228">
        <f t="shared" ref="F87:N87" ca="1" si="34">F30*$Q5</f>
        <v>1270332.1532408383</v>
      </c>
      <c r="G87" s="228">
        <f t="shared" ca="1" si="34"/>
        <v>1853664.8502494115</v>
      </c>
      <c r="H87" s="228">
        <f t="shared" ca="1" si="34"/>
        <v>2515240.0950015797</v>
      </c>
      <c r="I87" s="228">
        <f t="shared" ca="1" si="34"/>
        <v>3257508.7097194442</v>
      </c>
      <c r="J87" s="228">
        <f t="shared" ca="1" si="34"/>
        <v>4083089.7246689815</v>
      </c>
      <c r="K87" s="228">
        <f t="shared" ca="1" si="34"/>
        <v>4993791.2776370058</v>
      </c>
      <c r="L87" s="228">
        <f t="shared" ca="1" si="34"/>
        <v>5990466.0801683003</v>
      </c>
      <c r="M87" s="228">
        <f t="shared" ca="1" si="34"/>
        <v>7073074.3374915784</v>
      </c>
      <c r="N87" s="228">
        <f t="shared" ca="1" si="34"/>
        <v>8243840.159901469</v>
      </c>
    </row>
    <row r="88" spans="2:17" s="143" customFormat="1" x14ac:dyDescent="0.3">
      <c r="B88" s="143" t="s">
        <v>23</v>
      </c>
      <c r="D88" s="137"/>
      <c r="E88" s="228">
        <f>E31*$Q6</f>
        <v>2834522.9584920001</v>
      </c>
      <c r="F88" s="228">
        <f t="shared" ref="F88:N88" ca="1" si="35">F31*$Q6</f>
        <v>4701251.9154195739</v>
      </c>
      <c r="G88" s="228">
        <f t="shared" ca="1" si="35"/>
        <v>6860052.6291873045</v>
      </c>
      <c r="H88" s="228">
        <f t="shared" ca="1" si="35"/>
        <v>9308413.7752470672</v>
      </c>
      <c r="I88" s="228">
        <f t="shared" ca="1" si="35"/>
        <v>12055405.369371204</v>
      </c>
      <c r="J88" s="228">
        <f t="shared" ca="1" si="35"/>
        <v>15110719.932545697</v>
      </c>
      <c r="K88" s="228">
        <f t="shared" ca="1" si="35"/>
        <v>18481049.030603882</v>
      </c>
      <c r="L88" s="228">
        <f t="shared" ca="1" si="35"/>
        <v>22169548.382916458</v>
      </c>
      <c r="M88" s="228">
        <f t="shared" ca="1" si="35"/>
        <v>26176070.716784507</v>
      </c>
      <c r="N88" s="228">
        <f t="shared" ca="1" si="35"/>
        <v>30508847.031286534</v>
      </c>
    </row>
    <row r="89" spans="2:17" s="143" customFormat="1" x14ac:dyDescent="0.3">
      <c r="B89" s="143" t="s">
        <v>70</v>
      </c>
      <c r="C89" s="226"/>
      <c r="D89" s="227"/>
      <c r="E89" s="248">
        <f>E32*$Q7</f>
        <v>6022670.6135600004</v>
      </c>
      <c r="F89" s="248">
        <f t="shared" ref="F89:N89" ca="1" si="36">F32*$Q7</f>
        <v>7139419.5194773898</v>
      </c>
      <c r="G89" s="248">
        <f t="shared" ca="1" si="36"/>
        <v>8256465.8877432514</v>
      </c>
      <c r="H89" s="248">
        <f t="shared" ca="1" si="36"/>
        <v>9363907.5410706718</v>
      </c>
      <c r="I89" s="248">
        <f t="shared" ca="1" si="36"/>
        <v>10506038.026650202</v>
      </c>
      <c r="J89" s="248">
        <f t="shared" ca="1" si="36"/>
        <v>11685238.153895436</v>
      </c>
      <c r="K89" s="248">
        <f t="shared" ca="1" si="36"/>
        <v>12890030.585555868</v>
      </c>
      <c r="L89" s="248">
        <f t="shared" ca="1" si="36"/>
        <v>14106892.259721788</v>
      </c>
      <c r="M89" s="248">
        <f t="shared" ca="1" si="36"/>
        <v>15323190.680407625</v>
      </c>
      <c r="N89" s="248">
        <f t="shared" ca="1" si="36"/>
        <v>16570969.06248145</v>
      </c>
    </row>
    <row r="90" spans="2:17" s="143" customFormat="1" x14ac:dyDescent="0.3">
      <c r="B90" s="259" t="s">
        <v>8</v>
      </c>
      <c r="D90" s="260"/>
      <c r="E90" s="229">
        <f t="shared" ref="E90:N90" ca="1" si="37">SUM(E85:E89)</f>
        <v>67432255.58506833</v>
      </c>
      <c r="F90" s="229">
        <f t="shared" ca="1" si="37"/>
        <v>101049581.93456483</v>
      </c>
      <c r="G90" s="229">
        <f t="shared" ca="1" si="37"/>
        <v>139752304.31791815</v>
      </c>
      <c r="H90" s="229">
        <f t="shared" ca="1" si="37"/>
        <v>183486797.28582627</v>
      </c>
      <c r="I90" s="229">
        <f t="shared" ca="1" si="37"/>
        <v>232455267.37489873</v>
      </c>
      <c r="J90" s="229">
        <f t="shared" ca="1" si="37"/>
        <v>286828846.47528827</v>
      </c>
      <c r="K90" s="229">
        <f t="shared" ca="1" si="37"/>
        <v>346712560.37290961</v>
      </c>
      <c r="L90" s="229">
        <f t="shared" ca="1" si="37"/>
        <v>398159236.52647269</v>
      </c>
      <c r="M90" s="229">
        <f t="shared" ca="1" si="37"/>
        <v>451645122.31998599</v>
      </c>
      <c r="N90" s="229">
        <f t="shared" ca="1" si="37"/>
        <v>507600434.87976354</v>
      </c>
    </row>
    <row r="91" spans="2:17" s="58" customFormat="1" x14ac:dyDescent="0.3"/>
    <row r="92" spans="2:17" s="262" customFormat="1" x14ac:dyDescent="0.3">
      <c r="B92" s="262" t="s">
        <v>403</v>
      </c>
    </row>
    <row r="93" spans="2:17" s="230" customFormat="1" x14ac:dyDescent="0.3">
      <c r="B93" s="230" t="s">
        <v>6</v>
      </c>
      <c r="D93" s="228"/>
      <c r="E93" s="228">
        <f ca="1">E77-E45*3.412</f>
        <v>105805.04135453416</v>
      </c>
      <c r="F93" s="228">
        <f ca="1">F77-F45*3.412</f>
        <v>143577.00146872672</v>
      </c>
      <c r="G93" s="228">
        <f t="shared" ref="G93:N93" ca="1" si="38">G77-G45*3.412</f>
        <v>187258.83013073792</v>
      </c>
      <c r="H93" s="228">
        <f t="shared" ca="1" si="38"/>
        <v>236799.71243767923</v>
      </c>
      <c r="I93" s="228">
        <f t="shared" ca="1" si="38"/>
        <v>292383.17384069681</v>
      </c>
      <c r="J93" s="228">
        <f t="shared" ca="1" si="38"/>
        <v>354205.3357503094</v>
      </c>
      <c r="K93" s="228">
        <f t="shared" ca="1" si="38"/>
        <v>422401.59733993222</v>
      </c>
      <c r="L93" s="228">
        <f t="shared" ca="1" si="38"/>
        <v>497035.8123928149</v>
      </c>
      <c r="M93" s="228">
        <f t="shared" ca="1" si="38"/>
        <v>578105.00094848219</v>
      </c>
      <c r="N93" s="228">
        <f t="shared" ca="1" si="38"/>
        <v>665775.71153972461</v>
      </c>
    </row>
    <row r="94" spans="2:17" s="230" customFormat="1" x14ac:dyDescent="0.3">
      <c r="B94" s="230" t="s">
        <v>7</v>
      </c>
      <c r="D94" s="228"/>
      <c r="E94" s="228">
        <f t="shared" ref="E94:N97" si="39">E78-E46*3.412</f>
        <v>158738.61339003124</v>
      </c>
      <c r="F94" s="228">
        <f t="shared" ca="1" si="39"/>
        <v>263278.9436455848</v>
      </c>
      <c r="G94" s="228">
        <f t="shared" ca="1" si="39"/>
        <v>384175.84125660709</v>
      </c>
      <c r="H94" s="228">
        <f t="shared" ca="1" si="39"/>
        <v>521288.66732816608</v>
      </c>
      <c r="I94" s="228">
        <f t="shared" ca="1" si="39"/>
        <v>675125.35979133891</v>
      </c>
      <c r="J94" s="228">
        <f t="shared" ca="1" si="39"/>
        <v>846228.71803921578</v>
      </c>
      <c r="K94" s="228">
        <f t="shared" ca="1" si="39"/>
        <v>1034973.4823358005</v>
      </c>
      <c r="L94" s="228">
        <f t="shared" ca="1" si="39"/>
        <v>1170985.884057268</v>
      </c>
      <c r="M94" s="228">
        <f t="shared" ca="1" si="39"/>
        <v>1307170.5467856776</v>
      </c>
      <c r="N94" s="228">
        <f t="shared" ca="1" si="39"/>
        <v>1445273.8339447202</v>
      </c>
    </row>
    <row r="95" spans="2:17" s="230" customFormat="1" x14ac:dyDescent="0.3">
      <c r="B95" s="230" t="s">
        <v>24</v>
      </c>
      <c r="D95" s="228"/>
      <c r="E95" s="228">
        <f t="shared" si="39"/>
        <v>5101.0362481088005</v>
      </c>
      <c r="F95" s="228">
        <f t="shared" ca="1" si="39"/>
        <v>8460.4206010045837</v>
      </c>
      <c r="G95" s="228">
        <f t="shared" ca="1" si="39"/>
        <v>12345.420248081327</v>
      </c>
      <c r="H95" s="228">
        <f t="shared" ca="1" si="39"/>
        <v>16751.515784226303</v>
      </c>
      <c r="I95" s="228">
        <f t="shared" ca="1" si="39"/>
        <v>21695.029701761199</v>
      </c>
      <c r="J95" s="228">
        <f t="shared" ca="1" si="39"/>
        <v>27193.404759700174</v>
      </c>
      <c r="K95" s="228">
        <f t="shared" ca="1" si="39"/>
        <v>33258.683167745621</v>
      </c>
      <c r="L95" s="228">
        <f t="shared" ca="1" si="39"/>
        <v>39896.543990464867</v>
      </c>
      <c r="M95" s="228">
        <f t="shared" ca="1" si="39"/>
        <v>47106.722194416099</v>
      </c>
      <c r="N95" s="228">
        <f t="shared" ca="1" si="39"/>
        <v>54904.030368974149</v>
      </c>
    </row>
    <row r="96" spans="2:17" s="230" customFormat="1" x14ac:dyDescent="0.3">
      <c r="B96" s="230" t="s">
        <v>23</v>
      </c>
      <c r="D96" s="228"/>
      <c r="E96" s="228">
        <f t="shared" si="39"/>
        <v>13698.335649070541</v>
      </c>
      <c r="F96" s="228">
        <f t="shared" ca="1" si="39"/>
        <v>22719.63489140843</v>
      </c>
      <c r="G96" s="228">
        <f t="shared" ca="1" si="39"/>
        <v>33152.422774832761</v>
      </c>
      <c r="H96" s="228">
        <f t="shared" ca="1" si="39"/>
        <v>44984.562877417266</v>
      </c>
      <c r="I96" s="228">
        <f t="shared" ca="1" si="39"/>
        <v>58259.887661347369</v>
      </c>
      <c r="J96" s="228">
        <f t="shared" ca="1" si="39"/>
        <v>73025.237955819379</v>
      </c>
      <c r="K96" s="228">
        <f t="shared" ca="1" si="39"/>
        <v>89312.951941241496</v>
      </c>
      <c r="L96" s="228">
        <f t="shared" ca="1" si="39"/>
        <v>107138.28019197387</v>
      </c>
      <c r="M96" s="228">
        <f t="shared" ca="1" si="39"/>
        <v>126500.51098654125</v>
      </c>
      <c r="N96" s="228">
        <f t="shared" ca="1" si="39"/>
        <v>147439.42208993464</v>
      </c>
    </row>
    <row r="97" spans="2:14" s="230" customFormat="1" x14ac:dyDescent="0.3">
      <c r="B97" s="230" t="s">
        <v>70</v>
      </c>
      <c r="C97" s="248"/>
      <c r="D97" s="248"/>
      <c r="E97" s="228">
        <f t="shared" si="39"/>
        <v>73671.811786666673</v>
      </c>
      <c r="F97" s="228">
        <f t="shared" ca="1" si="39"/>
        <v>87332.348862108745</v>
      </c>
      <c r="G97" s="228">
        <f t="shared" ca="1" si="39"/>
        <v>100996.52462071256</v>
      </c>
      <c r="H97" s="228">
        <f t="shared" ca="1" si="39"/>
        <v>114543.21151156785</v>
      </c>
      <c r="I97" s="228">
        <f t="shared" ca="1" si="39"/>
        <v>128514.22662569054</v>
      </c>
      <c r="J97" s="228">
        <f t="shared" ca="1" si="39"/>
        <v>142938.69301401146</v>
      </c>
      <c r="K97" s="228">
        <f t="shared" ca="1" si="39"/>
        <v>157676.21511383326</v>
      </c>
      <c r="L97" s="228">
        <f t="shared" ca="1" si="39"/>
        <v>172561.37320760597</v>
      </c>
      <c r="M97" s="228">
        <f t="shared" ca="1" si="39"/>
        <v>187439.64135055197</v>
      </c>
      <c r="N97" s="228">
        <f t="shared" ca="1" si="39"/>
        <v>202702.9854737792</v>
      </c>
    </row>
    <row r="98" spans="2:14" s="230" customFormat="1" x14ac:dyDescent="0.3">
      <c r="B98" s="229" t="s">
        <v>8</v>
      </c>
      <c r="D98" s="229"/>
      <c r="E98" s="229">
        <f t="shared" ref="E98:N98" ca="1" si="40">SUM(E93:E97)</f>
        <v>357014.8384284114</v>
      </c>
      <c r="F98" s="229">
        <f t="shared" ca="1" si="40"/>
        <v>525368.3494688333</v>
      </c>
      <c r="G98" s="229">
        <f t="shared" ca="1" si="40"/>
        <v>717929.0390309717</v>
      </c>
      <c r="H98" s="229">
        <f t="shared" ca="1" si="40"/>
        <v>934367.66993905685</v>
      </c>
      <c r="I98" s="229">
        <f t="shared" ca="1" si="40"/>
        <v>1175977.6776208349</v>
      </c>
      <c r="J98" s="229">
        <f t="shared" ca="1" si="40"/>
        <v>1443591.3895190563</v>
      </c>
      <c r="K98" s="229">
        <f t="shared" ca="1" si="40"/>
        <v>1737622.9298985531</v>
      </c>
      <c r="L98" s="229">
        <f t="shared" ca="1" si="40"/>
        <v>1987617.8938401276</v>
      </c>
      <c r="M98" s="229">
        <f t="shared" ca="1" si="40"/>
        <v>2246322.4222656693</v>
      </c>
      <c r="N98" s="229">
        <f t="shared" ca="1" si="40"/>
        <v>2516095.9834171329</v>
      </c>
    </row>
  </sheetData>
  <pageMargins left="0.7" right="0.7" top="0.75" bottom="0.75" header="0.3" footer="0.3"/>
  <pageSetup orientation="portrait"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45</vt:i4>
      </vt:variant>
    </vt:vector>
  </HeadingPairs>
  <TitlesOfParts>
    <vt:vector size="61" baseType="lpstr">
      <vt:lpstr>Notes</vt:lpstr>
      <vt:lpstr>Summary</vt:lpstr>
      <vt:lpstr>assumptions</vt:lpstr>
      <vt:lpstr>loads</vt:lpstr>
      <vt:lpstr>requirements</vt:lpstr>
      <vt:lpstr>impact</vt:lpstr>
      <vt:lpstr>Tier I</vt:lpstr>
      <vt:lpstr>Tier II</vt:lpstr>
      <vt:lpstr>Tier III</vt:lpstr>
      <vt:lpstr>price forecasts</vt:lpstr>
      <vt:lpstr>emissions</vt:lpstr>
      <vt:lpstr>Tier III PT</vt:lpstr>
      <vt:lpstr>annual RES req</vt:lpstr>
      <vt:lpstr>Tier III incentives</vt:lpstr>
      <vt:lpstr>Savings Calculator</vt:lpstr>
      <vt:lpstr>AEO- reference</vt:lpstr>
      <vt:lpstr>'Savings Calculator'!_ftn1</vt:lpstr>
      <vt:lpstr>'Savings Calculator'!_ftn2</vt:lpstr>
      <vt:lpstr>'Savings Calculator'!_ftn3</vt:lpstr>
      <vt:lpstr>'Savings Calculator'!_ftn5</vt:lpstr>
      <vt:lpstr>'Savings Calculator'!_ftn6</vt:lpstr>
      <vt:lpstr>'Savings Calculator'!_ftnref3</vt:lpstr>
      <vt:lpstr>'Savings Calculator'!_ftnref4</vt:lpstr>
      <vt:lpstr>'Savings Calculator'!_ftnref5</vt:lpstr>
      <vt:lpstr>'Savings Calculator'!_ftnref6</vt:lpstr>
      <vt:lpstr>base_year</vt:lpstr>
      <vt:lpstr>CCHP_incentive_escalation</vt:lpstr>
      <vt:lpstr>CCHP_LMP_multiplier</vt:lpstr>
      <vt:lpstr>COS_depreciation</vt:lpstr>
      <vt:lpstr>COS_inflation</vt:lpstr>
      <vt:lpstr>COS_market</vt:lpstr>
      <vt:lpstr>custom_incentive_escalation</vt:lpstr>
      <vt:lpstr>Custom_LMP_multiplier</vt:lpstr>
      <vt:lpstr>depreciation_rate</vt:lpstr>
      <vt:lpstr>discount_rate</vt:lpstr>
      <vt:lpstr>equip_cost_CCHP_space</vt:lpstr>
      <vt:lpstr>equip_cost_trend_CCHP</vt:lpstr>
      <vt:lpstr>EV_incentive_escalation</vt:lpstr>
      <vt:lpstr>EV_LMP_multiplier</vt:lpstr>
      <vt:lpstr>FCM_coincidence</vt:lpstr>
      <vt:lpstr>FF_scenario</vt:lpstr>
      <vt:lpstr>fuel_cons_trans_EV</vt:lpstr>
      <vt:lpstr>High_FF_esc</vt:lpstr>
      <vt:lpstr>htg_load_baseline_space</vt:lpstr>
      <vt:lpstr>htg_load_baseline_water</vt:lpstr>
      <vt:lpstr>htg_load_CCHP_backup</vt:lpstr>
      <vt:lpstr>htg_load_CCHP_space</vt:lpstr>
      <vt:lpstr>inflation_rate</vt:lpstr>
      <vt:lpstr>Low_FF_esc</vt:lpstr>
      <vt:lpstr>Mid_FF_esc</vt:lpstr>
      <vt:lpstr>NM_escalation</vt:lpstr>
      <vt:lpstr>overhead_escalation</vt:lpstr>
      <vt:lpstr>assumptions!Print_Area</vt:lpstr>
      <vt:lpstr>impact!Print_Area</vt:lpstr>
      <vt:lpstr>REC_scenario</vt:lpstr>
      <vt:lpstr>Retail_Rate_escalation</vt:lpstr>
      <vt:lpstr>Retail_Rate_yr1</vt:lpstr>
      <vt:lpstr>RNS_coincidence</vt:lpstr>
      <vt:lpstr>Tier3_Overhead</vt:lpstr>
      <vt:lpstr>UEC_window_clg</vt:lpstr>
      <vt:lpstr>wx_incentive_escalation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Fischer, Maria</dc:creator>
  <cp:lastModifiedBy>Paruch, Susan</cp:lastModifiedBy>
  <cp:lastPrinted>2019-01-15T18:38:38Z</cp:lastPrinted>
  <dcterms:created xsi:type="dcterms:W3CDTF">2018-10-10T17:04:59Z</dcterms:created>
  <dcterms:modified xsi:type="dcterms:W3CDTF">2019-11-20T18:19:23Z</dcterms:modified>
</cp:coreProperties>
</file>