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9600" windowHeight="636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tatewide" sheetId="171" state="hidden" r:id="rId8"/>
    <sheet name="LEAP Scenario" sheetId="196" r:id="rId9"/>
    <sheet name="Exchange Example" sheetId="193" r:id="rId10"/>
    <sheet name="Population" sheetId="194" state="hidden" r:id="rId11"/>
  </sheets>
  <definedNames>
    <definedName name="com_target_share">'1.Current Heat'!$B$45</definedName>
    <definedName name="COP">2.5</definedName>
    <definedName name="fossilBtu">(0.95*120400)+(0.05*137570)</definedName>
    <definedName name="res_target_share">Instructions!$I$11</definedName>
    <definedName name="selected_town">" "</definedName>
    <definedName name="VTpopulation2013">627129</definedName>
    <definedName name="VTpopulation2014">626767</definedName>
    <definedName name="VTpopulation2015">626042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90" l="1"/>
  <c r="D8" i="190"/>
  <c r="C8" i="190"/>
  <c r="B8" i="190"/>
  <c r="D16" i="185"/>
  <c r="O6" i="193" l="1"/>
  <c r="P6" i="193"/>
  <c r="Q6" i="193"/>
  <c r="R6" i="193"/>
  <c r="R15" i="193"/>
  <c r="Q15" i="193"/>
  <c r="P15" i="193"/>
  <c r="O15" i="193"/>
  <c r="R13" i="193"/>
  <c r="Q13" i="193"/>
  <c r="P13" i="193"/>
  <c r="O13" i="193"/>
  <c r="P9" i="193"/>
  <c r="Q9" i="193"/>
  <c r="R9" i="193"/>
  <c r="O9" i="193"/>
  <c r="R7" i="193"/>
  <c r="Q7" i="193"/>
  <c r="P7" i="193"/>
  <c r="O7" i="193"/>
  <c r="R45" i="193" l="1"/>
  <c r="Q45" i="193"/>
  <c r="P45" i="193"/>
  <c r="O45" i="193"/>
  <c r="R42" i="193"/>
  <c r="Q42" i="193"/>
  <c r="P42" i="193"/>
  <c r="O42" i="193"/>
  <c r="R39" i="193"/>
  <c r="Q39" i="193"/>
  <c r="P39" i="193"/>
  <c r="O39" i="193"/>
  <c r="R35" i="193"/>
  <c r="R36" i="193" s="1"/>
  <c r="Q35" i="193"/>
  <c r="Q36" i="193" s="1"/>
  <c r="P35" i="193"/>
  <c r="P36" i="193" s="1"/>
  <c r="O35" i="193"/>
  <c r="O36" i="193" s="1"/>
  <c r="R24" i="193"/>
  <c r="Q24" i="193"/>
  <c r="P24" i="193"/>
  <c r="O24" i="193"/>
  <c r="R22" i="193"/>
  <c r="Q22" i="193"/>
  <c r="P22" i="193"/>
  <c r="O22" i="193"/>
  <c r="R21" i="193"/>
  <c r="Q21" i="193"/>
  <c r="P21" i="193"/>
  <c r="O21" i="193"/>
  <c r="K42" i="196"/>
  <c r="J42" i="196"/>
  <c r="I42" i="196"/>
  <c r="H42" i="196"/>
  <c r="E42" i="196"/>
  <c r="D42" i="196"/>
  <c r="C42" i="196"/>
  <c r="B42" i="196"/>
  <c r="B43" i="186"/>
  <c r="F40" i="186"/>
  <c r="F39" i="186"/>
  <c r="F37" i="186"/>
  <c r="F36" i="186"/>
  <c r="F35" i="186"/>
  <c r="F33" i="186"/>
  <c r="F32" i="186"/>
  <c r="F31" i="186"/>
  <c r="F29" i="186"/>
  <c r="F28" i="186"/>
  <c r="F27" i="186"/>
  <c r="E41" i="186"/>
  <c r="F38" i="186" s="1"/>
  <c r="F30" i="186" l="1"/>
  <c r="F34" i="186"/>
  <c r="B21" i="189" l="1"/>
  <c r="I11" i="192"/>
  <c r="D3" i="194"/>
  <c r="D4" i="194"/>
  <c r="D5" i="194"/>
  <c r="D6" i="194"/>
  <c r="D7" i="194"/>
  <c r="D8" i="194"/>
  <c r="D9" i="194"/>
  <c r="D10" i="194"/>
  <c r="D11" i="194"/>
  <c r="D12" i="194"/>
  <c r="D13" i="194"/>
  <c r="D14" i="194"/>
  <c r="D15"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3" i="194"/>
  <c r="D144"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78" i="194"/>
  <c r="D179" i="194"/>
  <c r="D180" i="194"/>
  <c r="D181" i="194"/>
  <c r="D182" i="194"/>
  <c r="D183" i="194"/>
  <c r="D184" i="194"/>
  <c r="D185" i="194"/>
  <c r="D186" i="194"/>
  <c r="D187" i="194"/>
  <c r="D188" i="194"/>
  <c r="D189" i="194"/>
  <c r="D190" i="194"/>
  <c r="D191" i="194"/>
  <c r="D192" i="194"/>
  <c r="D193" i="194"/>
  <c r="D194" i="194"/>
  <c r="D195"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D49" i="196" l="1"/>
  <c r="D5" i="190" s="1"/>
  <c r="D7" i="190" s="1"/>
  <c r="J24" i="196"/>
  <c r="J25" i="196"/>
  <c r="J26" i="196"/>
  <c r="D18" i="189" s="1"/>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C14" i="196" s="1"/>
  <c r="C24" i="188" s="1"/>
  <c r="E49" i="196"/>
  <c r="E5" i="190" s="1"/>
  <c r="K24" i="196"/>
  <c r="K25" i="196"/>
  <c r="K26" i="196"/>
  <c r="E18" i="189" s="1"/>
  <c r="K27" i="196"/>
  <c r="K28" i="196"/>
  <c r="K29" i="196"/>
  <c r="E24" i="196"/>
  <c r="E25" i="196"/>
  <c r="E26" i="196"/>
  <c r="E27" i="196"/>
  <c r="E28" i="196"/>
  <c r="E29" i="196"/>
  <c r="K4" i="196"/>
  <c r="K5" i="196"/>
  <c r="K6" i="196"/>
  <c r="K7" i="196"/>
  <c r="K8" i="196"/>
  <c r="K9" i="196"/>
  <c r="K10" i="196"/>
  <c r="E65" i="188" s="1"/>
  <c r="K11" i="196"/>
  <c r="K12" i="196"/>
  <c r="K13" i="196"/>
  <c r="B13" i="196"/>
  <c r="B12" i="196"/>
  <c r="B11" i="196"/>
  <c r="B10" i="196"/>
  <c r="B9" i="196"/>
  <c r="B8" i="196"/>
  <c r="B7" i="196"/>
  <c r="B25" i="188" s="1"/>
  <c r="B6" i="196"/>
  <c r="B5" i="196"/>
  <c r="B4" i="196"/>
  <c r="B49" i="196"/>
  <c r="B5" i="190" s="1"/>
  <c r="H24" i="196"/>
  <c r="H25" i="196"/>
  <c r="H26" i="196"/>
  <c r="B18" i="189" s="1"/>
  <c r="H27" i="196"/>
  <c r="H28" i="196"/>
  <c r="H29" i="196"/>
  <c r="B24" i="196"/>
  <c r="B25" i="196"/>
  <c r="B26" i="196"/>
  <c r="B27" i="196"/>
  <c r="B28" i="196"/>
  <c r="B29" i="196"/>
  <c r="H4" i="196"/>
  <c r="H5" i="196"/>
  <c r="B59" i="188" s="1"/>
  <c r="H6" i="196"/>
  <c r="H7" i="196"/>
  <c r="H8" i="196"/>
  <c r="H9" i="196"/>
  <c r="I26" i="196"/>
  <c r="C18" i="189" s="1"/>
  <c r="C24" i="196"/>
  <c r="C28" i="196"/>
  <c r="I6" i="196"/>
  <c r="H10" i="196"/>
  <c r="H12" i="196"/>
  <c r="E13" i="196"/>
  <c r="E11" i="196"/>
  <c r="E9" i="196"/>
  <c r="E7" i="196"/>
  <c r="E25" i="188" s="1"/>
  <c r="E5" i="196"/>
  <c r="C49" i="196"/>
  <c r="C5" i="190" s="1"/>
  <c r="I27" i="196"/>
  <c r="C25" i="196"/>
  <c r="C29" i="196"/>
  <c r="I7" i="196"/>
  <c r="I10" i="196"/>
  <c r="I12" i="196"/>
  <c r="D13" i="196"/>
  <c r="D11" i="196"/>
  <c r="D9" i="196"/>
  <c r="D7" i="196"/>
  <c r="D25" i="188" s="1"/>
  <c r="D5" i="196"/>
  <c r="I24" i="196"/>
  <c r="I28" i="196"/>
  <c r="C26" i="196"/>
  <c r="I4" i="196"/>
  <c r="I8" i="196"/>
  <c r="H11" i="196"/>
  <c r="H13" i="196"/>
  <c r="E12" i="196"/>
  <c r="E10" i="196"/>
  <c r="E8" i="196"/>
  <c r="E6" i="196"/>
  <c r="E4" i="196"/>
  <c r="I25" i="196"/>
  <c r="I29" i="196"/>
  <c r="C27" i="196"/>
  <c r="I5" i="196"/>
  <c r="C59" i="188" s="1"/>
  <c r="I9" i="196"/>
  <c r="I11" i="196"/>
  <c r="I13" i="196"/>
  <c r="D12" i="196"/>
  <c r="D10" i="196"/>
  <c r="D8" i="196"/>
  <c r="D6" i="196"/>
  <c r="D4" i="196"/>
  <c r="B72" i="188"/>
  <c r="I30" i="196" l="1"/>
  <c r="C23" i="189"/>
  <c r="C24" i="189" s="1"/>
  <c r="C62" i="188"/>
  <c r="C27" i="188"/>
  <c r="E30" i="196"/>
  <c r="D27" i="188"/>
  <c r="D62" i="188"/>
  <c r="D14" i="196"/>
  <c r="D24" i="188" s="1"/>
  <c r="E14" i="196"/>
  <c r="E24" i="188" s="1"/>
  <c r="I14" i="196"/>
  <c r="C26" i="188" s="1"/>
  <c r="C55" i="188"/>
  <c r="C56" i="188" s="1"/>
  <c r="H14" i="196"/>
  <c r="B26" i="188" s="1"/>
  <c r="B55" i="188"/>
  <c r="B56" i="188" s="1"/>
  <c r="B23" i="189"/>
  <c r="B24" i="189" s="1"/>
  <c r="H30" i="196"/>
  <c r="E59" i="188"/>
  <c r="D65" i="188"/>
  <c r="D30" i="196"/>
  <c r="C30" i="196"/>
  <c r="B62" i="188"/>
  <c r="B27" i="188"/>
  <c r="K14" i="196"/>
  <c r="E26" i="188" s="1"/>
  <c r="E55" i="188"/>
  <c r="E56" i="188" s="1"/>
  <c r="K30" i="196"/>
  <c r="E23" i="189"/>
  <c r="E24" i="189" s="1"/>
  <c r="D59" i="188"/>
  <c r="C65" i="188"/>
  <c r="B65" i="188"/>
  <c r="B30" i="196"/>
  <c r="B14" i="196"/>
  <c r="B24" i="188" s="1"/>
  <c r="E62" i="188"/>
  <c r="E27" i="188"/>
  <c r="C25" i="188"/>
  <c r="J14" i="196"/>
  <c r="D26" i="188" s="1"/>
  <c r="D55" i="188"/>
  <c r="D56" i="188" s="1"/>
  <c r="D23" i="189"/>
  <c r="D24" i="189" s="1"/>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B7" i="190" l="1"/>
  <c r="D9" i="190"/>
  <c r="E7" i="190"/>
  <c r="E9" i="190" s="1"/>
  <c r="C7" i="190"/>
  <c r="C9" i="190" s="1"/>
  <c r="O34" i="193" l="1"/>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48" i="188"/>
  <c r="O48" i="188" s="1"/>
  <c r="B46" i="188" l="1"/>
  <c r="O40" i="193" l="1"/>
  <c r="I20" i="193"/>
  <c r="J20" i="193"/>
  <c r="K20" i="193"/>
  <c r="L20" i="193"/>
  <c r="I26" i="193"/>
  <c r="J26" i="193"/>
  <c r="K26" i="193"/>
  <c r="L26" i="193"/>
  <c r="J28" i="193"/>
  <c r="K28" i="193"/>
  <c r="L28" i="193"/>
  <c r="P28" i="193"/>
  <c r="Q28" i="193"/>
  <c r="R28" i="193"/>
  <c r="F16" i="193"/>
  <c r="E16" i="193"/>
  <c r="D16" i="193"/>
  <c r="C16" i="193"/>
  <c r="L16" i="193"/>
  <c r="K16" i="193"/>
  <c r="J16" i="193"/>
  <c r="I16" i="193"/>
  <c r="R14" i="193"/>
  <c r="Q14" i="193"/>
  <c r="P14" i="193"/>
  <c r="O14" i="193"/>
  <c r="R12" i="193"/>
  <c r="Q12" i="193"/>
  <c r="P12" i="193"/>
  <c r="O12" i="193"/>
  <c r="R11" i="193"/>
  <c r="Q11" i="193"/>
  <c r="P11" i="193"/>
  <c r="O11" i="193"/>
  <c r="R10" i="193"/>
  <c r="Q10" i="193"/>
  <c r="P10" i="193"/>
  <c r="O10" i="193"/>
  <c r="O8" i="193"/>
  <c r="P8" i="193"/>
  <c r="Q8" i="193"/>
  <c r="R8" i="193"/>
  <c r="O43" i="193" l="1"/>
  <c r="O37" i="193"/>
  <c r="O46" i="193"/>
  <c r="Q16" i="193"/>
  <c r="P16" i="193"/>
  <c r="P23" i="193" s="1"/>
  <c r="O16" i="193"/>
  <c r="R16" i="193"/>
  <c r="R23" i="193" s="1"/>
  <c r="E19" i="189"/>
  <c r="Q23" i="193" l="1"/>
  <c r="Q25" i="193" s="1"/>
  <c r="Q27" i="193" s="1"/>
  <c r="Q29" i="193" s="1"/>
  <c r="Q34" i="193" s="1"/>
  <c r="O23" i="193"/>
  <c r="O25" i="193" s="1"/>
  <c r="O27" i="193" s="1"/>
  <c r="R25" i="193"/>
  <c r="R27" i="193" s="1"/>
  <c r="R29" i="193" s="1"/>
  <c r="R34" i="193" s="1"/>
  <c r="P25" i="193"/>
  <c r="P27" i="193" s="1"/>
  <c r="P29" i="193" s="1"/>
  <c r="P34" i="193" s="1"/>
  <c r="J24" i="193"/>
  <c r="K24" i="193"/>
  <c r="L24" i="193"/>
  <c r="I24" i="193"/>
  <c r="J22" i="193"/>
  <c r="K22" i="193"/>
  <c r="L22" i="193"/>
  <c r="I22" i="193"/>
  <c r="R43" i="193" l="1"/>
  <c r="R44" i="193" s="1"/>
  <c r="R37" i="193"/>
  <c r="R38" i="193" s="1"/>
  <c r="R40" i="193"/>
  <c r="R41" i="193" s="1"/>
  <c r="R46" i="193"/>
  <c r="R47" i="193" s="1"/>
  <c r="Q46" i="193"/>
  <c r="Q47" i="193" s="1"/>
  <c r="Q37" i="193"/>
  <c r="Q38" i="193" s="1"/>
  <c r="Q40" i="193"/>
  <c r="Q41" i="193" s="1"/>
  <c r="Q43" i="193"/>
  <c r="Q44" i="193" s="1"/>
  <c r="P46" i="193"/>
  <c r="P47" i="193" s="1"/>
  <c r="P37" i="193"/>
  <c r="P38" i="193" s="1"/>
  <c r="P43" i="193"/>
  <c r="P44" i="193" s="1"/>
  <c r="P40" i="193"/>
  <c r="P41" i="193" s="1"/>
  <c r="J42" i="193" l="1"/>
  <c r="K42" i="193"/>
  <c r="L42" i="193"/>
  <c r="J45" i="193"/>
  <c r="K45" i="193"/>
  <c r="L45" i="193"/>
  <c r="I45" i="193"/>
  <c r="B31" i="188"/>
  <c r="D16" i="186"/>
  <c r="B21" i="185"/>
  <c r="E25" i="189" s="1"/>
  <c r="O31" i="188" l="1"/>
  <c r="B9" i="190"/>
  <c r="K36" i="193"/>
  <c r="K35" i="193"/>
  <c r="J35" i="193"/>
  <c r="J36" i="193"/>
  <c r="I36" i="193"/>
  <c r="I35" i="193"/>
  <c r="B63" i="188"/>
  <c r="I43" i="193" s="1"/>
  <c r="I42" i="193"/>
  <c r="L35" i="193"/>
  <c r="L36" i="193"/>
  <c r="O28" i="193"/>
  <c r="I28" i="193"/>
  <c r="O21" i="189"/>
  <c r="B19" i="189"/>
  <c r="J39" i="193"/>
  <c r="K39" i="193"/>
  <c r="L39" i="193"/>
  <c r="I39" i="193"/>
  <c r="B54" i="188"/>
  <c r="B20" i="189" l="1"/>
  <c r="B22" i="189" s="1"/>
  <c r="O29" i="193"/>
  <c r="O41" i="193"/>
  <c r="O47" i="193"/>
  <c r="O38" i="193"/>
  <c r="O44" i="193"/>
  <c r="B66" i="188"/>
  <c r="I46" i="193" s="1"/>
  <c r="I34" i="193"/>
  <c r="B64" i="188"/>
  <c r="I44" i="193" s="1"/>
  <c r="B57" i="188"/>
  <c r="B58" i="188" s="1"/>
  <c r="B60" i="188"/>
  <c r="C19" i="189"/>
  <c r="D19" i="189" s="1"/>
  <c r="D20" i="189" s="1"/>
  <c r="D22" i="189" s="1"/>
  <c r="E26" i="189"/>
  <c r="E27" i="189" s="1"/>
  <c r="E20" i="189"/>
  <c r="E22" i="189" s="1"/>
  <c r="J21" i="193"/>
  <c r="K21" i="193"/>
  <c r="L21" i="193"/>
  <c r="J23" i="193"/>
  <c r="K23" i="193"/>
  <c r="I23" i="193"/>
  <c r="I21" i="193"/>
  <c r="K41" i="186"/>
  <c r="C20" i="189" l="1"/>
  <c r="C22" i="189" s="1"/>
  <c r="B61" i="188"/>
  <c r="I41" i="193" s="1"/>
  <c r="I40" i="193"/>
  <c r="I38" i="193"/>
  <c r="I37" i="193"/>
  <c r="B67" i="188"/>
  <c r="I47" i="193" s="1"/>
  <c r="B28" i="188"/>
  <c r="B30" i="188" s="1"/>
  <c r="D28" i="188"/>
  <c r="C28" i="188"/>
  <c r="B18" i="186"/>
  <c r="B4" i="186" s="1"/>
  <c r="L28" i="186"/>
  <c r="H40" i="186"/>
  <c r="H39" i="186"/>
  <c r="H38" i="186"/>
  <c r="H37" i="186"/>
  <c r="H36" i="186"/>
  <c r="H35" i="186"/>
  <c r="H34" i="186"/>
  <c r="H33" i="186"/>
  <c r="H32" i="186"/>
  <c r="H31" i="186"/>
  <c r="H30" i="186"/>
  <c r="H29" i="186"/>
  <c r="H28" i="186"/>
  <c r="H27" i="186"/>
  <c r="B36" i="185"/>
  <c r="B38" i="185" s="1"/>
  <c r="B18" i="185"/>
  <c r="B20" i="185" s="1"/>
  <c r="B45" i="186" l="1"/>
  <c r="I27" i="186"/>
  <c r="J27" i="186" s="1"/>
  <c r="C30" i="188"/>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c r="D42" i="34"/>
  <c r="D49" i="34"/>
  <c r="C42" i="34"/>
  <c r="C49" i="34"/>
  <c r="B42" i="34"/>
  <c r="B49" i="34"/>
  <c r="K30" i="34"/>
  <c r="J30" i="34"/>
  <c r="I30" i="34"/>
  <c r="H30" i="34"/>
  <c r="E30" i="34"/>
  <c r="D30" i="34"/>
  <c r="C30" i="34"/>
  <c r="B30" i="34"/>
  <c r="K14" i="34"/>
  <c r="J14" i="34"/>
  <c r="I14" i="34"/>
  <c r="H14" i="34"/>
  <c r="E14" i="34"/>
  <c r="D14" i="34"/>
  <c r="C14" i="34"/>
  <c r="B14" i="34"/>
  <c r="V4" i="196" l="1"/>
  <c r="V5" i="196"/>
  <c r="V6" i="196"/>
  <c r="D42" i="188" s="1"/>
  <c r="V7" i="196"/>
  <c r="V8" i="196"/>
  <c r="V9" i="196"/>
  <c r="V10" i="196"/>
  <c r="D77" i="188" s="1"/>
  <c r="P4" i="196"/>
  <c r="P5" i="196"/>
  <c r="P6" i="196"/>
  <c r="D38" i="188" s="1"/>
  <c r="P7" i="196"/>
  <c r="P8" i="196"/>
  <c r="P9" i="196"/>
  <c r="P10" i="196"/>
  <c r="U4" i="196"/>
  <c r="U5" i="196"/>
  <c r="U6" i="196"/>
  <c r="C42" i="188" s="1"/>
  <c r="U7" i="196"/>
  <c r="C83" i="188" s="1"/>
  <c r="U8" i="196"/>
  <c r="U9" i="196"/>
  <c r="U10" i="196"/>
  <c r="C77" i="188" s="1"/>
  <c r="O4" i="196"/>
  <c r="O5" i="196"/>
  <c r="O6" i="196"/>
  <c r="C38" i="188" s="1"/>
  <c r="O7" i="196"/>
  <c r="O8" i="196"/>
  <c r="O9" i="196"/>
  <c r="O10" i="196"/>
  <c r="W4" i="196"/>
  <c r="W5" i="196"/>
  <c r="W6" i="196"/>
  <c r="E42" i="188" s="1"/>
  <c r="W7" i="196"/>
  <c r="W8" i="196"/>
  <c r="W9" i="196"/>
  <c r="W10" i="196"/>
  <c r="E77" i="188" s="1"/>
  <c r="Q4" i="196"/>
  <c r="Q5" i="196"/>
  <c r="Q6" i="196"/>
  <c r="E38" i="188" s="1"/>
  <c r="E39" i="188" s="1"/>
  <c r="E40" i="188" s="1"/>
  <c r="Q7" i="196"/>
  <c r="Q8" i="196"/>
  <c r="Q9" i="196"/>
  <c r="Q10" i="196"/>
  <c r="T4" i="196"/>
  <c r="T5" i="196"/>
  <c r="T6" i="196"/>
  <c r="B42" i="188" s="1"/>
  <c r="T7" i="196"/>
  <c r="T8" i="196"/>
  <c r="T9" i="196"/>
  <c r="T10" i="196"/>
  <c r="B77" i="188" s="1"/>
  <c r="N4" i="196"/>
  <c r="N5" i="196"/>
  <c r="N6" i="196"/>
  <c r="B38" i="188" s="1"/>
  <c r="B39" i="188" s="1"/>
  <c r="N7" i="196"/>
  <c r="N8" i="196"/>
  <c r="N9" i="196"/>
  <c r="N10" i="196"/>
  <c r="E28" i="188"/>
  <c r="E30" i="188" s="1"/>
  <c r="L23" i="193"/>
  <c r="D32" i="188"/>
  <c r="K27" i="193"/>
  <c r="B32" i="188"/>
  <c r="I29" i="193" s="1"/>
  <c r="I27" i="193"/>
  <c r="C32" i="188"/>
  <c r="J27" i="193"/>
  <c r="B26" i="185"/>
  <c r="L41" i="186"/>
  <c r="B43" i="188" l="1"/>
  <c r="B40" i="188"/>
  <c r="C39" i="188"/>
  <c r="T11" i="196"/>
  <c r="B41" i="188" s="1"/>
  <c r="B73" i="188"/>
  <c r="B74" i="188" s="1"/>
  <c r="Q11" i="196"/>
  <c r="E37" i="188" s="1"/>
  <c r="E43" i="188" s="1"/>
  <c r="B83" i="188"/>
  <c r="B84" i="188" s="1"/>
  <c r="B85" i="188" s="1"/>
  <c r="C73" i="188"/>
  <c r="C74" i="188" s="1"/>
  <c r="U11" i="196"/>
  <c r="C41" i="188" s="1"/>
  <c r="P11" i="196"/>
  <c r="D37" i="188" s="1"/>
  <c r="D83" i="188"/>
  <c r="E73" i="188"/>
  <c r="E74" i="188" s="1"/>
  <c r="W11" i="196"/>
  <c r="E41" i="188" s="1"/>
  <c r="O11" i="196"/>
  <c r="C37" i="188" s="1"/>
  <c r="E83" i="188"/>
  <c r="N11" i="196"/>
  <c r="B37" i="188" s="1"/>
  <c r="V11" i="196"/>
  <c r="D41" i="188" s="1"/>
  <c r="D73" i="188"/>
  <c r="D74" i="188" s="1"/>
  <c r="B25" i="189"/>
  <c r="B26" i="189" s="1"/>
  <c r="B27" i="189" s="1"/>
  <c r="B5" i="185"/>
  <c r="B78" i="188"/>
  <c r="B79" i="188" s="1"/>
  <c r="C54" i="188"/>
  <c r="J29" i="193"/>
  <c r="D54" i="188"/>
  <c r="K29" i="193"/>
  <c r="L25" i="193"/>
  <c r="E44" i="188" l="1"/>
  <c r="E45" i="188" s="1"/>
  <c r="E47" i="188" s="1"/>
  <c r="E49" i="188" s="1"/>
  <c r="E72" i="188" s="1"/>
  <c r="E84" i="188" s="1"/>
  <c r="E85" i="188" s="1"/>
  <c r="E80" i="188"/>
  <c r="C40" i="188"/>
  <c r="D39" i="188"/>
  <c r="B44" i="188"/>
  <c r="B80" i="188"/>
  <c r="B81" i="188" s="1"/>
  <c r="B82" i="188" s="1"/>
  <c r="C43" i="188"/>
  <c r="B75" i="188"/>
  <c r="B76" i="188" s="1"/>
  <c r="B45" i="188"/>
  <c r="B47" i="188" s="1"/>
  <c r="B49" i="188" s="1"/>
  <c r="C25" i="189"/>
  <c r="D25" i="189" s="1"/>
  <c r="D26" i="189" s="1"/>
  <c r="D27" i="189" s="1"/>
  <c r="E81" i="188"/>
  <c r="E82" i="188" s="1"/>
  <c r="E75" i="188"/>
  <c r="E76" i="188" s="1"/>
  <c r="E78" i="188"/>
  <c r="E79" i="188" s="1"/>
  <c r="K34" i="193"/>
  <c r="D63" i="188"/>
  <c r="K43" i="193" s="1"/>
  <c r="C63" i="188"/>
  <c r="J43" i="193" s="1"/>
  <c r="J34" i="193"/>
  <c r="D57" i="188"/>
  <c r="C57" i="188"/>
  <c r="D66" i="188"/>
  <c r="D60" i="188"/>
  <c r="L27" i="193"/>
  <c r="E32" i="188"/>
  <c r="C66" i="188"/>
  <c r="C60" i="188"/>
  <c r="C80" i="188" l="1"/>
  <c r="D43" i="188"/>
  <c r="C44" i="188"/>
  <c r="C45" i="188" s="1"/>
  <c r="C47" i="188" s="1"/>
  <c r="C49" i="188" s="1"/>
  <c r="C72" i="188" s="1"/>
  <c r="D40" i="188"/>
  <c r="D64" i="188"/>
  <c r="K44" i="193" s="1"/>
  <c r="C26" i="189"/>
  <c r="C27" i="189"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C81" i="188" l="1"/>
  <c r="C82" i="188" s="1"/>
  <c r="C84" i="188"/>
  <c r="C85" i="188" s="1"/>
  <c r="C75" i="188"/>
  <c r="C76" i="188" s="1"/>
  <c r="C78" i="188"/>
  <c r="C79" i="188" s="1"/>
  <c r="D80" i="188"/>
  <c r="D44" i="188"/>
  <c r="D45" i="188"/>
  <c r="D47" i="188" s="1"/>
  <c r="D49" i="188" s="1"/>
  <c r="D72" i="188" s="1"/>
  <c r="E63" i="188"/>
  <c r="L43" i="193" s="1"/>
  <c r="L34" i="193"/>
  <c r="E57" i="188"/>
  <c r="E60" i="188"/>
  <c r="E66" i="188"/>
  <c r="D81" i="188" l="1"/>
  <c r="D82" i="188" s="1"/>
  <c r="D78" i="188"/>
  <c r="D79" i="188" s="1"/>
  <c r="D84" i="188"/>
  <c r="D85" i="188" s="1"/>
  <c r="D75" i="188"/>
  <c r="D76" i="188" s="1"/>
  <c r="E64" i="188"/>
  <c r="L44" i="193" s="1"/>
  <c r="E58" i="188"/>
  <c r="L38" i="193" s="1"/>
  <c r="L37" i="193"/>
  <c r="E67" i="188"/>
  <c r="L47" i="193" s="1"/>
  <c r="L46" i="193"/>
  <c r="E61" i="188"/>
  <c r="L41" i="193" s="1"/>
  <c r="L40" i="193"/>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<sst xmlns="http://schemas.openxmlformats.org/spreadsheetml/2006/main" count="1061" uniqueCount="517">
  <si>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</si>
  <si>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</si>
  <si>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</si>
  <si>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</si>
  <si>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</si>
  <si>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</si>
  <si>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</si>
  <si>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</si>
  <si>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</si>
  <si>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</si>
  <si>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</si>
  <si>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</si>
  <si>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</si>
  <si>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</si>
  <si>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</si>
  <si>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</si>
  <si>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</si>
  <si>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</si>
  <si>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</si>
  <si>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</si>
  <si>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</si>
  <si>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</si>
  <si>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</si>
  <si>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</si>
  <si>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</si>
  <si>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</si>
  <si>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</si>
  <si>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</si>
  <si>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</si>
  <si>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</si>
  <si>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</si>
  <si>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</si>
  <si>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</si>
  <si>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</si>
  <si>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</si>
  <si>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</si>
  <si>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</si>
  <si>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</si>
  <si>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</si>
  <si>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</si>
  <si>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</si>
  <si>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</si>
  <si>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</si>
  <si>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</si>
  <si>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</si>
  <si>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</si>
  <si>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</si>
  <si>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</si>
  <si>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</si>
  <si>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</si>
  <si>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</si>
  <si>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</si>
  <si>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</si>
  <si>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</si>
  <si>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</si>
  <si>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</si>
  <si>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</si>
  <si>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</si>
  <si>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Estimated  Consumption</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</si>
  <si>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</si>
  <si>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</si>
  <si>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</si>
  <si>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</si>
  <si>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</si>
  <si>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</si>
  <si>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</si>
  <si>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</si>
  <si>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</si>
  <si>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</si>
  <si>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</si>
  <si>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</si>
  <si>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</si>
  <si>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</si>
  <si>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</si>
  <si>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</si>
  <si>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</si>
  <si>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</si>
  <si>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</si>
  <si>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</si>
  <si>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</si>
  <si>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</si>
  <si>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</si>
  <si>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</si>
  <si>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</si>
  <si>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</si>
  <si>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</si>
  <si>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</si>
  <si>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</si>
  <si>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</si>
  <si>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</si>
  <si>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Enter the total number of commercial buildings in the area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</si>
  <si>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</si>
  <si>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</si>
  <si>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</si>
  <si>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</si>
  <si>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</si>
  <si>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</si>
  <si>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Avg number of Empl.</t>
  </si>
  <si>
    <t>Number of Empl. in State</t>
  </si>
  <si>
    <t xml:space="preserve">Number of Bldgs. in State </t>
  </si>
  <si>
    <t xml:space="preserve">Share of area Bldgs. </t>
  </si>
  <si>
    <t>This is the estimated average commercial heating load, in millions of Btu, based on the values inputed into the table</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</si>
  <si>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</si>
  <si>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</si>
  <si>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</si>
  <si>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</si>
  <si>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</si>
  <si>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</si>
  <si>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</si>
  <si>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</si>
  <si>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</si>
  <si>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</si>
  <si>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</si>
  <si>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</si>
  <si>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</si>
  <si>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</si>
  <si>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</si>
  <si>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</si>
  <si>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</si>
  <si>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</si>
  <si>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</si>
  <si>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</si>
  <si>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</si>
  <si>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</si>
  <si>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</si>
  <si>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</si>
  <si>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</si>
  <si>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</si>
  <si>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</si>
  <si>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</si>
  <si>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</si>
  <si>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</si>
  <si>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</si>
  <si>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</si>
  <si>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</si>
  <si>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</si>
  <si>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</si>
  <si>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</si>
  <si>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</si>
  <si>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</si>
  <si>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</si>
  <si>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</si>
  <si>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</si>
  <si>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</si>
  <si>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</si>
  <si>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</si>
  <si>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</si>
  <si>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</si>
  <si>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</si>
  <si>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</si>
  <si>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</si>
  <si>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</si>
  <si>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</si>
  <si>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</si>
  <si>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</si>
  <si>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</si>
  <si>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</si>
  <si>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</si>
  <si>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</si>
  <si>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</si>
  <si>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</si>
  <si>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</si>
  <si>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</si>
  <si>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</si>
  <si>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</si>
  <si>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</si>
  <si>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</si>
  <si>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</si>
  <si>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</si>
  <si>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</si>
  <si>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</si>
  <si>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</si>
  <si>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</si>
  <si>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</si>
  <si>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</si>
  <si>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</si>
  <si>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</si>
  <si>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</si>
  <si>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</si>
  <si>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</si>
  <si>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</si>
  <si>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</si>
  <si>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</si>
  <si>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</si>
  <si>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</si>
  <si>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</si>
  <si>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</si>
  <si>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</si>
  <si>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</si>
  <si>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</si>
  <si>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</si>
  <si>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</si>
  <si>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</si>
  <si>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</si>
  <si>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</si>
  <si>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</si>
  <si>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</si>
  <si>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</si>
  <si>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</si>
  <si>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</si>
  <si>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</si>
  <si>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</si>
  <si>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</si>
  <si>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</si>
  <si>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</si>
  <si>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</si>
  <si>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</si>
  <si>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</si>
  <si>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</si>
  <si>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</si>
  <si>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</si>
  <si>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</si>
  <si>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</si>
  <si>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</si>
  <si>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</si>
  <si>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</si>
  <si>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</si>
  <si>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</si>
  <si>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</si>
  <si>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</si>
  <si>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</si>
  <si>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</si>
  <si>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</si>
  <si>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</si>
  <si>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</si>
  <si>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</si>
  <si>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</si>
  <si>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</si>
  <si>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</si>
  <si>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</si>
  <si>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</si>
  <si>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</si>
  <si>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</si>
  <si>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</si>
  <si>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</si>
  <si>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</si>
  <si>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</si>
  <si>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</si>
  <si>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</si>
  <si>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</si>
  <si>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</si>
  <si>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</si>
  <si>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</si>
  <si>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</si>
  <si>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</si>
  <si>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</si>
  <si>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</si>
  <si>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</si>
  <si>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</si>
  <si>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</si>
  <si>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</si>
  <si>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</si>
  <si>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</si>
  <si>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</si>
  <si>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</si>
  <si>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</si>
  <si>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</si>
  <si>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</si>
  <si>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</si>
  <si>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</si>
  <si>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</si>
  <si>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</si>
  <si>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</si>
  <si>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</si>
  <si>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</si>
  <si>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</si>
  <si>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</si>
  <si>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</si>
  <si>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</si>
  <si>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</si>
  <si>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</si>
  <si>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</si>
  <si>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</si>
  <si>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</si>
  <si>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</si>
  <si>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</si>
  <si>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</si>
  <si>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</si>
  <si>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</si>
  <si>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</si>
  <si>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</si>
  <si>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</si>
  <si>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</si>
  <si>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</si>
  <si>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</si>
  <si>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</si>
  <si>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</si>
  <si>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</si>
  <si>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</si>
  <si>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</si>
  <si>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</si>
  <si>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</si>
  <si>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</si>
  <si>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</si>
  <si>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</si>
  <si>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</si>
  <si>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</si>
  <si>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</si>
  <si>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</si>
  <si>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</si>
  <si>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</si>
  <si>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</si>
  <si>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</si>
  <si>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</si>
  <si>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</si>
  <si>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</si>
  <si>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</si>
  <si>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</si>
  <si>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</si>
  <si>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</si>
  <si>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</si>
  <si>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</si>
  <si>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</si>
  <si>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</si>
  <si>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</si>
  <si>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</si>
  <si>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</si>
  <si>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</si>
  <si>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</si>
  <si>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</si>
  <si>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</si>
  <si>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</si>
  <si>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</si>
  <si>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</si>
  <si>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</si>
  <si>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</si>
  <si>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</si>
  <si>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</si>
  <si>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</si>
  <si>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</si>
  <si>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</si>
  <si>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</si>
  <si>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</si>
  <si>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</si>
  <si>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</si>
  <si>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</si>
  <si>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</si>
  <si>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</si>
  <si>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</si>
  <si>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</si>
  <si>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</si>
  <si>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</si>
  <si>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</si>
  <si>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</si>
  <si>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</si>
  <si>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</si>
  <si>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</si>
  <si>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</si>
  <si>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</si>
  <si>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</si>
  <si>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</si>
  <si>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</si>
  <si>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</si>
  <si>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</si>
  <si>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</si>
  <si>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</si>
  <si>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</si>
  <si>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</si>
  <si>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</si>
  <si>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</si>
  <si>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</si>
  <si>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</si>
  <si>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</si>
  <si>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</si>
  <si>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</si>
  <si>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</si>
  <si>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</si>
  <si>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</si>
  <si>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</si>
  <si>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</si>
  <si>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</si>
  <si>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</si>
  <si>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</si>
  <si>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</si>
  <si>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</si>
  <si>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</si>
  <si>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</si>
  <si>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</si>
  <si>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</si>
  <si>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</si>
  <si>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</si>
  <si>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</si>
  <si>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</si>
  <si>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</si>
  <si>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</si>
  <si>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</si>
  <si>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</si>
  <si>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</si>
  <si>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</si>
  <si>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</si>
  <si>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</si>
  <si>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</si>
  <si>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</si>
  <si>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</si>
  <si>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</si>
  <si>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</si>
  <si>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</si>
  <si>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</si>
  <si>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</si>
  <si>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</si>
  <si>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</si>
  <si>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</si>
  <si>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</si>
  <si>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</si>
  <si>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</si>
  <si>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</si>
  <si>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</si>
  <si>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St. Albans City</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</si>
  <si>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</si>
  <si>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</si>
  <si>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</si>
  <si>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</si>
  <si>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</si>
  <si>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</si>
  <si>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</si>
  <si>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</si>
  <si>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</si>
  <si>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</si>
  <si>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</si>
  <si>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</si>
  <si>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</si>
  <si>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</si>
  <si>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</si>
  <si>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</si>
  <si>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</si>
  <si>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</si>
  <si>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</si>
  <si>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</si>
  <si>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</si>
  <si>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</si>
  <si>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</si>
  <si>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</si>
  <si>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</si>
  <si>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</si>
  <si>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</si>
  <si>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</si>
  <si>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</si>
  <si>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</si>
  <si>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</si>
  <si>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</si>
  <si>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</si>
  <si>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</si>
  <si>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</si>
  <si>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</si>
  <si>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</si>
  <si>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</si>
  <si>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</si>
  <si>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</si>
  <si>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</si>
  <si>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</si>
  <si>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</si>
  <si>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</si>
  <si>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</si>
  <si>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</si>
  <si>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</si>
  <si>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</si>
  <si>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</si>
  <si>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</si>
  <si>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</si>
  <si>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</si>
  <si>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</si>
  <si>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</si>
  <si>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</si>
  <si>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</si>
  <si>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</si>
  <si>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</si>
  <si>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</si>
  <si>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</si>
  <si>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</si>
  <si>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</si>
  <si>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</si>
  <si>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</si>
  <si>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</si>
  <si>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</si>
  <si>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Population Share</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</si>
  <si>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</si>
  <si>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</si>
  <si>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</si>
  <si>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</si>
  <si>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</si>
  <si>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t>Estimated Avg.  Consumption</t>
  </si>
  <si>
    <t>Enter number of Bldgs. in area</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</si>
  <si>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</si>
  <si>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</si>
  <si>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</si>
  <si>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</si>
  <si>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 xml:space="preserve">DO NOT MODIFY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</si>
  <si>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</si>
  <si>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</si>
  <si>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</si>
  <si>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</si>
  <si>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</si>
  <si>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</si>
  <si>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</si>
  <si>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</si>
  <si>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</si>
  <si>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</si>
  <si>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</si>
  <si>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</si>
  <si>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Regardless of whether this method is used, the table below must be filled out with the appropriate VT DOL data (see above link) in order for this workbook to function properly. </t>
    </r>
  </si>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</sst>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b/>
      <sz val="48"/>
      <color theme="1"/>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280">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3" fontId="13" fillId="2" borderId="17" xfId="3"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8" xfId="5" applyNumberFormat="1" applyFont="1" applyBorder="1" applyAlignment="1">
      <alignment horizontal="center" vertical="center"/>
    </xf>
    <xf numFmtId="3" fontId="14" fillId="3" borderId="19"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7" fillId="2" borderId="13" xfId="3"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3" xfId="0" applyBorder="1"/>
    <xf numFmtId="0" fontId="0" fillId="0" borderId="24" xfId="0" applyBorder="1"/>
    <xf numFmtId="0" fontId="0" fillId="0" borderId="25"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6"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7" xfId="2" applyNumberFormat="1" applyFont="1" applyBorder="1" applyAlignment="1">
      <alignment horizontal="center"/>
    </xf>
    <xf numFmtId="3" fontId="0" fillId="0" borderId="27" xfId="0" applyNumberFormat="1" applyBorder="1" applyAlignment="1">
      <alignment horizontal="center"/>
    </xf>
    <xf numFmtId="9" fontId="22" fillId="0" borderId="29"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13" fillId="2" borderId="13" xfId="3" applyNumberFormat="1" applyFon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25" fillId="0" borderId="0" xfId="0" applyFont="1"/>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10" fontId="0" fillId="5" borderId="6" xfId="2" applyNumberFormat="1" applyFont="1" applyFill="1" applyBorder="1" applyAlignment="1">
      <alignment horizontal="left" vertical="center" wrapText="1"/>
    </xf>
    <xf numFmtId="10" fontId="0" fillId="5" borderId="7" xfId="2" applyNumberFormat="1" applyFont="1" applyFill="1" applyBorder="1" applyAlignment="1">
      <alignment horizontal="left" vertical="center" wrapText="1"/>
    </xf>
    <xf numFmtId="10" fontId="0" fillId="5" borderId="8" xfId="2" applyNumberFormat="1" applyFont="1" applyFill="1" applyBorder="1" applyAlignment="1">
      <alignment horizontal="left" vertical="center" wrapText="1"/>
    </xf>
    <xf numFmtId="0" fontId="0" fillId="5" borderId="28"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20" xfId="0" applyBorder="1" applyAlignment="1">
      <alignment horizontal="left" vertical="center"/>
    </xf>
    <xf numFmtId="0" fontId="0" fillId="0" borderId="20"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16" xfId="0" applyBorder="1" applyAlignment="1">
      <alignment horizontal="left" vertical="center"/>
    </xf>
    <xf numFmtId="0" fontId="6" fillId="0" borderId="0" xfId="0" applyFont="1" applyAlignment="1">
      <alignment horizontal="left" vertical="center"/>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1" fontId="7" fillId="2" borderId="21" xfId="3" applyNumberFormat="1" applyBorder="1" applyAlignment="1">
      <alignment horizontal="center" vertical="center"/>
    </xf>
    <xf numFmtId="1" fontId="7" fillId="2" borderId="13" xfId="3" applyNumberFormat="1" applyBorder="1" applyAlignment="1">
      <alignment horizontal="center" vertical="center"/>
    </xf>
    <xf numFmtId="1" fontId="7" fillId="2" borderId="22"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13" fillId="2" borderId="21"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2"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1">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s" displayName="towns" ref="A1:D256" totalsRowShown="0" headerRowCellStyle="Normal 9" dataCellStyle="Normal 9">
  <tableColumns count="4">
    <tableColumn id="1" name="Municipality" dataCellStyle="Normal 9"/>
    <tableColumn id="2" name="Regional Planning Commission" dataCellStyle="Normal 9"/>
    <tableColumn id="3" name="2014 Population" dataCellStyle="Normal 9"/>
    <tableColumn id="4" name="Population Share" dataDxfId="0" dataCellStyle="Percent">
      <calculatedColumnFormula>C2/SUM($C$2:$C$256)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08" t="s">
        <v>25</v>
      </c>
      <c r="B2" s="209"/>
      <c r="C2" s="209"/>
      <c r="D2" s="209"/>
      <c r="E2" s="210"/>
      <c r="G2" s="208" t="s">
        <v>30</v>
      </c>
      <c r="H2" s="209"/>
      <c r="I2" s="209"/>
      <c r="J2" s="209"/>
      <c r="K2" s="210"/>
      <c r="M2" s="208" t="s">
        <v>31</v>
      </c>
      <c r="N2" s="209"/>
      <c r="O2" s="209"/>
      <c r="P2" s="209"/>
      <c r="Q2" s="210"/>
      <c r="R2" s="10"/>
      <c r="S2" s="208" t="s">
        <v>32</v>
      </c>
      <c r="T2" s="209"/>
      <c r="U2" s="209"/>
      <c r="V2" s="209"/>
      <c r="W2" s="210"/>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08" t="s">
        <v>33</v>
      </c>
      <c r="B22" s="209"/>
      <c r="C22" s="209"/>
      <c r="D22" s="209"/>
      <c r="E22" s="210"/>
      <c r="G22" s="208" t="s">
        <v>34</v>
      </c>
      <c r="H22" s="209"/>
      <c r="I22" s="209"/>
      <c r="J22" s="209"/>
      <c r="K22" s="210"/>
      <c r="M22" s="212" t="s">
        <v>35</v>
      </c>
      <c r="N22" s="213"/>
      <c r="O22" s="213"/>
      <c r="P22" s="213"/>
      <c r="Q22" s="214"/>
      <c r="S22" s="208" t="s">
        <v>36</v>
      </c>
      <c r="T22" s="209"/>
      <c r="U22" s="209"/>
      <c r="V22" s="209"/>
      <c r="W22" s="210"/>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11" t="s">
        <v>42</v>
      </c>
      <c r="B48" s="17">
        <v>2015</v>
      </c>
      <c r="C48" s="17">
        <v>2025</v>
      </c>
      <c r="D48" s="17">
        <v>2035</v>
      </c>
      <c r="E48" s="17">
        <v>2050</v>
      </c>
    </row>
    <row r="49" spans="1:5" ht="74.25" customHeight="1" x14ac:dyDescent="0.25">
      <c r="A49" s="211"/>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E37" sqref="E37"/>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08" t="s">
        <v>25</v>
      </c>
      <c r="C4" s="209"/>
      <c r="D4" s="209"/>
      <c r="E4" s="209"/>
      <c r="F4" s="210"/>
      <c r="H4" s="208" t="s">
        <v>30</v>
      </c>
      <c r="I4" s="209"/>
      <c r="J4" s="209"/>
      <c r="K4" s="209"/>
      <c r="L4" s="210"/>
      <c r="N4" s="208" t="s">
        <v>30</v>
      </c>
      <c r="O4" s="209"/>
      <c r="P4" s="209"/>
      <c r="Q4" s="209"/>
      <c r="R4" s="210"/>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6">
        <f>I6-0.5-0.45+5</f>
        <v>6.1636075535077381</v>
      </c>
      <c r="P6" s="86">
        <f>J6-0.5-0.45+5</f>
        <v>16.880841148352857</v>
      </c>
      <c r="Q6" s="86">
        <f>K6-0.5-0.45+5</f>
        <v>28.368919850947862</v>
      </c>
      <c r="R6" s="87">
        <f>L6-0.5-0.45+5</f>
        <v>49.256335673847865</v>
      </c>
      <c r="T6" t="s">
        <v>487</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6">
        <f>I7-5</f>
        <v>170.05643737287622</v>
      </c>
      <c r="P7" s="86">
        <f>J7-5</f>
        <v>160.25924471308741</v>
      </c>
      <c r="Q7" s="86">
        <f>K7-5</f>
        <v>150.36258816842764</v>
      </c>
      <c r="R7" s="87">
        <f>L7-5</f>
        <v>145.38939392488001</v>
      </c>
      <c r="T7" t="s">
        <v>488</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6">
        <f>I9</f>
        <v>4.7494005025879771</v>
      </c>
      <c r="P9" s="86">
        <f>J9-5-2</f>
        <v>20.054176684899051</v>
      </c>
      <c r="Q9" s="86">
        <f>K9-5-2</f>
        <v>47.207817254669052</v>
      </c>
      <c r="R9" s="87">
        <f>L9-5-2</f>
        <v>68.319026818528698</v>
      </c>
      <c r="T9" t="s">
        <v>489</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6">
        <f>I13-2.5</f>
        <v>104.29934638018514</v>
      </c>
      <c r="P13" s="86">
        <f>J13-2.5</f>
        <v>84.87902285913168</v>
      </c>
      <c r="Q13" s="86">
        <f>K13-2.5</f>
        <v>45.789716104847386</v>
      </c>
      <c r="R13" s="87">
        <f>L13-2.5</f>
        <v>4.4376059697489296</v>
      </c>
      <c r="T13" t="s">
        <v>490</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6">
        <f>I15-2.25</f>
        <v>17.244921434706669</v>
      </c>
      <c r="P15" s="86">
        <f>J15-2.25</f>
        <v>33.18400898527679</v>
      </c>
      <c r="Q15" s="86">
        <f>K15-2.25</f>
        <v>44.79641754396048</v>
      </c>
      <c r="R15" s="87">
        <f>L15-2.25</f>
        <v>54.170888693047743</v>
      </c>
      <c r="T15" t="s">
        <v>491</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2" t="s">
        <v>125</v>
      </c>
      <c r="J18" s="21"/>
      <c r="K18" s="21"/>
      <c r="L18" s="21"/>
      <c r="N18" s="52" t="s">
        <v>124</v>
      </c>
    </row>
    <row r="19" spans="8:20" x14ac:dyDescent="0.25">
      <c r="I19" s="21"/>
      <c r="J19" s="21"/>
      <c r="K19" s="21"/>
      <c r="L19" s="30"/>
      <c r="O19" s="25"/>
    </row>
    <row r="20" spans="8:20" x14ac:dyDescent="0.25">
      <c r="I20" s="79">
        <f>'2.Heat Targets'!B23</f>
        <v>2015</v>
      </c>
      <c r="J20" s="80">
        <f>'2.Heat Targets'!C23</f>
        <v>2025</v>
      </c>
      <c r="K20" s="80">
        <f>'2.Heat Targets'!D23</f>
        <v>2035</v>
      </c>
      <c r="L20" s="81">
        <f>'2.Heat Targets'!E23</f>
        <v>2050</v>
      </c>
      <c r="O20" s="79">
        <v>2015</v>
      </c>
      <c r="P20" s="80">
        <v>2025</v>
      </c>
      <c r="Q20" s="80">
        <v>2035</v>
      </c>
      <c r="R20" s="81">
        <v>2050</v>
      </c>
    </row>
    <row r="21" spans="8:20" x14ac:dyDescent="0.25">
      <c r="I21" s="64">
        <f>'2.Heat Targets'!B24</f>
        <v>753637.85566720623</v>
      </c>
      <c r="J21" s="65">
        <f>'2.Heat Targets'!C24</f>
        <v>706989.29366272956</v>
      </c>
      <c r="K21" s="65">
        <f>'2.Heat Targets'!D24</f>
        <v>658426.05187448708</v>
      </c>
      <c r="L21" s="66">
        <f>'2.Heat Targets'!E24</f>
        <v>604591.22418808436</v>
      </c>
      <c r="O21" s="64">
        <f>C16*1000</f>
        <v>753637.85566720623</v>
      </c>
      <c r="P21" s="65">
        <f>D16*1000</f>
        <v>706989.29366272956</v>
      </c>
      <c r="Q21" s="65">
        <f>E16*1000</f>
        <v>658426.05187448708</v>
      </c>
      <c r="R21" s="66">
        <f>F16*1000</f>
        <v>604591.22418808436</v>
      </c>
      <c r="T21" t="str">
        <f>'2.Heat Targets'!G24</f>
        <v>Total heat energy consumed by Residential buildings in the Reference Scenario, in millions of Btu (taken from Table 1)</v>
      </c>
    </row>
    <row r="22" spans="8:20" x14ac:dyDescent="0.25">
      <c r="I22" s="64">
        <f>'2.Heat Targets'!B25</f>
        <v>4316.7326033993331</v>
      </c>
      <c r="J22" s="65">
        <f>'2.Heat Targets'!C25</f>
        <v>29003.668828369719</v>
      </c>
      <c r="K22" s="65">
        <f>'2.Heat Targets'!D25</f>
        <v>69734.129683024716</v>
      </c>
      <c r="L22" s="66">
        <f>'2.Heat Targets'!E25</f>
        <v>77129.269523180032</v>
      </c>
      <c r="O22" s="64">
        <f>(C9+C10)*(2.4-1)*1000</f>
        <v>4316.7326033993331</v>
      </c>
      <c r="P22" s="65">
        <f>(D9+D10)*(2.6-1)*1000</f>
        <v>29003.668828369719</v>
      </c>
      <c r="Q22" s="65">
        <f>(E9+E10)*(2.8-1)*1000</f>
        <v>69734.129683024716</v>
      </c>
      <c r="R22" s="66">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4">
        <f>'2.Heat Targets'!B26</f>
        <v>744984.49768343335</v>
      </c>
      <c r="J23" s="65">
        <f>'2.Heat Targets'!C26</f>
        <v>659246.62892467261</v>
      </c>
      <c r="K23" s="65">
        <f>'2.Heat Targets'!D26</f>
        <v>555555.52894670446</v>
      </c>
      <c r="L23" s="66">
        <f>'2.Heat Targets'!E26</f>
        <v>395319.21041960031</v>
      </c>
      <c r="O23" s="64">
        <f>O16*1000</f>
        <v>739284.49768343358</v>
      </c>
      <c r="P23" s="65">
        <f>P16*1000</f>
        <v>646546.62892467249</v>
      </c>
      <c r="Q23" s="65">
        <f>Q16*1000</f>
        <v>542855.52894670458</v>
      </c>
      <c r="R23" s="66">
        <f>R16*1000</f>
        <v>382619.21041960031</v>
      </c>
      <c r="T23" t="str">
        <f>'2.Heat Targets'!G26</f>
        <v>Total heat energy consumed by Residential buildings in 90x50 Scenario, in millions of Btu (taken from Table 2)</v>
      </c>
    </row>
    <row r="24" spans="8:20" x14ac:dyDescent="0.25">
      <c r="I24" s="64">
        <f>'2.Heat Targets'!B27</f>
        <v>8494.2157679793345</v>
      </c>
      <c r="J24" s="65">
        <f>'2.Heat Targets'!C27</f>
        <v>56575.05771459773</v>
      </c>
      <c r="K24" s="65">
        <f>'2.Heat Targets'!D27</f>
        <v>131456.44343969421</v>
      </c>
      <c r="L24" s="66">
        <f>'2.Heat Targets'!E27</f>
        <v>213101.3733360155</v>
      </c>
      <c r="O24" s="64">
        <f>(O9+O10)*(2.4-1)*1000</f>
        <v>8494.2157679793345</v>
      </c>
      <c r="P24" s="65">
        <f>(P9+P10)*(2.6-1)*1000</f>
        <v>45375.057714597722</v>
      </c>
      <c r="Q24" s="65">
        <f>(Q9+Q10)*(2.8-1)*1000</f>
        <v>118856.44343969421</v>
      </c>
      <c r="R24" s="66">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4">
        <f>'2.Heat Targets'!B28</f>
        <v>4475.8748191928571</v>
      </c>
      <c r="J25" s="65">
        <f>'2.Heat Targets'!C28</f>
        <v>20171.275851828919</v>
      </c>
      <c r="K25" s="65">
        <f>'2.Heat Targets'!D28</f>
        <v>41148.209171113122</v>
      </c>
      <c r="L25" s="66">
        <f>'2.Heat Targets'!E28</f>
        <v>73299.909955648531</v>
      </c>
      <c r="O25" s="64">
        <f>O21+O22-O23-O24</f>
        <v>10175.874819192624</v>
      </c>
      <c r="P25" s="65">
        <f>P21+P22-P23-P24</f>
        <v>44071.275851829043</v>
      </c>
      <c r="Q25" s="65">
        <f>Q21+Q22-Q23-Q24</f>
        <v>66448.209171113005</v>
      </c>
      <c r="R25" s="66">
        <f>R21+R22-R23-R24</f>
        <v>141531.05508351472</v>
      </c>
      <c r="T25" t="str">
        <f>'2.Heat Targets'!G28</f>
        <v>Total heat energy saved through weatherization of Residential buildings, in millions of Btu</v>
      </c>
    </row>
    <row r="26" spans="8:20" x14ac:dyDescent="0.25">
      <c r="I26" s="279">
        <f>'2.Heat Targets'!B29</f>
        <v>27.5</v>
      </c>
      <c r="J26" s="279">
        <f>'2.Heat Targets'!C29</f>
        <v>0</v>
      </c>
      <c r="K26" s="279">
        <f>'2.Heat Targets'!D29</f>
        <v>0</v>
      </c>
      <c r="L26" s="279">
        <f>'2.Heat Targets'!E29</f>
        <v>0</v>
      </c>
      <c r="O26" s="279">
        <f>'2.Heat Targets'!B29</f>
        <v>27.5</v>
      </c>
      <c r="P26" s="279"/>
      <c r="Q26" s="279"/>
      <c r="R26" s="279"/>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4">
        <f>'2.Heat Targets'!B30</f>
        <v>162.75908433428572</v>
      </c>
      <c r="J27" s="65">
        <f>'2.Heat Targets'!C30</f>
        <v>733.50094006650613</v>
      </c>
      <c r="K27" s="65">
        <f>'2.Heat Targets'!D30</f>
        <v>1496.2985153132045</v>
      </c>
      <c r="L27" s="66">
        <f>'2.Heat Targets'!E30</f>
        <v>2665.4512711144921</v>
      </c>
      <c r="O27" s="64">
        <f>O25/$O$26</f>
        <v>370.0318116070045</v>
      </c>
      <c r="P27" s="65">
        <f>P25/$O$26</f>
        <v>1602.5918491574198</v>
      </c>
      <c r="Q27" s="65">
        <f>Q25/$O$26</f>
        <v>2416.2985153132004</v>
      </c>
      <c r="R27" s="66">
        <f>R25/$O$26</f>
        <v>5146.5838212187173</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7">
        <f>'2.Heat Targets'!B31</f>
        <v>5000</v>
      </c>
      <c r="J28" s="207">
        <f>'2.Heat Targets'!C31</f>
        <v>5500</v>
      </c>
      <c r="K28" s="207">
        <f>'2.Heat Targets'!D31</f>
        <v>6000</v>
      </c>
      <c r="L28" s="207">
        <f>'2.Heat Targets'!E31</f>
        <v>6500</v>
      </c>
      <c r="O28" s="207">
        <f>'2.Heat Targets'!B31</f>
        <v>5000</v>
      </c>
      <c r="P28" s="207">
        <f>'2.Heat Targets'!C31</f>
        <v>5500</v>
      </c>
      <c r="Q28" s="207">
        <f>'2.Heat Targets'!D31</f>
        <v>6000</v>
      </c>
      <c r="R28" s="207">
        <f>'2.Heat Targets'!E31</f>
        <v>6500</v>
      </c>
      <c r="T28" t="str">
        <f>'2.Heat Targets'!G31</f>
        <v>Enter a projection of the number of future residences in the area by each year.</v>
      </c>
    </row>
    <row r="29" spans="8:20" x14ac:dyDescent="0.25">
      <c r="I29" s="88">
        <f>'2.Heat Targets'!B32</f>
        <v>3.2551816866857146E-2</v>
      </c>
      <c r="J29" s="89">
        <f>'2.Heat Targets'!C32</f>
        <v>0.13336380728481931</v>
      </c>
      <c r="K29" s="89">
        <f>'2.Heat Targets'!D32</f>
        <v>0.24938308588553407</v>
      </c>
      <c r="L29" s="90">
        <f>'2.Heat Targets'!E32</f>
        <v>0.41006942632530646</v>
      </c>
      <c r="O29" s="106">
        <f>O27/O28</f>
        <v>7.4006362321400898E-2</v>
      </c>
      <c r="P29" s="107">
        <f>P27/P28</f>
        <v>0.29138033621043996</v>
      </c>
      <c r="Q29" s="107">
        <f>Q27/Q28</f>
        <v>0.40271641921886675</v>
      </c>
      <c r="R29" s="108">
        <f>R27/R28</f>
        <v>0.79178212634134115</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2" t="s">
        <v>164</v>
      </c>
      <c r="N31" s="52" t="s">
        <v>165</v>
      </c>
    </row>
    <row r="33" spans="9:20" x14ac:dyDescent="0.25">
      <c r="I33" s="79">
        <f>'2.Heat Targets'!B53</f>
        <v>2015</v>
      </c>
      <c r="J33" s="80">
        <f>'2.Heat Targets'!C53</f>
        <v>2025</v>
      </c>
      <c r="K33" s="80">
        <f>'2.Heat Targets'!D53</f>
        <v>2035</v>
      </c>
      <c r="L33" s="81">
        <f>'2.Heat Targets'!E53</f>
        <v>2050</v>
      </c>
      <c r="O33" s="79">
        <v>2015</v>
      </c>
      <c r="P33" s="80">
        <v>2025</v>
      </c>
      <c r="Q33" s="80">
        <v>2035</v>
      </c>
      <c r="R33" s="81">
        <v>2050</v>
      </c>
    </row>
    <row r="34" spans="9:20" x14ac:dyDescent="0.25">
      <c r="I34" s="95">
        <f>'2.Heat Targets'!B54</f>
        <v>110</v>
      </c>
      <c r="J34" s="96">
        <f>'2.Heat Targets'!C54</f>
        <v>106.33249529966746</v>
      </c>
      <c r="K34" s="96">
        <f>'2.Heat Targets'!D54</f>
        <v>103.14196513814781</v>
      </c>
      <c r="L34" s="97">
        <f>'2.Heat Targets'!E54</f>
        <v>98.723090776054079</v>
      </c>
      <c r="O34" s="109">
        <f>'1.Current Heat'!B10</f>
        <v>110</v>
      </c>
      <c r="P34" s="110">
        <f>P29*($O$34-$O$26)+(1-P29)*$O$34</f>
        <v>101.9870407542129</v>
      </c>
      <c r="Q34" s="110">
        <f>Q29*($O$34-$O$26)+(1-Q29)*$O$34</f>
        <v>98.925298471481156</v>
      </c>
      <c r="R34" s="112">
        <f>R29*($O$34-$O$26)+(1-R29)*$O$34</f>
        <v>88.225991525613111</v>
      </c>
      <c r="T34" t="str">
        <f>'2.Heat Targets'!G54</f>
        <v>This is a projection of the average area residential heating load, in millions of Btu, computed based on values inputted above and in the "1.Current Heat" tab</v>
      </c>
    </row>
    <row r="35" spans="9:20" x14ac:dyDescent="0.25">
      <c r="I35" s="83">
        <f>'2.Heat Targets'!B55</f>
        <v>274893.3118120947</v>
      </c>
      <c r="J35" s="84">
        <f>'2.Heat Targets'!C55</f>
        <v>208774.69434412906</v>
      </c>
      <c r="K35" s="84">
        <f>'2.Heat Targets'!D55</f>
        <v>145490.79759498563</v>
      </c>
      <c r="L35" s="85">
        <f>'2.Heat Targets'!E55</f>
        <v>45206.335673847869</v>
      </c>
      <c r="O35" s="83">
        <f>(O6+O11+O14)*1000</f>
        <v>278943.3118120947</v>
      </c>
      <c r="P35" s="83">
        <f>(P6+P11+P14)*1000</f>
        <v>212824.69434412909</v>
      </c>
      <c r="Q35" s="83">
        <f>(Q6+Q11+Q14)*1000</f>
        <v>149540.79759498563</v>
      </c>
      <c r="R35" s="101">
        <f>(R6+R11+R14)*1000</f>
        <v>49256.335673847861</v>
      </c>
      <c r="T35" t="str">
        <f>'2.Heat Targets'!G55</f>
        <v>Total biofuel-blended heat energy consumed by Residences in 90x50 Scenario, in millions of Btu (taken from Table 2)</v>
      </c>
    </row>
    <row r="36" spans="9:20" x14ac:dyDescent="0.25">
      <c r="I36" s="98">
        <f>'2.Heat Targets'!B56</f>
        <v>7.6888285843509721E-3</v>
      </c>
      <c r="J36" s="99">
        <f>'2.Heat Targets'!C56</f>
        <v>6.1457837065269173E-2</v>
      </c>
      <c r="K36" s="99">
        <f>'2.Heat Targets'!D56</f>
        <v>0.16715091437361132</v>
      </c>
      <c r="L36" s="100">
        <f>'2.Heat Targets'!E56</f>
        <v>1</v>
      </c>
      <c r="O36" s="98">
        <f>O6*1000/O35</f>
        <v>2.2096272943298762E-2</v>
      </c>
      <c r="P36" s="98">
        <f>P6*1000/P35</f>
        <v>7.931805658349593E-2</v>
      </c>
      <c r="Q36" s="98">
        <f>Q6*1000/Q35</f>
        <v>0.18970689141154562</v>
      </c>
      <c r="R36" s="113">
        <f>R6*1000/R35</f>
        <v>1</v>
      </c>
      <c r="T36" t="str">
        <f>'2.Heat Targets'!G56</f>
        <v>This formula computes the biofuel share of biofuel-blended heat consumed by Residences in the 90x50 scenario.</v>
      </c>
    </row>
    <row r="37" spans="9:20" x14ac:dyDescent="0.25">
      <c r="I37" s="64">
        <f>'2.Heat Targets'!B57</f>
        <v>2499.030107382679</v>
      </c>
      <c r="J37" s="65">
        <f>'2.Heat Targets'!C57</f>
        <v>1963.4138534580406</v>
      </c>
      <c r="K37" s="65">
        <f>'2.Heat Targets'!D57</f>
        <v>1410.5877990604117</v>
      </c>
      <c r="L37" s="66">
        <f>'2.Heat Targets'!E57</f>
        <v>457.91045760910231</v>
      </c>
      <c r="O37" s="64">
        <f>O35/O34</f>
        <v>2535.848289200861</v>
      </c>
      <c r="P37" s="64">
        <f>P35/P34</f>
        <v>2086.7817398196025</v>
      </c>
      <c r="Q37" s="64">
        <f>Q35/Q34</f>
        <v>1511.6537418190985</v>
      </c>
      <c r="R37" s="114">
        <f>R35/R34</f>
        <v>558.29733190981631</v>
      </c>
      <c r="T37" t="str">
        <f>'2.Heat Targets'!G57</f>
        <v>This formula computes an estimate the number of residences using biofuel-blended heat energy in the 90x50 scenario based on values inputted in the "1.Current Heat" tab.</v>
      </c>
    </row>
    <row r="38" spans="9:20" x14ac:dyDescent="0.25">
      <c r="I38" s="67">
        <f>'2.Heat Targets'!B58</f>
        <v>0.4998060214765358</v>
      </c>
      <c r="J38" s="68">
        <f>'2.Heat Targets'!C58</f>
        <v>0.35698433699237103</v>
      </c>
      <c r="K38" s="68">
        <f>'2.Heat Targets'!D58</f>
        <v>0.23509796651006862</v>
      </c>
      <c r="L38" s="69">
        <f>'2.Heat Targets'!E58</f>
        <v>7.0447762709092657E-2</v>
      </c>
      <c r="O38" s="111">
        <f>O37/O28</f>
        <v>0.50716965784017221</v>
      </c>
      <c r="P38" s="111">
        <f>P37/P28</f>
        <v>0.37941486178538225</v>
      </c>
      <c r="Q38" s="111">
        <f>Q37/Q28</f>
        <v>0.2519422903031831</v>
      </c>
      <c r="R38" s="115">
        <f>R37/R28</f>
        <v>8.5891897216894816E-2</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3">
        <f>'2.Heat Targets'!B59</f>
        <v>194551.35880758287</v>
      </c>
      <c r="J39" s="84">
        <f>'2.Heat Targets'!C59</f>
        <v>200693.25369836419</v>
      </c>
      <c r="K39" s="84">
        <f>'2.Heat Targets'!D59</f>
        <v>202409.00571238811</v>
      </c>
      <c r="L39" s="85">
        <f>'2.Heat Targets'!E59</f>
        <v>206810.28261792776</v>
      </c>
      <c r="O39" s="83">
        <f>(O7+O15)*1000</f>
        <v>187301.35880758287</v>
      </c>
      <c r="P39" s="83">
        <f>(P7+P15)*1000</f>
        <v>193443.25369836419</v>
      </c>
      <c r="Q39" s="83">
        <f>(Q7+Q15)*1000</f>
        <v>195159.00571238811</v>
      </c>
      <c r="R39" s="101">
        <f>(R7+R15)*1000</f>
        <v>199560.28261792776</v>
      </c>
      <c r="T39" t="str">
        <f>'2.Heat Targets'!G59</f>
        <v>Total wood heat energy consumed by area residences in 90x50 Scenario, in millions of Btu (taken from Table 2)</v>
      </c>
    </row>
    <row r="40" spans="9:20" x14ac:dyDescent="0.25">
      <c r="I40" s="64">
        <f>'2.Heat Targets'!B60</f>
        <v>1768.6487164325715</v>
      </c>
      <c r="J40" s="65">
        <f>'2.Heat Targets'!C60</f>
        <v>1887.4122452667752</v>
      </c>
      <c r="K40" s="65">
        <f>'2.Heat Targets'!D60</f>
        <v>1962.4311543927106</v>
      </c>
      <c r="L40" s="66">
        <f>'2.Heat Targets'!E60</f>
        <v>2094.8521869828951</v>
      </c>
      <c r="O40" s="64">
        <f>O39/O34</f>
        <v>1702.7396255234808</v>
      </c>
      <c r="P40" s="64">
        <f>P39/P34</f>
        <v>1896.7434712078691</v>
      </c>
      <c r="Q40" s="64">
        <f>Q39/Q34</f>
        <v>1972.7916794575035</v>
      </c>
      <c r="R40" s="114">
        <f>R39/R34</f>
        <v>2261.9216759949127</v>
      </c>
      <c r="T40" t="str">
        <f>'2.Heat Targets'!G60</f>
        <v>This formula computes an estimate of the number of area residences using Wood heat energy in the 90x50 scenario based on values inputted above and in the "1.Current Heat" tab.</v>
      </c>
    </row>
    <row r="41" spans="9:20" x14ac:dyDescent="0.25">
      <c r="I41" s="67">
        <f>'2.Heat Targets'!B61</f>
        <v>0.3537297432865143</v>
      </c>
      <c r="J41" s="68">
        <f>'2.Heat Targets'!C61</f>
        <v>0.34316586277577732</v>
      </c>
      <c r="K41" s="68">
        <f>'2.Heat Targets'!D61</f>
        <v>0.32707185906545178</v>
      </c>
      <c r="L41" s="69">
        <f>'2.Heat Targets'!E61</f>
        <v>0.32228495184352235</v>
      </c>
      <c r="O41" s="111">
        <f>O40/O28</f>
        <v>0.34054792510469617</v>
      </c>
      <c r="P41" s="111">
        <f>P40/P28</f>
        <v>0.34486244931052168</v>
      </c>
      <c r="Q41" s="111">
        <f>Q40/Q28</f>
        <v>0.32879861324291726</v>
      </c>
      <c r="R41" s="115">
        <f>R40/R28</f>
        <v>0.3479879501530635</v>
      </c>
      <c r="T41" t="str">
        <f>'2.Heat Targets'!G61</f>
        <v>This formula computes the estimated share of area residences using Wood heat  in the 90x50 scenario, based on values inputted in the "1.Current Heat" tab.</v>
      </c>
    </row>
    <row r="42" spans="9:20" x14ac:dyDescent="0.25">
      <c r="I42" s="83">
        <f>'2.Heat Targets'!B62</f>
        <v>6067.2969771280968</v>
      </c>
      <c r="J42" s="84">
        <f>'2.Heat Targets'!C62</f>
        <v>35359.411071623574</v>
      </c>
      <c r="K42" s="84">
        <f>'2.Heat Targets'!D62</f>
        <v>73031.357466496789</v>
      </c>
      <c r="L42" s="85">
        <f>'2.Heat Targets'!E62</f>
        <v>106550.68666800775</v>
      </c>
      <c r="O42" s="83">
        <f>(O9+O10)*1000</f>
        <v>6067.2969771280968</v>
      </c>
      <c r="P42" s="83">
        <f>(P9+P10)*1000</f>
        <v>28359.411071623577</v>
      </c>
      <c r="Q42" s="83">
        <f>(Q9+Q10)*1000</f>
        <v>66031.357466496789</v>
      </c>
      <c r="R42" s="101">
        <f>(R9+R10)*1000</f>
        <v>99550.686668007751</v>
      </c>
      <c r="T42" t="str">
        <f>'2.Heat Targets'!G62</f>
        <v>Total heat pump  energy consumed by area residences in 90x50 Scenario, in millions of Btu (taken from Table 2)</v>
      </c>
    </row>
    <row r="43" spans="9:20" x14ac:dyDescent="0.25">
      <c r="I43" s="64">
        <f>'2.Heat Targets'!B63</f>
        <v>189.11055513126533</v>
      </c>
      <c r="J43" s="65">
        <f>'2.Heat Targets'!C63</f>
        <v>1152.7923930451116</v>
      </c>
      <c r="K43" s="65">
        <f>'2.Heat Targets'!D63</f>
        <v>2478.2323159189023</v>
      </c>
      <c r="L43" s="66">
        <f>'2.Heat Targets'!E63</f>
        <v>3809.2531758008217</v>
      </c>
      <c r="O43" s="64">
        <f>O42/((0.7*O34)/2.4)</f>
        <v>189.11055513126533</v>
      </c>
      <c r="P43" s="114">
        <f>P42/((0.75*P34)/2.6)</f>
        <v>963.97173916661518</v>
      </c>
      <c r="Q43" s="114">
        <f>Q42/((0.8*Q34)/2.8)</f>
        <v>2336.2047393707344</v>
      </c>
      <c r="R43" s="66">
        <f>R42/((0.85*R34)/3)</f>
        <v>3982.4473336591827</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7">
        <f>'2.Heat Targets'!B64</f>
        <v>3.7822111026253068E-2</v>
      </c>
      <c r="J44" s="68">
        <f>'2.Heat Targets'!C64</f>
        <v>0.20959861691729301</v>
      </c>
      <c r="K44" s="68">
        <f>'2.Heat Targets'!D64</f>
        <v>0.41303871931981706</v>
      </c>
      <c r="L44" s="69">
        <f>'2.Heat Targets'!E64</f>
        <v>0.58603895012320339</v>
      </c>
      <c r="O44" s="111">
        <f>O43/O28</f>
        <v>3.7822111026253068E-2</v>
      </c>
      <c r="P44" s="111">
        <f>P43/P28</f>
        <v>0.17526758893938457</v>
      </c>
      <c r="Q44" s="111">
        <f>Q43/Q28</f>
        <v>0.38936745656178906</v>
      </c>
      <c r="R44" s="115">
        <f>R43/R28</f>
        <v>0.61268420517833577</v>
      </c>
      <c r="T44" t="str">
        <f>'2.Heat Targets'!G64</f>
        <v>This formula computes the estimated share of area residences using Heat Pumps in the 90x50 scenario based on values inputted above and in the "1.Current Heat" tab.</v>
      </c>
    </row>
    <row r="45" spans="9:20" x14ac:dyDescent="0.25">
      <c r="I45" s="83">
        <f>'2.Heat Targets'!B65</f>
        <v>239533.90074047112</v>
      </c>
      <c r="J45" s="84">
        <f>'2.Heat Targets'!C65</f>
        <v>189453.83470794657</v>
      </c>
      <c r="K45" s="84">
        <f>'2.Heat Targets'!D65</f>
        <v>120376.16666507014</v>
      </c>
      <c r="L45" s="85">
        <f>'2.Heat Targets'!E65</f>
        <v>32425.226467930486</v>
      </c>
      <c r="O45" s="83">
        <f>(O12+O13)*1000</f>
        <v>237033.90074047112</v>
      </c>
      <c r="P45" s="83">
        <f>(P12+P13)*1000</f>
        <v>186953.83470794657</v>
      </c>
      <c r="Q45" s="83">
        <f>(Q12+Q13)*1000</f>
        <v>117876.16666507014</v>
      </c>
      <c r="R45" s="101">
        <f>(R12+R13)*1000</f>
        <v>29925.226467930483</v>
      </c>
      <c r="T45" t="str">
        <f>'2.Heat Targets'!G65</f>
        <v>Total fossil heat energy consumed by Residences in 90x50 Scenario, in millions of Btu (taken from Table 2)</v>
      </c>
    </row>
    <row r="46" spans="9:20" x14ac:dyDescent="0.25">
      <c r="I46" s="64">
        <f>'2.Heat Targets'!B66</f>
        <v>2177.5809158224647</v>
      </c>
      <c r="J46" s="65">
        <f>'2.Heat Targets'!C66</f>
        <v>1781.7115471053849</v>
      </c>
      <c r="K46" s="65">
        <f>'2.Heat Targets'!D66</f>
        <v>1167.0920415743381</v>
      </c>
      <c r="L46" s="66">
        <f>'2.Heat Targets'!E66</f>
        <v>328.44622481973016</v>
      </c>
      <c r="O46" s="64">
        <f>O45/O34</f>
        <v>2154.8536430951922</v>
      </c>
      <c r="P46" s="64">
        <f>P45/P34</f>
        <v>1833.1136321378542</v>
      </c>
      <c r="Q46" s="64">
        <f>Q45/Q34</f>
        <v>1191.5674603605291</v>
      </c>
      <c r="R46" s="114">
        <f>R45/R34</f>
        <v>339.18832705034339</v>
      </c>
      <c r="T46" t="str">
        <f>'2.Heat Targets'!G66</f>
        <v>This formula computes the estimates number of area residences using fossil heat in the 90x50 scenario based on values inputted in the "1.Current Heat" tab.</v>
      </c>
    </row>
    <row r="47" spans="9:20" x14ac:dyDescent="0.25">
      <c r="I47" s="67">
        <f>'2.Heat Targets'!B67</f>
        <v>0.43551618316449292</v>
      </c>
      <c r="J47" s="68">
        <f>'2.Heat Targets'!C67</f>
        <v>0.32394755401916087</v>
      </c>
      <c r="K47" s="68">
        <f>'2.Heat Targets'!D67</f>
        <v>0.19451534026238967</v>
      </c>
      <c r="L47" s="69">
        <f>'2.Heat Targets'!E67</f>
        <v>5.0530188433804642E-2</v>
      </c>
      <c r="O47" s="111">
        <f>O46/O28</f>
        <v>0.43097072861903846</v>
      </c>
      <c r="P47" s="111">
        <f>P46/P28</f>
        <v>0.33329338766142802</v>
      </c>
      <c r="Q47" s="111">
        <f>Q46/Q28</f>
        <v>0.19859457672675485</v>
      </c>
      <c r="R47" s="115">
        <f>R46/R28</f>
        <v>5.2182819546206675E-2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6"/>
  <sheetViews>
    <sheetView workbookViewId="0">
      <selection activeCell="H28" sqref="H28"/>
    </sheetView>
  </sheetViews>
  <sheetFormatPr defaultRowHeight="15" x14ac:dyDescent="0.25"/>
  <cols>
    <col min="1" max="1" width="19.5703125" bestFit="1" customWidth="1"/>
    <col min="2" max="2" width="55.140625" bestFit="1" customWidth="1"/>
    <col min="3" max="3" width="19.140625" customWidth="1"/>
    <col min="4" max="4" width="20.140625" customWidth="1"/>
  </cols>
  <sheetData>
    <row r="1" spans="1:4" ht="15.75" x14ac:dyDescent="0.25">
      <c r="A1" s="190" t="s">
        <v>472</v>
      </c>
      <c r="B1" s="190" t="s">
        <v>473</v>
      </c>
      <c r="C1" s="190" t="s">
        <v>475</v>
      </c>
      <c r="D1" s="193" t="s">
        <v>474</v>
      </c>
    </row>
    <row r="2" spans="1:4" ht="15.75" x14ac:dyDescent="0.25">
      <c r="A2" s="190" t="s">
        <v>206</v>
      </c>
      <c r="B2" s="190" t="s">
        <v>207</v>
      </c>
      <c r="C2" s="190">
        <v>1415</v>
      </c>
      <c r="D2" s="192">
        <f>C2/SUM($C$2:$C$256)</f>
        <v>2.2590914461059009E-3</v>
      </c>
    </row>
    <row r="3" spans="1:4" ht="15.75" x14ac:dyDescent="0.25">
      <c r="A3" s="190" t="s">
        <v>208</v>
      </c>
      <c r="B3" s="190" t="s">
        <v>209</v>
      </c>
      <c r="C3" s="190">
        <v>893</v>
      </c>
      <c r="D3" s="192">
        <f t="shared" ref="D3:D66" si="0">C3/SUM($C$2:$C$256)</f>
        <v>1.4257022341855616E-3</v>
      </c>
    </row>
    <row r="4" spans="1:4" ht="15.75" x14ac:dyDescent="0.25">
      <c r="A4" s="190" t="s">
        <v>210</v>
      </c>
      <c r="B4" s="190" t="s">
        <v>211</v>
      </c>
      <c r="C4" s="190">
        <v>1623</v>
      </c>
      <c r="D4" s="192">
        <f t="shared" si="0"/>
        <v>2.5911699060281821E-3</v>
      </c>
    </row>
    <row r="5" spans="1:4" ht="15.75" x14ac:dyDescent="0.25">
      <c r="A5" s="190" t="s">
        <v>212</v>
      </c>
      <c r="B5" s="190" t="s">
        <v>213</v>
      </c>
      <c r="C5" s="190">
        <v>425</v>
      </c>
      <c r="D5" s="192">
        <f t="shared" si="0"/>
        <v>6.7852569936042962E-4</v>
      </c>
    </row>
    <row r="6" spans="1:4" ht="15.75" x14ac:dyDescent="0.25">
      <c r="A6" s="190" t="s">
        <v>214</v>
      </c>
      <c r="B6" s="190" t="s">
        <v>215</v>
      </c>
      <c r="C6" s="190">
        <v>2354</v>
      </c>
      <c r="D6" s="192">
        <f t="shared" si="0"/>
        <v>3.7582341089281209E-3</v>
      </c>
    </row>
    <row r="7" spans="1:4" ht="15.75" x14ac:dyDescent="0.25">
      <c r="A7" s="190" t="s">
        <v>216</v>
      </c>
      <c r="B7" s="190" t="s">
        <v>217</v>
      </c>
      <c r="C7" s="190">
        <v>402</v>
      </c>
      <c r="D7" s="192">
        <f t="shared" si="0"/>
        <v>6.4180548504210052E-4</v>
      </c>
    </row>
    <row r="8" spans="1:4" ht="15.75" x14ac:dyDescent="0.25">
      <c r="A8" s="190" t="s">
        <v>218</v>
      </c>
      <c r="B8" s="190" t="s">
        <v>209</v>
      </c>
      <c r="C8" s="190">
        <v>19</v>
      </c>
      <c r="D8" s="192">
        <f t="shared" si="0"/>
        <v>3.0334090089054504E-5</v>
      </c>
    </row>
    <row r="9" spans="1:4" ht="15.75" x14ac:dyDescent="0.25">
      <c r="A9" s="190" t="s">
        <v>219</v>
      </c>
      <c r="B9" s="190" t="s">
        <v>209</v>
      </c>
      <c r="C9" s="190">
        <v>0</v>
      </c>
      <c r="D9" s="192">
        <f t="shared" si="0"/>
        <v>0</v>
      </c>
    </row>
    <row r="10" spans="1:4" ht="15.75" x14ac:dyDescent="0.25">
      <c r="A10" s="190" t="s">
        <v>220</v>
      </c>
      <c r="B10" s="190" t="s">
        <v>211</v>
      </c>
      <c r="C10" s="190">
        <v>1551</v>
      </c>
      <c r="D10" s="192">
        <f t="shared" si="0"/>
        <v>2.4762196699012386E-3</v>
      </c>
    </row>
    <row r="11" spans="1:4" ht="15.75" x14ac:dyDescent="0.25">
      <c r="A11" s="190" t="s">
        <v>221</v>
      </c>
      <c r="B11" s="190" t="s">
        <v>213</v>
      </c>
      <c r="C11" s="190">
        <v>234</v>
      </c>
      <c r="D11" s="192">
        <f t="shared" si="0"/>
        <v>3.73588267412566E-4</v>
      </c>
    </row>
    <row r="12" spans="1:4" ht="15.75" x14ac:dyDescent="0.25">
      <c r="A12" s="190" t="s">
        <v>222</v>
      </c>
      <c r="B12" s="190" t="s">
        <v>223</v>
      </c>
      <c r="C12" s="190">
        <v>899</v>
      </c>
      <c r="D12" s="192">
        <f t="shared" si="0"/>
        <v>1.4352814205294735E-3</v>
      </c>
    </row>
    <row r="13" spans="1:4" ht="15.75" x14ac:dyDescent="0.25">
      <c r="A13" s="190" t="s">
        <v>224</v>
      </c>
      <c r="B13" s="190" t="s">
        <v>209</v>
      </c>
      <c r="C13" s="190">
        <v>1648</v>
      </c>
      <c r="D13" s="192">
        <f t="shared" si="0"/>
        <v>2.6310831824611484E-3</v>
      </c>
    </row>
    <row r="14" spans="1:4" ht="15.75" x14ac:dyDescent="0.25">
      <c r="A14" s="190" t="s">
        <v>225</v>
      </c>
      <c r="B14" s="190" t="s">
        <v>226</v>
      </c>
      <c r="C14" s="190">
        <v>8955</v>
      </c>
      <c r="D14" s="192">
        <f t="shared" si="0"/>
        <v>1.4296935618288582E-2</v>
      </c>
    </row>
    <row r="15" spans="1:4" ht="15.75" x14ac:dyDescent="0.25">
      <c r="A15" s="190" t="s">
        <v>227</v>
      </c>
      <c r="B15" s="190" t="s">
        <v>226</v>
      </c>
      <c r="C15" s="190">
        <v>7908</v>
      </c>
      <c r="D15" s="192">
        <f t="shared" si="0"/>
        <v>1.2625367601275948E-2</v>
      </c>
    </row>
    <row r="16" spans="1:4" ht="15.75" x14ac:dyDescent="0.25">
      <c r="A16" s="190" t="s">
        <v>228</v>
      </c>
      <c r="B16" s="190" t="s">
        <v>209</v>
      </c>
      <c r="C16" s="190">
        <v>2766</v>
      </c>
      <c r="D16" s="192">
        <f t="shared" si="0"/>
        <v>4.4160049045434083E-3</v>
      </c>
    </row>
    <row r="17" spans="1:4" ht="15.75" x14ac:dyDescent="0.25">
      <c r="A17" s="190" t="s">
        <v>229</v>
      </c>
      <c r="B17" s="190" t="s">
        <v>230</v>
      </c>
      <c r="C17" s="190">
        <v>364</v>
      </c>
      <c r="D17" s="192">
        <f t="shared" si="0"/>
        <v>5.8113730486399149E-4</v>
      </c>
    </row>
    <row r="18" spans="1:4" ht="15.75" x14ac:dyDescent="0.25">
      <c r="A18" s="190" t="s">
        <v>231</v>
      </c>
      <c r="B18" s="190" t="s">
        <v>215</v>
      </c>
      <c r="C18" s="190">
        <v>15575</v>
      </c>
      <c r="D18" s="192">
        <f t="shared" si="0"/>
        <v>2.4865971217738099E-2</v>
      </c>
    </row>
    <row r="19" spans="1:4" ht="15.75" x14ac:dyDescent="0.25">
      <c r="A19" s="190" t="s">
        <v>232</v>
      </c>
      <c r="B19" s="190" t="s">
        <v>233</v>
      </c>
      <c r="C19" s="190">
        <v>1065</v>
      </c>
      <c r="D19" s="192">
        <f t="shared" si="0"/>
        <v>1.7003055760443709E-3</v>
      </c>
    </row>
    <row r="20" spans="1:4" ht="15.75" x14ac:dyDescent="0.25">
      <c r="A20" s="190" t="s">
        <v>234</v>
      </c>
      <c r="B20" s="190" t="s">
        <v>211</v>
      </c>
      <c r="C20" s="190">
        <v>1760</v>
      </c>
      <c r="D20" s="192">
        <f t="shared" si="0"/>
        <v>2.8098946608808382E-3</v>
      </c>
    </row>
    <row r="21" spans="1:4" ht="15.75" x14ac:dyDescent="0.25">
      <c r="A21" s="190" t="s">
        <v>235</v>
      </c>
      <c r="B21" s="190" t="s">
        <v>226</v>
      </c>
      <c r="C21" s="190">
        <v>2869</v>
      </c>
      <c r="D21" s="192">
        <f t="shared" si="0"/>
        <v>4.5804476034472302E-3</v>
      </c>
    </row>
    <row r="22" spans="1:4" ht="15.75" x14ac:dyDescent="0.25">
      <c r="A22" s="190" t="s">
        <v>236</v>
      </c>
      <c r="B22" s="190" t="s">
        <v>223</v>
      </c>
      <c r="C22" s="190">
        <v>1919</v>
      </c>
      <c r="D22" s="192">
        <f t="shared" si="0"/>
        <v>3.0637430989945047E-3</v>
      </c>
    </row>
    <row r="23" spans="1:4" ht="15.75" x14ac:dyDescent="0.25">
      <c r="A23" s="190" t="s">
        <v>237</v>
      </c>
      <c r="B23" s="190" t="s">
        <v>209</v>
      </c>
      <c r="C23" s="190">
        <v>207</v>
      </c>
      <c r="D23" s="192">
        <f t="shared" si="0"/>
        <v>3.304819288649622E-4</v>
      </c>
    </row>
    <row r="24" spans="1:4" ht="15.75" x14ac:dyDescent="0.25">
      <c r="A24" s="190" t="s">
        <v>238</v>
      </c>
      <c r="B24" s="190" t="s">
        <v>239</v>
      </c>
      <c r="C24" s="190">
        <v>1247</v>
      </c>
      <c r="D24" s="192">
        <f t="shared" si="0"/>
        <v>1.9908742284763664E-3</v>
      </c>
    </row>
    <row r="25" spans="1:4" ht="15.75" x14ac:dyDescent="0.25">
      <c r="A25" s="190" t="s">
        <v>240</v>
      </c>
      <c r="B25" s="190" t="s">
        <v>223</v>
      </c>
      <c r="C25" s="190">
        <v>2776</v>
      </c>
      <c r="D25" s="192">
        <f t="shared" si="0"/>
        <v>4.431970215116595E-3</v>
      </c>
    </row>
    <row r="26" spans="1:4" ht="15.75" x14ac:dyDescent="0.25">
      <c r="A26" s="190" t="s">
        <v>241</v>
      </c>
      <c r="B26" s="190" t="s">
        <v>223</v>
      </c>
      <c r="C26" s="190">
        <v>1238</v>
      </c>
      <c r="D26" s="192">
        <f t="shared" si="0"/>
        <v>1.9765054489604985E-3</v>
      </c>
    </row>
    <row r="27" spans="1:4" ht="15.75" x14ac:dyDescent="0.25">
      <c r="A27" s="190" t="s">
        <v>242</v>
      </c>
      <c r="B27" s="190" t="s">
        <v>233</v>
      </c>
      <c r="C27" s="190">
        <v>3906</v>
      </c>
      <c r="D27" s="192">
        <f t="shared" si="0"/>
        <v>6.2360503098866779E-3</v>
      </c>
    </row>
    <row r="28" spans="1:4" ht="15.75" x14ac:dyDescent="0.25">
      <c r="A28" s="190" t="s">
        <v>243</v>
      </c>
      <c r="B28" s="190" t="s">
        <v>217</v>
      </c>
      <c r="C28" s="190">
        <v>11876</v>
      </c>
      <c r="D28" s="192">
        <f t="shared" si="0"/>
        <v>1.8960402836716381E-2</v>
      </c>
    </row>
    <row r="29" spans="1:4" ht="15.75" x14ac:dyDescent="0.25">
      <c r="A29" s="190" t="s">
        <v>244</v>
      </c>
      <c r="B29" s="190" t="s">
        <v>223</v>
      </c>
      <c r="C29" s="190">
        <v>710</v>
      </c>
      <c r="D29" s="192">
        <f t="shared" si="0"/>
        <v>1.1335370506962471E-3</v>
      </c>
    </row>
    <row r="30" spans="1:4" ht="15.75" x14ac:dyDescent="0.25">
      <c r="A30" s="190" t="s">
        <v>245</v>
      </c>
      <c r="B30" s="190" t="s">
        <v>207</v>
      </c>
      <c r="C30" s="190">
        <v>1180</v>
      </c>
      <c r="D30" s="192">
        <f t="shared" si="0"/>
        <v>1.8839066476360165E-3</v>
      </c>
    </row>
    <row r="31" spans="1:4" ht="15.75" x14ac:dyDescent="0.25">
      <c r="A31" s="190" t="s">
        <v>246</v>
      </c>
      <c r="B31" s="190" t="s">
        <v>209</v>
      </c>
      <c r="C31" s="190">
        <v>939</v>
      </c>
      <c r="D31" s="192">
        <f t="shared" si="0"/>
        <v>1.4991426628222198E-3</v>
      </c>
    </row>
    <row r="32" spans="1:4" ht="15.75" x14ac:dyDescent="0.25">
      <c r="A32" s="190" t="s">
        <v>247</v>
      </c>
      <c r="B32" s="190" t="s">
        <v>207</v>
      </c>
      <c r="C32" s="190">
        <v>3896</v>
      </c>
      <c r="D32" s="192">
        <f t="shared" si="0"/>
        <v>6.2200849993134921E-3</v>
      </c>
    </row>
    <row r="33" spans="1:4" ht="15.75" x14ac:dyDescent="0.25">
      <c r="A33" s="190" t="s">
        <v>248</v>
      </c>
      <c r="B33" s="190" t="s">
        <v>223</v>
      </c>
      <c r="C33" s="190">
        <v>1297</v>
      </c>
      <c r="D33" s="192">
        <f t="shared" si="0"/>
        <v>2.0707007813422994E-3</v>
      </c>
    </row>
    <row r="34" spans="1:4" ht="15.75" x14ac:dyDescent="0.25">
      <c r="A34" s="190" t="s">
        <v>249</v>
      </c>
      <c r="B34" s="190" t="s">
        <v>217</v>
      </c>
      <c r="C34" s="190">
        <v>567</v>
      </c>
      <c r="D34" s="192">
        <f t="shared" si="0"/>
        <v>9.0523310949967904E-4</v>
      </c>
    </row>
    <row r="35" spans="1:4" ht="15.75" x14ac:dyDescent="0.25">
      <c r="A35" s="190" t="s">
        <v>250</v>
      </c>
      <c r="B35" s="190" t="s">
        <v>209</v>
      </c>
      <c r="C35" s="190">
        <v>973</v>
      </c>
      <c r="D35" s="192">
        <f t="shared" si="0"/>
        <v>1.5534247187710543E-3</v>
      </c>
    </row>
    <row r="36" spans="1:4" ht="15.75" x14ac:dyDescent="0.25">
      <c r="A36" s="190" t="s">
        <v>251</v>
      </c>
      <c r="B36" s="190" t="s">
        <v>209</v>
      </c>
      <c r="C36" s="190">
        <v>84</v>
      </c>
      <c r="D36" s="192">
        <f t="shared" si="0"/>
        <v>1.3410860881476726E-4</v>
      </c>
    </row>
    <row r="37" spans="1:4" ht="15.75" x14ac:dyDescent="0.25">
      <c r="A37" s="190" t="s">
        <v>252</v>
      </c>
      <c r="B37" s="190" t="s">
        <v>239</v>
      </c>
      <c r="C37" s="190">
        <v>43</v>
      </c>
      <c r="D37" s="192">
        <f t="shared" si="0"/>
        <v>6.8650835464702291E-5</v>
      </c>
    </row>
    <row r="38" spans="1:4" ht="15.75" x14ac:dyDescent="0.25">
      <c r="A38" s="190" t="s">
        <v>253</v>
      </c>
      <c r="B38" s="190" t="s">
        <v>209</v>
      </c>
      <c r="C38" s="190">
        <v>1711</v>
      </c>
      <c r="D38" s="192">
        <f t="shared" si="0"/>
        <v>2.7316646390722239E-3</v>
      </c>
    </row>
    <row r="39" spans="1:4" ht="15.75" x14ac:dyDescent="0.25">
      <c r="A39" s="191" t="s">
        <v>254</v>
      </c>
      <c r="B39" s="190" t="s">
        <v>239</v>
      </c>
      <c r="C39" s="190">
        <v>42342</v>
      </c>
      <c r="D39" s="192">
        <f t="shared" si="0"/>
        <v>6.7600318028986611E-2</v>
      </c>
    </row>
    <row r="40" spans="1:4" ht="15.75" x14ac:dyDescent="0.25">
      <c r="A40" s="190" t="s">
        <v>255</v>
      </c>
      <c r="B40" s="190" t="s">
        <v>226</v>
      </c>
      <c r="C40" s="190">
        <v>1393</v>
      </c>
      <c r="D40" s="192">
        <f t="shared" si="0"/>
        <v>2.2239677628448904E-3</v>
      </c>
    </row>
    <row r="41" spans="1:4" ht="15.75" x14ac:dyDescent="0.25">
      <c r="A41" s="190" t="s">
        <v>256</v>
      </c>
      <c r="B41" s="190" t="s">
        <v>226</v>
      </c>
      <c r="C41" s="190">
        <v>1556</v>
      </c>
      <c r="D41" s="192">
        <f t="shared" si="0"/>
        <v>2.484202325187832E-3</v>
      </c>
    </row>
    <row r="42" spans="1:4" ht="15.75" x14ac:dyDescent="0.25">
      <c r="A42" s="190" t="s">
        <v>257</v>
      </c>
      <c r="B42" s="190" t="s">
        <v>230</v>
      </c>
      <c r="C42" s="190">
        <v>3713</v>
      </c>
      <c r="D42" s="192">
        <f t="shared" si="0"/>
        <v>5.9279198158241776E-3</v>
      </c>
    </row>
    <row r="43" spans="1:4" ht="15.75" x14ac:dyDescent="0.25">
      <c r="A43" s="190" t="s">
        <v>258</v>
      </c>
      <c r="B43" s="190" t="s">
        <v>209</v>
      </c>
      <c r="C43" s="190">
        <v>1164</v>
      </c>
      <c r="D43" s="192">
        <f t="shared" si="0"/>
        <v>1.8583621507189179E-3</v>
      </c>
    </row>
    <row r="44" spans="1:4" ht="15.75" x14ac:dyDescent="0.25">
      <c r="A44" s="190" t="s">
        <v>259</v>
      </c>
      <c r="B44" s="190" t="s">
        <v>233</v>
      </c>
      <c r="C44" s="190">
        <v>4669</v>
      </c>
      <c r="D44" s="192">
        <f t="shared" si="0"/>
        <v>7.4542035066208143E-3</v>
      </c>
    </row>
    <row r="45" spans="1:4" ht="15.75" x14ac:dyDescent="0.25">
      <c r="A45" s="190" t="s">
        <v>260</v>
      </c>
      <c r="B45" s="190" t="s">
        <v>213</v>
      </c>
      <c r="C45" s="190">
        <v>1587</v>
      </c>
      <c r="D45" s="192">
        <f t="shared" si="0"/>
        <v>2.5336947879647104E-3</v>
      </c>
    </row>
    <row r="46" spans="1:4" ht="15.75" x14ac:dyDescent="0.25">
      <c r="A46" s="190" t="s">
        <v>261</v>
      </c>
      <c r="B46" s="190" t="s">
        <v>209</v>
      </c>
      <c r="C46" s="190">
        <v>939</v>
      </c>
      <c r="D46" s="192">
        <f t="shared" si="0"/>
        <v>1.4991426628222198E-3</v>
      </c>
    </row>
    <row r="47" spans="1:4" ht="15.75" x14ac:dyDescent="0.25">
      <c r="A47" s="190" t="s">
        <v>262</v>
      </c>
      <c r="B47" s="190" t="s">
        <v>239</v>
      </c>
      <c r="C47" s="190">
        <v>3810</v>
      </c>
      <c r="D47" s="192">
        <f t="shared" si="0"/>
        <v>6.0827833283840869E-3</v>
      </c>
    </row>
    <row r="48" spans="1:4" ht="15.75" x14ac:dyDescent="0.25">
      <c r="A48" s="190" t="s">
        <v>263</v>
      </c>
      <c r="B48" s="190" t="s">
        <v>223</v>
      </c>
      <c r="C48" s="190">
        <v>1430</v>
      </c>
      <c r="D48" s="192">
        <f t="shared" si="0"/>
        <v>2.2830394119656809E-3</v>
      </c>
    </row>
    <row r="49" spans="1:4" ht="15.75" x14ac:dyDescent="0.25">
      <c r="A49" s="190" t="s">
        <v>264</v>
      </c>
      <c r="B49" s="190" t="s">
        <v>213</v>
      </c>
      <c r="C49" s="190">
        <v>3128</v>
      </c>
      <c r="D49" s="192">
        <f t="shared" si="0"/>
        <v>4.9939491472927623E-3</v>
      </c>
    </row>
    <row r="50" spans="1:4" ht="15.75" x14ac:dyDescent="0.25">
      <c r="A50" s="190" t="s">
        <v>265</v>
      </c>
      <c r="B50" s="190" t="s">
        <v>233</v>
      </c>
      <c r="C50" s="190">
        <v>1198</v>
      </c>
      <c r="D50" s="192">
        <f t="shared" si="0"/>
        <v>1.9126442066677524E-3</v>
      </c>
    </row>
    <row r="51" spans="1:4" ht="15.75" x14ac:dyDescent="0.25">
      <c r="A51" s="190" t="s">
        <v>266</v>
      </c>
      <c r="B51" s="190" t="s">
        <v>233</v>
      </c>
      <c r="C51" s="190">
        <v>2535</v>
      </c>
      <c r="D51" s="192">
        <f t="shared" si="0"/>
        <v>4.0472062303027979E-3</v>
      </c>
    </row>
    <row r="52" spans="1:4" ht="15.75" x14ac:dyDescent="0.25">
      <c r="A52" s="190" t="s">
        <v>267</v>
      </c>
      <c r="B52" s="190" t="s">
        <v>239</v>
      </c>
      <c r="C52" s="190">
        <v>17249</v>
      </c>
      <c r="D52" s="192">
        <f t="shared" si="0"/>
        <v>2.7538564207689534E-2</v>
      </c>
    </row>
    <row r="53" spans="1:4" ht="15.75" x14ac:dyDescent="0.25">
      <c r="A53" s="190" t="s">
        <v>268</v>
      </c>
      <c r="B53" s="190" t="s">
        <v>209</v>
      </c>
      <c r="C53" s="190">
        <v>1203</v>
      </c>
      <c r="D53" s="192">
        <f t="shared" si="0"/>
        <v>1.9206268619543455E-3</v>
      </c>
    </row>
    <row r="54" spans="1:4" ht="15.75" x14ac:dyDescent="0.25">
      <c r="A54" s="190" t="s">
        <v>269</v>
      </c>
      <c r="B54" s="190" t="s">
        <v>223</v>
      </c>
      <c r="C54" s="190">
        <v>1302</v>
      </c>
      <c r="D54" s="192">
        <f t="shared" si="0"/>
        <v>2.0786834366288928E-3</v>
      </c>
    </row>
    <row r="55" spans="1:4" ht="15.75" x14ac:dyDescent="0.25">
      <c r="A55" s="190" t="s">
        <v>270</v>
      </c>
      <c r="B55" s="190" t="s">
        <v>207</v>
      </c>
      <c r="C55" s="190">
        <v>1089</v>
      </c>
      <c r="D55" s="192">
        <f t="shared" si="0"/>
        <v>1.7386223214200186E-3</v>
      </c>
    </row>
    <row r="56" spans="1:4" ht="15.75" x14ac:dyDescent="0.25">
      <c r="A56" s="190" t="s">
        <v>271</v>
      </c>
      <c r="B56" s="190" t="s">
        <v>209</v>
      </c>
      <c r="C56" s="190">
        <v>1123</v>
      </c>
      <c r="D56" s="192">
        <f t="shared" si="0"/>
        <v>1.7929043773688529E-3</v>
      </c>
    </row>
    <row r="57" spans="1:4" ht="15.75" x14ac:dyDescent="0.25">
      <c r="A57" s="190" t="s">
        <v>272</v>
      </c>
      <c r="B57" s="190" t="s">
        <v>209</v>
      </c>
      <c r="C57" s="190">
        <v>1238</v>
      </c>
      <c r="D57" s="192">
        <f t="shared" si="0"/>
        <v>1.9765054489604985E-3</v>
      </c>
    </row>
    <row r="58" spans="1:4" ht="15.75" x14ac:dyDescent="0.25">
      <c r="A58" s="190" t="s">
        <v>273</v>
      </c>
      <c r="B58" s="190" t="s">
        <v>233</v>
      </c>
      <c r="C58" s="190">
        <v>1366</v>
      </c>
      <c r="D58" s="192">
        <f t="shared" si="0"/>
        <v>2.1808614242972871E-3</v>
      </c>
    </row>
    <row r="59" spans="1:4" ht="15.75" x14ac:dyDescent="0.25">
      <c r="A59" s="190" t="s">
        <v>274</v>
      </c>
      <c r="B59" s="190" t="s">
        <v>209</v>
      </c>
      <c r="C59" s="190">
        <v>2247</v>
      </c>
      <c r="D59" s="192">
        <f t="shared" si="0"/>
        <v>3.5874052857950245E-3</v>
      </c>
    </row>
    <row r="60" spans="1:4" ht="15.75" x14ac:dyDescent="0.25">
      <c r="A60" s="190" t="s">
        <v>275</v>
      </c>
      <c r="B60" s="190" t="s">
        <v>209</v>
      </c>
      <c r="C60" s="190">
        <v>4561</v>
      </c>
      <c r="D60" s="192">
        <f t="shared" si="0"/>
        <v>7.2817781524303991E-3</v>
      </c>
    </row>
    <row r="61" spans="1:4" ht="15.75" x14ac:dyDescent="0.25">
      <c r="A61" s="190" t="s">
        <v>276</v>
      </c>
      <c r="B61" s="190" t="s">
        <v>215</v>
      </c>
      <c r="C61" s="190">
        <v>2118</v>
      </c>
      <c r="D61" s="192">
        <f t="shared" si="0"/>
        <v>3.3814527794009176E-3</v>
      </c>
    </row>
    <row r="62" spans="1:4" ht="15.75" x14ac:dyDescent="0.25">
      <c r="A62" s="190" t="s">
        <v>277</v>
      </c>
      <c r="B62" s="190" t="s">
        <v>217</v>
      </c>
      <c r="C62" s="190">
        <v>1335</v>
      </c>
      <c r="D62" s="192">
        <f t="shared" si="0"/>
        <v>2.1313689615204087E-3</v>
      </c>
    </row>
    <row r="63" spans="1:4" ht="15.75" x14ac:dyDescent="0.25">
      <c r="A63" s="190" t="s">
        <v>278</v>
      </c>
      <c r="B63" s="190" t="s">
        <v>217</v>
      </c>
      <c r="C63" s="190">
        <v>1933</v>
      </c>
      <c r="D63" s="192">
        <f t="shared" si="0"/>
        <v>3.086094533796966E-3</v>
      </c>
    </row>
    <row r="64" spans="1:4" ht="15.75" x14ac:dyDescent="0.25">
      <c r="A64" s="190" t="s">
        <v>279</v>
      </c>
      <c r="B64" s="190" t="s">
        <v>226</v>
      </c>
      <c r="C64" s="190">
        <v>1409</v>
      </c>
      <c r="D64" s="192">
        <f t="shared" si="0"/>
        <v>2.2495122597619892E-3</v>
      </c>
    </row>
    <row r="65" spans="1:4" ht="15.75" x14ac:dyDescent="0.25">
      <c r="A65" s="190" t="s">
        <v>280</v>
      </c>
      <c r="B65" s="190" t="s">
        <v>209</v>
      </c>
      <c r="C65" s="190">
        <v>338</v>
      </c>
      <c r="D65" s="192">
        <f t="shared" si="0"/>
        <v>5.3962749737370645E-4</v>
      </c>
    </row>
    <row r="66" spans="1:4" ht="15.75" x14ac:dyDescent="0.25">
      <c r="A66" s="190" t="s">
        <v>281</v>
      </c>
      <c r="B66" s="190" t="s">
        <v>226</v>
      </c>
      <c r="C66" s="190">
        <v>2601</v>
      </c>
      <c r="D66" s="192">
        <f t="shared" si="0"/>
        <v>4.1525772800858297E-3</v>
      </c>
    </row>
    <row r="67" spans="1:4" ht="15.75" x14ac:dyDescent="0.25">
      <c r="A67" s="190" t="s">
        <v>282</v>
      </c>
      <c r="B67" s="190" t="s">
        <v>230</v>
      </c>
      <c r="C67" s="190">
        <v>1353</v>
      </c>
      <c r="D67" s="192">
        <f t="shared" ref="D67:D130" si="1">C67/SUM($C$2:$C$256)</f>
        <v>2.1601065205521441E-3</v>
      </c>
    </row>
    <row r="68" spans="1:4" ht="15.75" x14ac:dyDescent="0.25">
      <c r="A68" s="190" t="s">
        <v>283</v>
      </c>
      <c r="B68" s="190" t="s">
        <v>230</v>
      </c>
      <c r="C68" s="190">
        <v>946</v>
      </c>
      <c r="D68" s="192">
        <f t="shared" si="1"/>
        <v>1.5103183802234505E-3</v>
      </c>
    </row>
    <row r="69" spans="1:4" ht="15.75" x14ac:dyDescent="0.25">
      <c r="A69" s="190" t="s">
        <v>284</v>
      </c>
      <c r="B69" s="190" t="s">
        <v>211</v>
      </c>
      <c r="C69" s="190">
        <v>2771</v>
      </c>
      <c r="D69" s="192">
        <f t="shared" si="1"/>
        <v>4.4239875598300017E-3</v>
      </c>
    </row>
    <row r="70" spans="1:4" ht="15.75" x14ac:dyDescent="0.25">
      <c r="A70" s="190" t="s">
        <v>285</v>
      </c>
      <c r="B70" s="190" t="s">
        <v>239</v>
      </c>
      <c r="C70" s="190">
        <v>20172</v>
      </c>
      <c r="D70" s="192">
        <f t="shared" si="1"/>
        <v>3.2205224488231966E-2</v>
      </c>
    </row>
    <row r="71" spans="1:4" ht="15.75" x14ac:dyDescent="0.25">
      <c r="A71" s="190" t="s">
        <v>286</v>
      </c>
      <c r="B71" s="190" t="s">
        <v>233</v>
      </c>
      <c r="C71" s="190">
        <v>2694</v>
      </c>
      <c r="D71" s="192">
        <f t="shared" si="1"/>
        <v>4.3010546684164649E-3</v>
      </c>
    </row>
    <row r="72" spans="1:4" ht="15.75" x14ac:dyDescent="0.25">
      <c r="A72" s="190" t="s">
        <v>287</v>
      </c>
      <c r="B72" s="190" t="s">
        <v>211</v>
      </c>
      <c r="C72" s="190">
        <v>4397</v>
      </c>
      <c r="D72" s="192">
        <f t="shared" si="1"/>
        <v>7.0199470590301396E-3</v>
      </c>
    </row>
    <row r="73" spans="1:4" ht="15.75" x14ac:dyDescent="0.25">
      <c r="A73" s="190" t="s">
        <v>288</v>
      </c>
      <c r="B73" s="190" t="s">
        <v>211</v>
      </c>
      <c r="C73" s="190">
        <v>1856</v>
      </c>
      <c r="D73" s="192">
        <f t="shared" si="1"/>
        <v>2.9631616423834292E-3</v>
      </c>
    </row>
    <row r="74" spans="1:4" ht="15.75" x14ac:dyDescent="0.25">
      <c r="A74" s="190" t="s">
        <v>289</v>
      </c>
      <c r="B74" s="190" t="s">
        <v>223</v>
      </c>
      <c r="C74" s="190">
        <v>1029</v>
      </c>
      <c r="D74" s="192">
        <f t="shared" si="1"/>
        <v>1.6428304579808992E-3</v>
      </c>
    </row>
    <row r="75" spans="1:4" ht="15.75" x14ac:dyDescent="0.25">
      <c r="A75" s="190" t="s">
        <v>290</v>
      </c>
      <c r="B75" s="190" t="s">
        <v>226</v>
      </c>
      <c r="C75" s="190">
        <v>1314</v>
      </c>
      <c r="D75" s="192">
        <f t="shared" si="1"/>
        <v>2.0978418093167165E-3</v>
      </c>
    </row>
    <row r="76" spans="1:4" ht="15.75" x14ac:dyDescent="0.25">
      <c r="A76" s="190" t="s">
        <v>291</v>
      </c>
      <c r="B76" s="190" t="s">
        <v>209</v>
      </c>
      <c r="C76" s="190">
        <v>28</v>
      </c>
      <c r="D76" s="192">
        <f t="shared" si="1"/>
        <v>4.4702869604922427E-5</v>
      </c>
    </row>
    <row r="77" spans="1:4" ht="15.75" x14ac:dyDescent="0.25">
      <c r="A77" s="190" t="s">
        <v>292</v>
      </c>
      <c r="B77" s="190" t="s">
        <v>207</v>
      </c>
      <c r="C77" s="190">
        <v>2779</v>
      </c>
      <c r="D77" s="192">
        <f t="shared" si="1"/>
        <v>4.4367598082885509E-3</v>
      </c>
    </row>
    <row r="78" spans="1:4" ht="15.75" x14ac:dyDescent="0.25">
      <c r="A78" s="190" t="s">
        <v>293</v>
      </c>
      <c r="B78" s="190" t="s">
        <v>211</v>
      </c>
      <c r="C78" s="190">
        <v>1244</v>
      </c>
      <c r="D78" s="192">
        <f t="shared" si="1"/>
        <v>1.9860846353044106E-3</v>
      </c>
    </row>
    <row r="79" spans="1:4" ht="15.75" x14ac:dyDescent="0.25">
      <c r="A79" s="190" t="s">
        <v>294</v>
      </c>
      <c r="B79" s="190" t="s">
        <v>211</v>
      </c>
      <c r="C79" s="190">
        <v>1240</v>
      </c>
      <c r="D79" s="192">
        <f t="shared" si="1"/>
        <v>1.979698511075136E-3</v>
      </c>
    </row>
    <row r="80" spans="1:4" ht="15.75" x14ac:dyDescent="0.25">
      <c r="A80" s="190" t="s">
        <v>295</v>
      </c>
      <c r="B80" s="190" t="s">
        <v>211</v>
      </c>
      <c r="C80" s="190">
        <v>4610</v>
      </c>
      <c r="D80" s="192">
        <f t="shared" si="1"/>
        <v>7.3600081742390133E-3</v>
      </c>
    </row>
    <row r="81" spans="1:4" ht="15.75" x14ac:dyDescent="0.25">
      <c r="A81" s="190" t="s">
        <v>296</v>
      </c>
      <c r="B81" s="190" t="s">
        <v>215</v>
      </c>
      <c r="C81" s="190">
        <v>9</v>
      </c>
      <c r="D81" s="192">
        <f t="shared" si="1"/>
        <v>1.4368779515867922E-5</v>
      </c>
    </row>
    <row r="82" spans="1:4" ht="15.75" x14ac:dyDescent="0.25">
      <c r="A82" s="190" t="s">
        <v>297</v>
      </c>
      <c r="B82" s="190" t="s">
        <v>209</v>
      </c>
      <c r="C82" s="190">
        <v>1072</v>
      </c>
      <c r="D82" s="192">
        <f t="shared" si="1"/>
        <v>1.7114812934456013E-3</v>
      </c>
    </row>
    <row r="83" spans="1:4" ht="15.75" x14ac:dyDescent="0.25">
      <c r="A83" s="190" t="s">
        <v>298</v>
      </c>
      <c r="B83" s="190" t="s">
        <v>207</v>
      </c>
      <c r="C83" s="190">
        <v>135</v>
      </c>
      <c r="D83" s="192">
        <f t="shared" si="1"/>
        <v>2.1553169273801884E-4</v>
      </c>
    </row>
    <row r="84" spans="1:4" ht="15.75" x14ac:dyDescent="0.25">
      <c r="A84" s="190" t="s">
        <v>299</v>
      </c>
      <c r="B84" s="190" t="s">
        <v>217</v>
      </c>
      <c r="C84" s="190">
        <v>609</v>
      </c>
      <c r="D84" s="192">
        <f t="shared" si="1"/>
        <v>9.7228741390706277E-4</v>
      </c>
    </row>
    <row r="85" spans="1:4" ht="15.75" x14ac:dyDescent="0.25">
      <c r="A85" s="190" t="s">
        <v>300</v>
      </c>
      <c r="B85" s="190" t="s">
        <v>209</v>
      </c>
      <c r="C85" s="190">
        <v>85</v>
      </c>
      <c r="D85" s="192">
        <f t="shared" si="1"/>
        <v>1.3570513987208593E-4</v>
      </c>
    </row>
    <row r="86" spans="1:4" ht="15.75" x14ac:dyDescent="0.25">
      <c r="A86" s="190" t="s">
        <v>301</v>
      </c>
      <c r="B86" s="190" t="s">
        <v>211</v>
      </c>
      <c r="C86" s="190">
        <v>2264</v>
      </c>
      <c r="D86" s="192">
        <f t="shared" si="1"/>
        <v>3.6145463137694416E-3</v>
      </c>
    </row>
    <row r="87" spans="1:4" ht="15.75" x14ac:dyDescent="0.25">
      <c r="A87" s="190" t="s">
        <v>302</v>
      </c>
      <c r="B87" s="190" t="s">
        <v>223</v>
      </c>
      <c r="C87" s="190">
        <v>308</v>
      </c>
      <c r="D87" s="192">
        <f t="shared" si="1"/>
        <v>4.917315656541467E-4</v>
      </c>
    </row>
    <row r="88" spans="1:4" ht="15.75" x14ac:dyDescent="0.25">
      <c r="A88" s="190" t="s">
        <v>303</v>
      </c>
      <c r="B88" s="190" t="s">
        <v>209</v>
      </c>
      <c r="C88" s="190">
        <v>723</v>
      </c>
      <c r="D88" s="192">
        <f t="shared" si="1"/>
        <v>1.1542919544413899E-3</v>
      </c>
    </row>
    <row r="89" spans="1:4" ht="15.75" x14ac:dyDescent="0.25">
      <c r="A89" s="190" t="s">
        <v>304</v>
      </c>
      <c r="B89" s="190" t="s">
        <v>209</v>
      </c>
      <c r="C89" s="190">
        <v>1013</v>
      </c>
      <c r="D89" s="192">
        <f t="shared" si="1"/>
        <v>1.6172859610638006E-3</v>
      </c>
    </row>
    <row r="90" spans="1:4" ht="15.75" x14ac:dyDescent="0.25">
      <c r="A90" s="190" t="s">
        <v>305</v>
      </c>
      <c r="B90" s="190" t="s">
        <v>209</v>
      </c>
      <c r="C90" s="190">
        <v>209</v>
      </c>
      <c r="D90" s="192">
        <f t="shared" si="1"/>
        <v>3.3367499097959955E-4</v>
      </c>
    </row>
    <row r="91" spans="1:4" ht="15.75" x14ac:dyDescent="0.25">
      <c r="A91" s="190" t="s">
        <v>306</v>
      </c>
      <c r="B91" s="190" t="s">
        <v>217</v>
      </c>
      <c r="C91" s="190">
        <v>2151</v>
      </c>
      <c r="D91" s="192">
        <f t="shared" si="1"/>
        <v>3.4341383042924335E-3</v>
      </c>
    </row>
    <row r="92" spans="1:4" ht="15.75" x14ac:dyDescent="0.25">
      <c r="A92" s="190" t="s">
        <v>307</v>
      </c>
      <c r="B92" s="190" t="s">
        <v>217</v>
      </c>
      <c r="C92" s="190">
        <v>692</v>
      </c>
      <c r="D92" s="192">
        <f t="shared" si="1"/>
        <v>1.1047994916645112E-3</v>
      </c>
    </row>
    <row r="93" spans="1:4" ht="15.75" x14ac:dyDescent="0.25">
      <c r="A93" s="190" t="s">
        <v>308</v>
      </c>
      <c r="B93" s="190" t="s">
        <v>223</v>
      </c>
      <c r="C93" s="190">
        <v>395</v>
      </c>
      <c r="D93" s="192">
        <f t="shared" si="1"/>
        <v>6.3062976764086988E-4</v>
      </c>
    </row>
    <row r="94" spans="1:4" ht="15.75" x14ac:dyDescent="0.25">
      <c r="A94" s="190" t="s">
        <v>309</v>
      </c>
      <c r="B94" s="190" t="s">
        <v>209</v>
      </c>
      <c r="C94" s="190">
        <v>2976</v>
      </c>
      <c r="D94" s="192">
        <f t="shared" si="1"/>
        <v>4.7512764265803262E-3</v>
      </c>
    </row>
    <row r="95" spans="1:4" ht="15.75" x14ac:dyDescent="0.25">
      <c r="A95" s="190" t="s">
        <v>310</v>
      </c>
      <c r="B95" s="190" t="s">
        <v>223</v>
      </c>
      <c r="C95" s="190">
        <v>9869</v>
      </c>
      <c r="D95" s="192">
        <f t="shared" si="1"/>
        <v>1.5756165004677837E-2</v>
      </c>
    </row>
    <row r="96" spans="1:4" ht="15.75" x14ac:dyDescent="0.25">
      <c r="A96" s="190" t="s">
        <v>311</v>
      </c>
      <c r="B96" s="190" t="s">
        <v>223</v>
      </c>
      <c r="C96" s="190">
        <v>3397</v>
      </c>
      <c r="D96" s="192">
        <f t="shared" si="1"/>
        <v>5.4234160017114811E-3</v>
      </c>
    </row>
    <row r="97" spans="1:4" ht="15.75" x14ac:dyDescent="0.25">
      <c r="A97" s="190" t="s">
        <v>312</v>
      </c>
      <c r="B97" s="190" t="s">
        <v>211</v>
      </c>
      <c r="C97" s="190">
        <v>3576</v>
      </c>
      <c r="D97" s="192">
        <f t="shared" si="1"/>
        <v>5.7091950609715215E-3</v>
      </c>
    </row>
    <row r="98" spans="1:4" ht="15.75" x14ac:dyDescent="0.25">
      <c r="A98" s="190" t="s">
        <v>313</v>
      </c>
      <c r="B98" s="190" t="s">
        <v>239</v>
      </c>
      <c r="C98" s="190">
        <v>4451</v>
      </c>
      <c r="D98" s="192">
        <f t="shared" si="1"/>
        <v>7.1061597361253472E-3</v>
      </c>
    </row>
    <row r="99" spans="1:4" ht="15.75" x14ac:dyDescent="0.25">
      <c r="A99" s="190" t="s">
        <v>314</v>
      </c>
      <c r="B99" s="190" t="s">
        <v>209</v>
      </c>
      <c r="C99" s="190">
        <v>689</v>
      </c>
      <c r="D99" s="192">
        <f t="shared" si="1"/>
        <v>1.1000098984925554E-3</v>
      </c>
    </row>
    <row r="100" spans="1:4" ht="15.75" x14ac:dyDescent="0.25">
      <c r="A100" s="190" t="s">
        <v>315</v>
      </c>
      <c r="B100" s="190" t="s">
        <v>233</v>
      </c>
      <c r="C100" s="190">
        <v>624</v>
      </c>
      <c r="D100" s="192">
        <f t="shared" si="1"/>
        <v>9.9623537976684258E-4</v>
      </c>
    </row>
    <row r="101" spans="1:4" ht="15.75" x14ac:dyDescent="0.25">
      <c r="A101" s="190" t="s">
        <v>316</v>
      </c>
      <c r="B101" s="190" t="s">
        <v>239</v>
      </c>
      <c r="C101" s="190">
        <v>1924</v>
      </c>
      <c r="D101" s="192">
        <f t="shared" si="1"/>
        <v>3.0717257542810981E-3</v>
      </c>
    </row>
    <row r="102" spans="1:4" ht="15.75" x14ac:dyDescent="0.25">
      <c r="A102" s="190" t="s">
        <v>317</v>
      </c>
      <c r="B102" s="190" t="s">
        <v>230</v>
      </c>
      <c r="C102" s="190">
        <v>3011</v>
      </c>
      <c r="D102" s="192">
        <f t="shared" si="1"/>
        <v>4.8071550135864796E-3</v>
      </c>
    </row>
    <row r="103" spans="1:4" ht="15.75" x14ac:dyDescent="0.25">
      <c r="A103" s="190" t="s">
        <v>318</v>
      </c>
      <c r="B103" s="190" t="s">
        <v>233</v>
      </c>
      <c r="C103" s="190">
        <v>441</v>
      </c>
      <c r="D103" s="192">
        <f t="shared" si="1"/>
        <v>7.0407019627752819E-4</v>
      </c>
    </row>
    <row r="104" spans="1:4" ht="15.75" x14ac:dyDescent="0.25">
      <c r="A104" s="190" t="s">
        <v>319</v>
      </c>
      <c r="B104" s="190" t="s">
        <v>209</v>
      </c>
      <c r="C104" s="190">
        <v>1195</v>
      </c>
      <c r="D104" s="192">
        <f t="shared" si="1"/>
        <v>1.9078546134957963E-3</v>
      </c>
    </row>
    <row r="105" spans="1:4" ht="15.75" x14ac:dyDescent="0.25">
      <c r="A105" s="190" t="s">
        <v>320</v>
      </c>
      <c r="B105" s="190" t="s">
        <v>211</v>
      </c>
      <c r="C105" s="190">
        <v>577</v>
      </c>
      <c r="D105" s="192">
        <f t="shared" si="1"/>
        <v>9.2119842007286562E-4</v>
      </c>
    </row>
    <row r="106" spans="1:4" ht="15.75" x14ac:dyDescent="0.25">
      <c r="A106" s="190" t="s">
        <v>321</v>
      </c>
      <c r="B106" s="190" t="s">
        <v>217</v>
      </c>
      <c r="C106" s="190">
        <v>899</v>
      </c>
      <c r="D106" s="192">
        <f t="shared" si="1"/>
        <v>1.4352814205294735E-3</v>
      </c>
    </row>
    <row r="107" spans="1:4" ht="15.75" x14ac:dyDescent="0.25">
      <c r="A107" s="190" t="s">
        <v>322</v>
      </c>
      <c r="B107" s="190" t="s">
        <v>209</v>
      </c>
      <c r="C107" s="190">
        <v>818</v>
      </c>
      <c r="D107" s="192">
        <f t="shared" si="1"/>
        <v>1.3059624048866623E-3</v>
      </c>
    </row>
    <row r="108" spans="1:4" ht="15.75" x14ac:dyDescent="0.25">
      <c r="A108" s="190" t="s">
        <v>323</v>
      </c>
      <c r="B108" s="190" t="s">
        <v>239</v>
      </c>
      <c r="C108" s="190">
        <v>5040</v>
      </c>
      <c r="D108" s="192">
        <f t="shared" si="1"/>
        <v>8.0465165288860357E-3</v>
      </c>
    </row>
    <row r="109" spans="1:4" ht="15.75" x14ac:dyDescent="0.25">
      <c r="A109" s="190" t="s">
        <v>324</v>
      </c>
      <c r="B109" s="190" t="s">
        <v>230</v>
      </c>
      <c r="C109" s="190">
        <v>3491</v>
      </c>
      <c r="D109" s="192">
        <f t="shared" si="1"/>
        <v>5.5734899210994355E-3</v>
      </c>
    </row>
    <row r="110" spans="1:4" ht="15.75" x14ac:dyDescent="0.25">
      <c r="A110" s="190" t="s">
        <v>325</v>
      </c>
      <c r="B110" s="190" t="s">
        <v>233</v>
      </c>
      <c r="C110" s="190">
        <v>896</v>
      </c>
      <c r="D110" s="192">
        <f t="shared" si="1"/>
        <v>1.4304918273575177E-3</v>
      </c>
    </row>
    <row r="111" spans="1:4" ht="15.75" x14ac:dyDescent="0.25">
      <c r="A111" s="190" t="s">
        <v>326</v>
      </c>
      <c r="B111" s="190" t="s">
        <v>209</v>
      </c>
      <c r="C111" s="190">
        <v>435</v>
      </c>
      <c r="D111" s="192">
        <f t="shared" si="1"/>
        <v>6.944910099336162E-4</v>
      </c>
    </row>
    <row r="112" spans="1:4" ht="15.75" x14ac:dyDescent="0.25">
      <c r="A112" s="190" t="s">
        <v>327</v>
      </c>
      <c r="B112" s="190" t="s">
        <v>215</v>
      </c>
      <c r="C112" s="190">
        <v>132</v>
      </c>
      <c r="D112" s="192">
        <f t="shared" si="1"/>
        <v>2.1074209956606287E-4</v>
      </c>
    </row>
    <row r="113" spans="1:4" ht="15.75" x14ac:dyDescent="0.25">
      <c r="A113" s="190" t="s">
        <v>328</v>
      </c>
      <c r="B113" s="190" t="s">
        <v>207</v>
      </c>
      <c r="C113" s="190">
        <v>1226</v>
      </c>
      <c r="D113" s="192">
        <f t="shared" si="1"/>
        <v>1.9573470762726747E-3</v>
      </c>
    </row>
    <row r="114" spans="1:4" ht="15.75" x14ac:dyDescent="0.25">
      <c r="A114" s="190" t="s">
        <v>329</v>
      </c>
      <c r="B114" s="190" t="s">
        <v>209</v>
      </c>
      <c r="C114" s="190">
        <v>134</v>
      </c>
      <c r="D114" s="192">
        <f t="shared" si="1"/>
        <v>2.1393516168070016E-4</v>
      </c>
    </row>
    <row r="115" spans="1:4" ht="15.75" x14ac:dyDescent="0.25">
      <c r="A115" s="190" t="s">
        <v>330</v>
      </c>
      <c r="B115" s="190" t="s">
        <v>209</v>
      </c>
      <c r="C115" s="190">
        <v>0</v>
      </c>
      <c r="D115" s="192">
        <f t="shared" si="1"/>
        <v>0</v>
      </c>
    </row>
    <row r="116" spans="1:4" ht="15.75" x14ac:dyDescent="0.25">
      <c r="A116" s="190" t="s">
        <v>331</v>
      </c>
      <c r="B116" s="190" t="s">
        <v>207</v>
      </c>
      <c r="C116" s="190">
        <v>1221</v>
      </c>
      <c r="D116" s="192">
        <f t="shared" si="1"/>
        <v>1.9493644209860814E-3</v>
      </c>
    </row>
    <row r="117" spans="1:4" ht="15.75" x14ac:dyDescent="0.25">
      <c r="A117" s="190" t="s">
        <v>332</v>
      </c>
      <c r="B117" s="190" t="s">
        <v>217</v>
      </c>
      <c r="C117" s="190">
        <v>1596</v>
      </c>
      <c r="D117" s="192">
        <f t="shared" si="1"/>
        <v>2.5480635674805783E-3</v>
      </c>
    </row>
    <row r="118" spans="1:4" ht="15.75" x14ac:dyDescent="0.25">
      <c r="A118" s="190" t="s">
        <v>333</v>
      </c>
      <c r="B118" s="190" t="s">
        <v>209</v>
      </c>
      <c r="C118" s="190">
        <v>810</v>
      </c>
      <c r="D118" s="192">
        <f t="shared" si="1"/>
        <v>1.2931901564281129E-3</v>
      </c>
    </row>
    <row r="119" spans="1:4" ht="15.75" x14ac:dyDescent="0.25">
      <c r="A119" s="190" t="s">
        <v>334</v>
      </c>
      <c r="B119" s="190" t="s">
        <v>213</v>
      </c>
      <c r="C119" s="190">
        <v>2131</v>
      </c>
      <c r="D119" s="192">
        <f t="shared" si="1"/>
        <v>3.4022076831460601E-3</v>
      </c>
    </row>
    <row r="120" spans="1:4" ht="15.75" x14ac:dyDescent="0.25">
      <c r="A120" s="190" t="s">
        <v>335</v>
      </c>
      <c r="B120" s="190" t="s">
        <v>209</v>
      </c>
      <c r="C120" s="190">
        <v>1331</v>
      </c>
      <c r="D120" s="192">
        <f t="shared" si="1"/>
        <v>2.1249828372911336E-3</v>
      </c>
    </row>
    <row r="121" spans="1:4" ht="15.75" x14ac:dyDescent="0.25">
      <c r="A121" s="190" t="s">
        <v>336</v>
      </c>
      <c r="B121" s="190" t="s">
        <v>209</v>
      </c>
      <c r="C121" s="190">
        <v>5966</v>
      </c>
      <c r="D121" s="192">
        <f t="shared" si="1"/>
        <v>9.5249042879631141E-3</v>
      </c>
    </row>
    <row r="122" spans="1:4" ht="15.75" x14ac:dyDescent="0.25">
      <c r="A122" s="190" t="s">
        <v>337</v>
      </c>
      <c r="B122" s="190" t="s">
        <v>209</v>
      </c>
      <c r="C122" s="190">
        <v>217</v>
      </c>
      <c r="D122" s="192">
        <f t="shared" si="1"/>
        <v>3.4644723943814878E-4</v>
      </c>
    </row>
    <row r="123" spans="1:4" ht="15.75" x14ac:dyDescent="0.25">
      <c r="A123" s="190" t="s">
        <v>338</v>
      </c>
      <c r="B123" s="190" t="s">
        <v>215</v>
      </c>
      <c r="C123" s="190">
        <v>4352</v>
      </c>
      <c r="D123" s="192">
        <f t="shared" si="1"/>
        <v>6.9481031614507995E-3</v>
      </c>
    </row>
    <row r="124" spans="1:4" ht="15.75" x14ac:dyDescent="0.25">
      <c r="A124" s="190" t="s">
        <v>339</v>
      </c>
      <c r="B124" s="190" t="s">
        <v>217</v>
      </c>
      <c r="C124" s="190">
        <v>1196</v>
      </c>
      <c r="D124" s="192">
        <f t="shared" si="1"/>
        <v>1.9094511445531151E-3</v>
      </c>
    </row>
    <row r="125" spans="1:4" ht="15.75" x14ac:dyDescent="0.25">
      <c r="A125" s="190" t="s">
        <v>340</v>
      </c>
      <c r="B125" s="190" t="s">
        <v>226</v>
      </c>
      <c r="C125" s="190">
        <v>1724</v>
      </c>
      <c r="D125" s="192">
        <f t="shared" si="1"/>
        <v>2.7524195428173664E-3</v>
      </c>
    </row>
    <row r="126" spans="1:4" ht="15.75" x14ac:dyDescent="0.25">
      <c r="A126" s="190" t="s">
        <v>341</v>
      </c>
      <c r="B126" s="190" t="s">
        <v>233</v>
      </c>
      <c r="C126" s="190">
        <v>862</v>
      </c>
      <c r="D126" s="192">
        <f t="shared" si="1"/>
        <v>1.3762097714086832E-3</v>
      </c>
    </row>
    <row r="127" spans="1:4" ht="15.75" x14ac:dyDescent="0.25">
      <c r="A127" s="190" t="s">
        <v>342</v>
      </c>
      <c r="B127" s="190" t="s">
        <v>207</v>
      </c>
      <c r="C127" s="190">
        <v>8505</v>
      </c>
      <c r="D127" s="192">
        <f t="shared" si="1"/>
        <v>1.3578496642495186E-2</v>
      </c>
    </row>
    <row r="128" spans="1:4" ht="15.75" x14ac:dyDescent="0.25">
      <c r="A128" s="190" t="s">
        <v>343</v>
      </c>
      <c r="B128" s="190" t="s">
        <v>226</v>
      </c>
      <c r="C128" s="190">
        <v>1899</v>
      </c>
      <c r="D128" s="192">
        <f t="shared" si="1"/>
        <v>3.0318124778481318E-3</v>
      </c>
    </row>
    <row r="129" spans="1:4" ht="15.75" x14ac:dyDescent="0.25">
      <c r="A129" s="190" t="s">
        <v>344</v>
      </c>
      <c r="B129" s="190" t="s">
        <v>233</v>
      </c>
      <c r="C129" s="190">
        <v>731</v>
      </c>
      <c r="D129" s="192">
        <f t="shared" si="1"/>
        <v>1.167064202899939E-3</v>
      </c>
    </row>
    <row r="130" spans="1:4" ht="15.75" x14ac:dyDescent="0.25">
      <c r="A130" s="190" t="s">
        <v>345</v>
      </c>
      <c r="B130" s="190" t="s">
        <v>239</v>
      </c>
      <c r="C130" s="190">
        <v>10533</v>
      </c>
      <c r="D130" s="192">
        <f t="shared" si="1"/>
        <v>1.6816261626737425E-2</v>
      </c>
    </row>
    <row r="131" spans="1:4" ht="15.75" x14ac:dyDescent="0.25">
      <c r="A131" s="190" t="s">
        <v>346</v>
      </c>
      <c r="B131" s="190" t="s">
        <v>207</v>
      </c>
      <c r="C131" s="190">
        <v>2043</v>
      </c>
      <c r="D131" s="192">
        <f t="shared" ref="D131:D194" si="2">C131/SUM($C$2:$C$256)</f>
        <v>3.2617129501020183E-3</v>
      </c>
    </row>
    <row r="132" spans="1:4" ht="15.75" x14ac:dyDescent="0.25">
      <c r="A132" s="190" t="s">
        <v>347</v>
      </c>
      <c r="B132" s="190" t="s">
        <v>211</v>
      </c>
      <c r="C132" s="190">
        <v>1084</v>
      </c>
      <c r="D132" s="192">
        <f t="shared" si="2"/>
        <v>1.7306396661334253E-3</v>
      </c>
    </row>
    <row r="133" spans="1:4" ht="15.75" x14ac:dyDescent="0.25">
      <c r="A133" s="190" t="s">
        <v>348</v>
      </c>
      <c r="B133" s="190" t="s">
        <v>226</v>
      </c>
      <c r="C133" s="190">
        <v>7760</v>
      </c>
      <c r="D133" s="192">
        <f t="shared" si="2"/>
        <v>1.2389081004792786E-2</v>
      </c>
    </row>
    <row r="134" spans="1:4" ht="15.75" x14ac:dyDescent="0.25">
      <c r="A134" s="190" t="s">
        <v>349</v>
      </c>
      <c r="B134" s="190" t="s">
        <v>226</v>
      </c>
      <c r="C134" s="190">
        <v>1653</v>
      </c>
      <c r="D134" s="192">
        <f t="shared" si="2"/>
        <v>2.6390658377477417E-3</v>
      </c>
    </row>
    <row r="135" spans="1:4" ht="15.75" x14ac:dyDescent="0.25">
      <c r="A135" s="190" t="s">
        <v>350</v>
      </c>
      <c r="B135" s="190" t="s">
        <v>209</v>
      </c>
      <c r="C135" s="190">
        <v>721</v>
      </c>
      <c r="D135" s="192">
        <f t="shared" si="2"/>
        <v>1.1510988923267523E-3</v>
      </c>
    </row>
    <row r="136" spans="1:4" ht="15.75" x14ac:dyDescent="0.25">
      <c r="A136" s="190" t="s">
        <v>351</v>
      </c>
      <c r="B136" s="190" t="s">
        <v>230</v>
      </c>
      <c r="C136" s="190">
        <v>5314</v>
      </c>
      <c r="D136" s="192">
        <f t="shared" si="2"/>
        <v>8.4839660385913479E-3</v>
      </c>
    </row>
    <row r="137" spans="1:4" ht="15.75" x14ac:dyDescent="0.25">
      <c r="A137" s="190" t="s">
        <v>352</v>
      </c>
      <c r="B137" s="190" t="s">
        <v>233</v>
      </c>
      <c r="C137" s="190">
        <v>1258</v>
      </c>
      <c r="D137" s="192">
        <f t="shared" si="2"/>
        <v>2.0084360701068719E-3</v>
      </c>
    </row>
    <row r="138" spans="1:4" ht="15.75" x14ac:dyDescent="0.25">
      <c r="A138" s="190" t="s">
        <v>353</v>
      </c>
      <c r="B138" s="190" t="s">
        <v>233</v>
      </c>
      <c r="C138" s="190">
        <v>271</v>
      </c>
      <c r="D138" s="192">
        <f t="shared" si="2"/>
        <v>4.3265991653335632E-4</v>
      </c>
    </row>
    <row r="139" spans="1:4" ht="15.75" x14ac:dyDescent="0.25">
      <c r="A139" s="190" t="s">
        <v>354</v>
      </c>
      <c r="B139" s="190" t="s">
        <v>207</v>
      </c>
      <c r="C139" s="190">
        <v>1648</v>
      </c>
      <c r="D139" s="192">
        <f t="shared" si="2"/>
        <v>2.6310831824611484E-3</v>
      </c>
    </row>
    <row r="140" spans="1:4" ht="15.75" x14ac:dyDescent="0.25">
      <c r="A140" s="190" t="s">
        <v>355</v>
      </c>
      <c r="B140" s="190" t="s">
        <v>209</v>
      </c>
      <c r="C140" s="190">
        <v>534</v>
      </c>
      <c r="D140" s="192">
        <f t="shared" si="2"/>
        <v>8.5254758460816336E-4</v>
      </c>
    </row>
    <row r="141" spans="1:4" ht="15.75" x14ac:dyDescent="0.25">
      <c r="A141" s="190" t="s">
        <v>356</v>
      </c>
      <c r="B141" s="190" t="s">
        <v>223</v>
      </c>
      <c r="C141" s="190">
        <v>2155</v>
      </c>
      <c r="D141" s="192">
        <f t="shared" si="2"/>
        <v>3.4405244285217081E-3</v>
      </c>
    </row>
    <row r="142" spans="1:4" ht="15.75" x14ac:dyDescent="0.25">
      <c r="A142" s="190" t="s">
        <v>357</v>
      </c>
      <c r="B142" s="190" t="s">
        <v>217</v>
      </c>
      <c r="C142" s="190">
        <v>1819</v>
      </c>
      <c r="D142" s="192">
        <f t="shared" si="2"/>
        <v>2.9040899932626391E-3</v>
      </c>
    </row>
    <row r="143" spans="1:4" ht="15.75" x14ac:dyDescent="0.25">
      <c r="A143" s="190" t="s">
        <v>358</v>
      </c>
      <c r="B143" s="190" t="s">
        <v>209</v>
      </c>
      <c r="C143" s="190">
        <v>4535</v>
      </c>
      <c r="D143" s="192">
        <f t="shared" si="2"/>
        <v>7.240268344940114E-3</v>
      </c>
    </row>
    <row r="144" spans="1:4" ht="15.75" x14ac:dyDescent="0.25">
      <c r="A144" s="190" t="s">
        <v>359</v>
      </c>
      <c r="B144" s="190" t="s">
        <v>209</v>
      </c>
      <c r="C144" s="190">
        <v>1764</v>
      </c>
      <c r="D144" s="192">
        <f t="shared" si="2"/>
        <v>2.8162807851101128E-3</v>
      </c>
    </row>
    <row r="145" spans="1:4" ht="15.75" x14ac:dyDescent="0.25">
      <c r="A145" s="190" t="s">
        <v>360</v>
      </c>
      <c r="B145" s="190" t="s">
        <v>211</v>
      </c>
      <c r="C145" s="190">
        <v>939</v>
      </c>
      <c r="D145" s="192">
        <f t="shared" si="2"/>
        <v>1.4991426628222198E-3</v>
      </c>
    </row>
    <row r="146" spans="1:4" ht="15.75" x14ac:dyDescent="0.25">
      <c r="A146" s="190" t="s">
        <v>361</v>
      </c>
      <c r="B146" s="190" t="s">
        <v>226</v>
      </c>
      <c r="C146" s="190">
        <v>6175</v>
      </c>
      <c r="D146" s="192">
        <f t="shared" si="2"/>
        <v>9.8585792789427137E-3</v>
      </c>
    </row>
    <row r="147" spans="1:4" ht="15.75" x14ac:dyDescent="0.25">
      <c r="A147" s="190" t="s">
        <v>362</v>
      </c>
      <c r="B147" s="190" t="s">
        <v>209</v>
      </c>
      <c r="C147" s="190">
        <v>161</v>
      </c>
      <c r="D147" s="192">
        <f t="shared" si="2"/>
        <v>2.5704150022830394E-4</v>
      </c>
    </row>
    <row r="148" spans="1:4" ht="15.75" x14ac:dyDescent="0.25">
      <c r="A148" s="190" t="s">
        <v>363</v>
      </c>
      <c r="B148" s="190" t="s">
        <v>223</v>
      </c>
      <c r="C148" s="190">
        <v>3400</v>
      </c>
      <c r="D148" s="192">
        <f t="shared" si="2"/>
        <v>5.428205594883437E-3</v>
      </c>
    </row>
    <row r="149" spans="1:4" ht="15.75" x14ac:dyDescent="0.25">
      <c r="A149" s="190" t="s">
        <v>364</v>
      </c>
      <c r="B149" s="190" t="s">
        <v>226</v>
      </c>
      <c r="C149" s="190">
        <v>1048</v>
      </c>
      <c r="D149" s="192">
        <f t="shared" si="2"/>
        <v>1.6731645480699536E-3</v>
      </c>
    </row>
    <row r="150" spans="1:4" ht="15.75" x14ac:dyDescent="0.25">
      <c r="A150" s="190" t="s">
        <v>365</v>
      </c>
      <c r="B150" s="190" t="s">
        <v>207</v>
      </c>
      <c r="C150" s="190">
        <v>1242</v>
      </c>
      <c r="D150" s="192">
        <f t="shared" si="2"/>
        <v>1.9828915731897731E-3</v>
      </c>
    </row>
    <row r="151" spans="1:4" ht="15.75" x14ac:dyDescent="0.25">
      <c r="A151" s="190" t="s">
        <v>366</v>
      </c>
      <c r="B151" s="190" t="s">
        <v>207</v>
      </c>
      <c r="C151" s="190">
        <v>740</v>
      </c>
      <c r="D151" s="192">
        <f t="shared" si="2"/>
        <v>1.181432982415807E-3</v>
      </c>
    </row>
    <row r="152" spans="1:4" ht="15.75" x14ac:dyDescent="0.25">
      <c r="A152" s="190" t="s">
        <v>367</v>
      </c>
      <c r="B152" s="190" t="s">
        <v>233</v>
      </c>
      <c r="C152" s="190">
        <v>1440</v>
      </c>
      <c r="D152" s="192">
        <f t="shared" si="2"/>
        <v>2.2990047225388676E-3</v>
      </c>
    </row>
    <row r="153" spans="1:4" ht="15.75" x14ac:dyDescent="0.25">
      <c r="A153" s="190" t="s">
        <v>368</v>
      </c>
      <c r="B153" s="190" t="s">
        <v>209</v>
      </c>
      <c r="C153" s="190">
        <v>695</v>
      </c>
      <c r="D153" s="192">
        <f t="shared" si="2"/>
        <v>1.1095890848364673E-3</v>
      </c>
    </row>
    <row r="154" spans="1:4" ht="15.75" x14ac:dyDescent="0.25">
      <c r="A154" s="190" t="s">
        <v>369</v>
      </c>
      <c r="B154" s="190" t="s">
        <v>215</v>
      </c>
      <c r="C154" s="190">
        <v>348</v>
      </c>
      <c r="D154" s="192">
        <f t="shared" si="2"/>
        <v>5.5559280794689303E-4</v>
      </c>
    </row>
    <row r="155" spans="1:4" ht="15.75" x14ac:dyDescent="0.25">
      <c r="A155" s="190" t="s">
        <v>370</v>
      </c>
      <c r="B155" s="190" t="s">
        <v>223</v>
      </c>
      <c r="C155" s="190">
        <v>617</v>
      </c>
      <c r="D155" s="192">
        <f t="shared" si="2"/>
        <v>9.8505966236561195E-4</v>
      </c>
    </row>
    <row r="156" spans="1:4" ht="15.75" x14ac:dyDescent="0.25">
      <c r="A156" s="190" t="s">
        <v>371</v>
      </c>
      <c r="B156" s="190" t="s">
        <v>233</v>
      </c>
      <c r="C156" s="190">
        <v>2940</v>
      </c>
      <c r="D156" s="192">
        <f t="shared" si="2"/>
        <v>4.6938013085168545E-3</v>
      </c>
    </row>
    <row r="157" spans="1:4" ht="15.75" x14ac:dyDescent="0.25">
      <c r="A157" s="190" t="s">
        <v>372</v>
      </c>
      <c r="B157" s="190" t="s">
        <v>226</v>
      </c>
      <c r="C157" s="190">
        <v>1304</v>
      </c>
      <c r="D157" s="192">
        <f t="shared" si="2"/>
        <v>2.0818764987435298E-3</v>
      </c>
    </row>
    <row r="158" spans="1:4" ht="15.75" x14ac:dyDescent="0.25">
      <c r="A158" s="190" t="s">
        <v>373</v>
      </c>
      <c r="B158" s="190" t="s">
        <v>223</v>
      </c>
      <c r="C158" s="190">
        <v>471</v>
      </c>
      <c r="D158" s="192">
        <f t="shared" si="2"/>
        <v>7.5196612799708793E-4</v>
      </c>
    </row>
    <row r="159" spans="1:4" ht="15.75" x14ac:dyDescent="0.25">
      <c r="A159" s="190" t="s">
        <v>374</v>
      </c>
      <c r="B159" s="190" t="s">
        <v>223</v>
      </c>
      <c r="C159" s="190">
        <v>963</v>
      </c>
      <c r="D159" s="192">
        <f t="shared" si="2"/>
        <v>1.5374594081978676E-3</v>
      </c>
    </row>
    <row r="160" spans="1:4" ht="15.75" x14ac:dyDescent="0.25">
      <c r="A160" s="190" t="s">
        <v>375</v>
      </c>
      <c r="B160" s="190" t="s">
        <v>233</v>
      </c>
      <c r="C160" s="190">
        <v>3382</v>
      </c>
      <c r="D160" s="192">
        <f t="shared" si="2"/>
        <v>5.3994680358517011E-3</v>
      </c>
    </row>
    <row r="161" spans="1:4" ht="15.75" x14ac:dyDescent="0.25">
      <c r="A161" s="190" t="s">
        <v>376</v>
      </c>
      <c r="B161" s="190" t="s">
        <v>215</v>
      </c>
      <c r="C161" s="190">
        <v>3495</v>
      </c>
      <c r="D161" s="192">
        <f t="shared" si="2"/>
        <v>5.5798760453287096E-3</v>
      </c>
    </row>
    <row r="162" spans="1:4" ht="15.75" x14ac:dyDescent="0.25">
      <c r="A162" s="190" t="s">
        <v>377</v>
      </c>
      <c r="B162" s="190" t="s">
        <v>233</v>
      </c>
      <c r="C162" s="190">
        <v>1650</v>
      </c>
      <c r="D162" s="192">
        <f t="shared" si="2"/>
        <v>2.6342762445757859E-3</v>
      </c>
    </row>
    <row r="163" spans="1:4" ht="15.75" x14ac:dyDescent="0.25">
      <c r="A163" s="190" t="s">
        <v>378</v>
      </c>
      <c r="B163" s="190" t="s">
        <v>217</v>
      </c>
      <c r="C163" s="190">
        <v>2696</v>
      </c>
      <c r="D163" s="192">
        <f t="shared" si="2"/>
        <v>4.3042477305311024E-3</v>
      </c>
    </row>
    <row r="164" spans="1:4" ht="15.75" x14ac:dyDescent="0.25">
      <c r="A164" s="190" t="s">
        <v>379</v>
      </c>
      <c r="B164" s="190" t="s">
        <v>223</v>
      </c>
      <c r="C164" s="190">
        <v>4768</v>
      </c>
      <c r="D164" s="192">
        <f t="shared" si="2"/>
        <v>7.6122600812953611E-3</v>
      </c>
    </row>
    <row r="165" spans="1:4" ht="15.75" x14ac:dyDescent="0.25">
      <c r="A165" s="190" t="s">
        <v>380</v>
      </c>
      <c r="B165" s="190" t="s">
        <v>213</v>
      </c>
      <c r="C165" s="190">
        <v>739</v>
      </c>
      <c r="D165" s="192">
        <f t="shared" si="2"/>
        <v>1.1798364513584882E-3</v>
      </c>
    </row>
    <row r="166" spans="1:4" ht="15.75" x14ac:dyDescent="0.25">
      <c r="A166" s="190" t="s">
        <v>381</v>
      </c>
      <c r="B166" s="190" t="s">
        <v>217</v>
      </c>
      <c r="C166" s="190">
        <v>777</v>
      </c>
      <c r="D166" s="192">
        <f t="shared" si="2"/>
        <v>1.2405046315365972E-3</v>
      </c>
    </row>
    <row r="167" spans="1:4" ht="15.75" x14ac:dyDescent="0.25">
      <c r="A167" s="190" t="s">
        <v>382</v>
      </c>
      <c r="B167" s="190" t="s">
        <v>211</v>
      </c>
      <c r="C167" s="190">
        <v>2329</v>
      </c>
      <c r="D167" s="192">
        <f t="shared" si="2"/>
        <v>3.7183208324951546E-3</v>
      </c>
    </row>
    <row r="168" spans="1:4" ht="15.75" x14ac:dyDescent="0.25">
      <c r="A168" s="190" t="s">
        <v>383</v>
      </c>
      <c r="B168" s="190" t="s">
        <v>239</v>
      </c>
      <c r="C168" s="190">
        <v>4114</v>
      </c>
      <c r="D168" s="192">
        <f t="shared" si="2"/>
        <v>6.5681287698089591E-3</v>
      </c>
    </row>
    <row r="169" spans="1:4" ht="15.75" x14ac:dyDescent="0.25">
      <c r="A169" s="190" t="s">
        <v>384</v>
      </c>
      <c r="B169" s="190" t="s">
        <v>207</v>
      </c>
      <c r="C169" s="190">
        <v>650</v>
      </c>
      <c r="D169" s="192">
        <f t="shared" si="2"/>
        <v>1.0377451872571276E-3</v>
      </c>
    </row>
    <row r="170" spans="1:4" ht="15.75" x14ac:dyDescent="0.25">
      <c r="A170" s="190" t="s">
        <v>385</v>
      </c>
      <c r="B170" s="190" t="s">
        <v>223</v>
      </c>
      <c r="C170" s="190">
        <v>1095</v>
      </c>
      <c r="D170" s="192">
        <f t="shared" si="2"/>
        <v>1.7482015077639305E-3</v>
      </c>
    </row>
    <row r="171" spans="1:4" ht="15.75" x14ac:dyDescent="0.25">
      <c r="A171" s="190" t="s">
        <v>386</v>
      </c>
      <c r="B171" s="190" t="s">
        <v>217</v>
      </c>
      <c r="C171" s="190">
        <v>5190</v>
      </c>
      <c r="D171" s="192">
        <f t="shared" si="2"/>
        <v>8.2859961874838343E-3</v>
      </c>
    </row>
    <row r="172" spans="1:4" ht="15.75" x14ac:dyDescent="0.25">
      <c r="A172" s="190" t="s">
        <v>387</v>
      </c>
      <c r="B172" s="190" t="s">
        <v>226</v>
      </c>
      <c r="C172" s="190">
        <v>684</v>
      </c>
      <c r="D172" s="192">
        <f t="shared" si="2"/>
        <v>1.0920272432059621E-3</v>
      </c>
    </row>
    <row r="173" spans="1:4" ht="15.75" x14ac:dyDescent="0.25">
      <c r="A173" s="190" t="s">
        <v>388</v>
      </c>
      <c r="B173" s="190" t="s">
        <v>223</v>
      </c>
      <c r="C173" s="190">
        <v>2778</v>
      </c>
      <c r="D173" s="192">
        <f t="shared" si="2"/>
        <v>4.4351632772312317E-3</v>
      </c>
    </row>
    <row r="174" spans="1:4" ht="15.75" x14ac:dyDescent="0.25">
      <c r="A174" s="190" t="s">
        <v>389</v>
      </c>
      <c r="B174" s="190" t="s">
        <v>215</v>
      </c>
      <c r="C174" s="190">
        <v>620</v>
      </c>
      <c r="D174" s="192">
        <f t="shared" si="2"/>
        <v>9.89849255537568E-4</v>
      </c>
    </row>
    <row r="175" spans="1:4" ht="15.75" x14ac:dyDescent="0.25">
      <c r="A175" s="190" t="s">
        <v>390</v>
      </c>
      <c r="B175" s="190" t="s">
        <v>233</v>
      </c>
      <c r="C175" s="190">
        <v>16217</v>
      </c>
      <c r="D175" s="192">
        <f t="shared" si="2"/>
        <v>2.5890944156536679E-2</v>
      </c>
    </row>
    <row r="176" spans="1:4" ht="15.75" x14ac:dyDescent="0.25">
      <c r="A176" s="190" t="s">
        <v>391</v>
      </c>
      <c r="B176" s="190" t="s">
        <v>233</v>
      </c>
      <c r="C176" s="190">
        <v>4048</v>
      </c>
      <c r="D176" s="192">
        <f t="shared" si="2"/>
        <v>6.4627577200259273E-3</v>
      </c>
    </row>
    <row r="177" spans="1:4" ht="15.75" x14ac:dyDescent="0.25">
      <c r="A177" s="190" t="s">
        <v>392</v>
      </c>
      <c r="B177" s="190" t="s">
        <v>209</v>
      </c>
      <c r="C177" s="190">
        <v>1118</v>
      </c>
      <c r="D177" s="192">
        <f t="shared" si="2"/>
        <v>1.7849217220822597E-3</v>
      </c>
    </row>
    <row r="178" spans="1:4" ht="15.75" x14ac:dyDescent="0.25">
      <c r="A178" s="190" t="s">
        <v>393</v>
      </c>
      <c r="B178" s="190" t="s">
        <v>207</v>
      </c>
      <c r="C178" s="190">
        <v>1142</v>
      </c>
      <c r="D178" s="192">
        <f t="shared" si="2"/>
        <v>1.8232384674579075E-3</v>
      </c>
    </row>
    <row r="179" spans="1:4" ht="15.75" x14ac:dyDescent="0.25">
      <c r="A179" s="190" t="s">
        <v>394</v>
      </c>
      <c r="B179" s="190" t="s">
        <v>215</v>
      </c>
      <c r="C179" s="190">
        <v>516</v>
      </c>
      <c r="D179" s="192">
        <f t="shared" si="2"/>
        <v>8.2381002557642749E-4</v>
      </c>
    </row>
    <row r="180" spans="1:4" ht="15.75" x14ac:dyDescent="0.25">
      <c r="A180" s="190" t="s">
        <v>395</v>
      </c>
      <c r="B180" s="190" t="s">
        <v>217</v>
      </c>
      <c r="C180" s="190">
        <v>97</v>
      </c>
      <c r="D180" s="192">
        <f t="shared" si="2"/>
        <v>1.5486351255990984E-4</v>
      </c>
    </row>
    <row r="181" spans="1:4" ht="15.75" x14ac:dyDescent="0.25">
      <c r="A181" s="190" t="s">
        <v>396</v>
      </c>
      <c r="B181" s="190" t="s">
        <v>215</v>
      </c>
      <c r="C181" s="190">
        <v>3558</v>
      </c>
      <c r="D181" s="192">
        <f t="shared" si="2"/>
        <v>5.6804575019397856E-3</v>
      </c>
    </row>
    <row r="182" spans="1:4" ht="15.75" x14ac:dyDescent="0.25">
      <c r="A182" s="190" t="s">
        <v>397</v>
      </c>
      <c r="B182" s="190" t="s">
        <v>223</v>
      </c>
      <c r="C182" s="190">
        <v>1521</v>
      </c>
      <c r="D182" s="192">
        <f t="shared" si="2"/>
        <v>2.428323738181679E-3</v>
      </c>
    </row>
    <row r="183" spans="1:4" ht="15.75" x14ac:dyDescent="0.25">
      <c r="A183" s="190" t="s">
        <v>398</v>
      </c>
      <c r="B183" s="190" t="s">
        <v>209</v>
      </c>
      <c r="C183" s="190">
        <v>568</v>
      </c>
      <c r="D183" s="192">
        <f t="shared" si="2"/>
        <v>9.068296405569978E-4</v>
      </c>
    </row>
    <row r="184" spans="1:4" ht="15.75" x14ac:dyDescent="0.25">
      <c r="A184" s="190" t="s">
        <v>399</v>
      </c>
      <c r="B184" s="190" t="s">
        <v>239</v>
      </c>
      <c r="C184" s="190">
        <v>7452</v>
      </c>
      <c r="D184" s="192">
        <f t="shared" si="2"/>
        <v>1.189734943913864E-2</v>
      </c>
    </row>
    <row r="185" spans="1:4" ht="15.75" x14ac:dyDescent="0.25">
      <c r="A185" s="190" t="s">
        <v>400</v>
      </c>
      <c r="B185" s="190" t="s">
        <v>211</v>
      </c>
      <c r="C185" s="190">
        <v>2329</v>
      </c>
      <c r="D185" s="192">
        <f t="shared" si="2"/>
        <v>3.7183208324951546E-3</v>
      </c>
    </row>
    <row r="186" spans="1:4" ht="15.75" x14ac:dyDescent="0.25">
      <c r="A186" s="190" t="s">
        <v>401</v>
      </c>
      <c r="B186" s="190" t="s">
        <v>207</v>
      </c>
      <c r="C186" s="190">
        <v>1179</v>
      </c>
      <c r="D186" s="192">
        <f t="shared" si="2"/>
        <v>1.8823101165786978E-3</v>
      </c>
    </row>
    <row r="187" spans="1:4" ht="15.75" x14ac:dyDescent="0.25">
      <c r="A187" s="190" t="s">
        <v>402</v>
      </c>
      <c r="B187" s="190" t="s">
        <v>233</v>
      </c>
      <c r="C187" s="190">
        <v>1158</v>
      </c>
      <c r="D187" s="192">
        <f t="shared" si="2"/>
        <v>1.8487829643750061E-3</v>
      </c>
    </row>
    <row r="188" spans="1:4" ht="15.75" x14ac:dyDescent="0.25">
      <c r="A188" s="190" t="s">
        <v>403</v>
      </c>
      <c r="B188" s="190" t="s">
        <v>217</v>
      </c>
      <c r="C188" s="190">
        <v>7</v>
      </c>
      <c r="D188" s="192">
        <f t="shared" si="2"/>
        <v>1.1175717401230607E-5</v>
      </c>
    </row>
    <row r="189" spans="1:4" ht="15.75" x14ac:dyDescent="0.25">
      <c r="A189" s="190" t="s">
        <v>404</v>
      </c>
      <c r="B189" s="190" t="s">
        <v>239</v>
      </c>
      <c r="C189" s="190">
        <v>18378</v>
      </c>
      <c r="D189" s="192">
        <f t="shared" si="2"/>
        <v>2.9341047771402298E-2</v>
      </c>
    </row>
    <row r="190" spans="1:4" ht="15.75" x14ac:dyDescent="0.25">
      <c r="A190" s="190" t="s">
        <v>405</v>
      </c>
      <c r="B190" s="190" t="s">
        <v>211</v>
      </c>
      <c r="C190" s="190">
        <v>1576</v>
      </c>
      <c r="D190" s="192">
        <f t="shared" si="2"/>
        <v>2.5161329463342049E-3</v>
      </c>
    </row>
    <row r="191" spans="1:4" ht="15.75" x14ac:dyDescent="0.25">
      <c r="A191" s="190" t="s">
        <v>406</v>
      </c>
      <c r="B191" s="190" t="s">
        <v>213</v>
      </c>
      <c r="C191" s="190">
        <v>9301</v>
      </c>
      <c r="D191" s="192">
        <f t="shared" si="2"/>
        <v>1.4849335364120838E-2</v>
      </c>
    </row>
    <row r="192" spans="1:4" ht="15.75" x14ac:dyDescent="0.25">
      <c r="A192" s="190" t="s">
        <v>407</v>
      </c>
      <c r="B192" s="190" t="s">
        <v>211</v>
      </c>
      <c r="C192" s="190">
        <v>6889</v>
      </c>
      <c r="D192" s="192">
        <f t="shared" si="2"/>
        <v>1.0998502453868235E-2</v>
      </c>
    </row>
    <row r="193" spans="1:4" ht="15.75" x14ac:dyDescent="0.25">
      <c r="A193" s="190" t="s">
        <v>408</v>
      </c>
      <c r="B193" s="190" t="s">
        <v>211</v>
      </c>
      <c r="C193" s="190">
        <v>6157</v>
      </c>
      <c r="D193" s="192">
        <f t="shared" si="2"/>
        <v>9.8298417199109769E-3</v>
      </c>
    </row>
    <row r="194" spans="1:4" ht="15.75" x14ac:dyDescent="0.25">
      <c r="A194" s="190" t="s">
        <v>409</v>
      </c>
      <c r="B194" s="190" t="s">
        <v>239</v>
      </c>
      <c r="C194" s="190">
        <v>772</v>
      </c>
      <c r="D194" s="192">
        <f t="shared" si="2"/>
        <v>1.2325219762500039E-3</v>
      </c>
    </row>
    <row r="195" spans="1:4" ht="15.75" x14ac:dyDescent="0.25">
      <c r="A195" s="190" t="s">
        <v>410</v>
      </c>
      <c r="B195" s="190" t="s">
        <v>209</v>
      </c>
      <c r="C195" s="190">
        <v>7573</v>
      </c>
      <c r="D195" s="192">
        <f t="shared" ref="D195:D256" si="3">C195/SUM($C$2:$C$256)</f>
        <v>1.2090529697074198E-2</v>
      </c>
    </row>
    <row r="196" spans="1:4" ht="15.75" x14ac:dyDescent="0.25">
      <c r="A196" s="190" t="s">
        <v>411</v>
      </c>
      <c r="B196" s="190" t="s">
        <v>215</v>
      </c>
      <c r="C196" s="190">
        <v>878</v>
      </c>
      <c r="D196" s="192">
        <f t="shared" si="3"/>
        <v>1.4017542683257818E-3</v>
      </c>
    </row>
    <row r="197" spans="1:4" ht="15.75" x14ac:dyDescent="0.25">
      <c r="A197" s="190" t="s">
        <v>412</v>
      </c>
      <c r="B197" s="190" t="s">
        <v>209</v>
      </c>
      <c r="C197" s="190">
        <v>278</v>
      </c>
      <c r="D197" s="192">
        <f t="shared" si="3"/>
        <v>4.4383563393458691E-4</v>
      </c>
    </row>
    <row r="198" spans="1:4" ht="15.75" x14ac:dyDescent="0.25">
      <c r="A198" s="190" t="s">
        <v>413</v>
      </c>
      <c r="B198" s="190" t="s">
        <v>207</v>
      </c>
      <c r="C198" s="190">
        <v>1762</v>
      </c>
      <c r="D198" s="192">
        <f t="shared" si="3"/>
        <v>2.8130877229954753E-3</v>
      </c>
    </row>
    <row r="199" spans="1:4" ht="15.75" x14ac:dyDescent="0.25">
      <c r="A199" s="190" t="s">
        <v>414</v>
      </c>
      <c r="B199" s="190" t="s">
        <v>223</v>
      </c>
      <c r="C199" s="190">
        <v>735</v>
      </c>
      <c r="D199" s="192">
        <f t="shared" si="3"/>
        <v>1.1734503271292136E-3</v>
      </c>
    </row>
    <row r="200" spans="1:4" ht="15.75" x14ac:dyDescent="0.25">
      <c r="A200" s="190" t="s">
        <v>415</v>
      </c>
      <c r="B200" s="190" t="s">
        <v>230</v>
      </c>
      <c r="C200" s="190">
        <v>4371</v>
      </c>
      <c r="D200" s="192">
        <f t="shared" si="3"/>
        <v>6.9784372515398546E-3</v>
      </c>
    </row>
    <row r="201" spans="1:4" ht="15.75" x14ac:dyDescent="0.25">
      <c r="A201" s="190" t="s">
        <v>416</v>
      </c>
      <c r="B201" s="190" t="s">
        <v>223</v>
      </c>
      <c r="C201" s="190">
        <v>1037</v>
      </c>
      <c r="D201" s="192">
        <f t="shared" si="3"/>
        <v>1.6556027064394483E-3</v>
      </c>
    </row>
    <row r="202" spans="1:4" ht="15.75" x14ac:dyDescent="0.25">
      <c r="A202" s="190" t="s">
        <v>417</v>
      </c>
      <c r="B202" s="190" t="s">
        <v>217</v>
      </c>
      <c r="C202" s="190">
        <v>171</v>
      </c>
      <c r="D202" s="192">
        <f t="shared" si="3"/>
        <v>2.7300681080149052E-4</v>
      </c>
    </row>
    <row r="203" spans="1:4" ht="15.75" x14ac:dyDescent="0.25">
      <c r="A203" s="190" t="s">
        <v>418</v>
      </c>
      <c r="B203" s="190" t="s">
        <v>233</v>
      </c>
      <c r="C203" s="190">
        <v>499</v>
      </c>
      <c r="D203" s="192">
        <f t="shared" si="3"/>
        <v>7.9666899760201038E-4</v>
      </c>
    </row>
    <row r="204" spans="1:4" ht="15.75" x14ac:dyDescent="0.25">
      <c r="A204" s="190" t="s">
        <v>419</v>
      </c>
      <c r="B204" s="190" t="s">
        <v>215</v>
      </c>
      <c r="C204" s="190">
        <v>934</v>
      </c>
      <c r="D204" s="192">
        <f t="shared" si="3"/>
        <v>1.4911600075356267E-3</v>
      </c>
    </row>
    <row r="205" spans="1:4" ht="15.75" x14ac:dyDescent="0.25">
      <c r="A205" s="190" t="s">
        <v>420</v>
      </c>
      <c r="B205" s="190" t="s">
        <v>209</v>
      </c>
      <c r="C205" s="190">
        <v>948</v>
      </c>
      <c r="D205" s="192">
        <f t="shared" si="3"/>
        <v>1.5135114423380878E-3</v>
      </c>
    </row>
    <row r="206" spans="1:4" ht="15.75" x14ac:dyDescent="0.25">
      <c r="A206" s="190" t="s">
        <v>421</v>
      </c>
      <c r="B206" s="190" t="s">
        <v>211</v>
      </c>
      <c r="C206" s="190">
        <v>6433</v>
      </c>
      <c r="D206" s="192">
        <f t="shared" si="3"/>
        <v>1.0270484291730927E-2</v>
      </c>
    </row>
    <row r="207" spans="1:4" ht="15.75" x14ac:dyDescent="0.25">
      <c r="A207" s="190" t="s">
        <v>422</v>
      </c>
      <c r="B207" s="190" t="s">
        <v>223</v>
      </c>
      <c r="C207" s="190">
        <v>2589</v>
      </c>
      <c r="D207" s="192">
        <f t="shared" si="3"/>
        <v>4.1334189073980055E-3</v>
      </c>
    </row>
    <row r="208" spans="1:4" ht="15.75" x14ac:dyDescent="0.25">
      <c r="A208" s="190" t="s">
        <v>423</v>
      </c>
      <c r="B208" s="190" t="s">
        <v>233</v>
      </c>
      <c r="C208" s="190">
        <v>558</v>
      </c>
      <c r="D208" s="192">
        <f t="shared" si="3"/>
        <v>8.9086432998381122E-4</v>
      </c>
    </row>
    <row r="209" spans="1:4" ht="15.75" x14ac:dyDescent="0.25">
      <c r="A209" s="190" t="s">
        <v>424</v>
      </c>
      <c r="B209" s="190" t="s">
        <v>223</v>
      </c>
      <c r="C209" s="190">
        <v>1228</v>
      </c>
      <c r="D209" s="192">
        <f t="shared" si="3"/>
        <v>1.9605401383873122E-3</v>
      </c>
    </row>
    <row r="210" spans="1:4" ht="15.75" x14ac:dyDescent="0.25">
      <c r="A210" s="190" t="s">
        <v>425</v>
      </c>
      <c r="B210" s="190" t="s">
        <v>217</v>
      </c>
      <c r="C210" s="190">
        <v>1126</v>
      </c>
      <c r="D210" s="192">
        <f t="shared" si="3"/>
        <v>1.7976939705408089E-3</v>
      </c>
    </row>
    <row r="211" spans="1:4" ht="15.75" x14ac:dyDescent="0.25">
      <c r="A211" s="190" t="s">
        <v>426</v>
      </c>
      <c r="B211" s="190" t="s">
        <v>209</v>
      </c>
      <c r="C211" s="190">
        <v>1413</v>
      </c>
      <c r="D211" s="192">
        <f t="shared" si="3"/>
        <v>2.2558983839912638E-3</v>
      </c>
    </row>
    <row r="212" spans="1:4" ht="15.75" x14ac:dyDescent="0.25">
      <c r="A212" s="190" t="s">
        <v>427</v>
      </c>
      <c r="B212" s="190" t="s">
        <v>223</v>
      </c>
      <c r="C212" s="190">
        <v>1237</v>
      </c>
      <c r="D212" s="192">
        <f t="shared" si="3"/>
        <v>1.9749089179031802E-3</v>
      </c>
    </row>
    <row r="213" spans="1:4" ht="15.75" x14ac:dyDescent="0.25">
      <c r="A213" s="190" t="s">
        <v>428</v>
      </c>
      <c r="B213" s="190" t="s">
        <v>239</v>
      </c>
      <c r="C213" s="190">
        <v>3040</v>
      </c>
      <c r="D213" s="192">
        <f t="shared" si="3"/>
        <v>4.8534544142487205E-3</v>
      </c>
    </row>
    <row r="214" spans="1:4" ht="15.75" x14ac:dyDescent="0.25">
      <c r="A214" s="190" t="s">
        <v>429</v>
      </c>
      <c r="B214" s="190" t="s">
        <v>207</v>
      </c>
      <c r="C214" s="190">
        <v>2579</v>
      </c>
      <c r="D214" s="192">
        <f t="shared" si="3"/>
        <v>4.1174535968248188E-3</v>
      </c>
    </row>
    <row r="215" spans="1:4" ht="15.75" x14ac:dyDescent="0.25">
      <c r="A215" s="190" t="s">
        <v>430</v>
      </c>
      <c r="B215" s="190" t="s">
        <v>217</v>
      </c>
      <c r="C215" s="190">
        <v>2027</v>
      </c>
      <c r="D215" s="192">
        <f t="shared" si="3"/>
        <v>3.2361684531849199E-3</v>
      </c>
    </row>
    <row r="216" spans="1:4" ht="15.75" x14ac:dyDescent="0.25">
      <c r="A216" s="190" t="s">
        <v>431</v>
      </c>
      <c r="B216" s="190" t="s">
        <v>223</v>
      </c>
      <c r="C216" s="190">
        <v>679</v>
      </c>
      <c r="D216" s="192">
        <f t="shared" si="3"/>
        <v>1.0840445879193687E-3</v>
      </c>
    </row>
    <row r="217" spans="1:4" ht="15.75" x14ac:dyDescent="0.25">
      <c r="A217" s="190" t="s">
        <v>432</v>
      </c>
      <c r="B217" s="190" t="s">
        <v>209</v>
      </c>
      <c r="C217" s="190">
        <v>108</v>
      </c>
      <c r="D217" s="192">
        <f t="shared" si="3"/>
        <v>1.7242535419041506E-4</v>
      </c>
    </row>
    <row r="218" spans="1:4" ht="15.75" x14ac:dyDescent="0.25">
      <c r="A218" s="190" t="s">
        <v>433</v>
      </c>
      <c r="B218" s="190" t="s">
        <v>226</v>
      </c>
      <c r="C218" s="190">
        <v>1607</v>
      </c>
      <c r="D218" s="192">
        <f t="shared" si="3"/>
        <v>2.5656254091110833E-3</v>
      </c>
    </row>
    <row r="219" spans="1:4" ht="15.75" x14ac:dyDescent="0.25">
      <c r="A219" s="190" t="s">
        <v>434</v>
      </c>
      <c r="B219" s="190" t="s">
        <v>209</v>
      </c>
      <c r="C219" s="190">
        <v>1044</v>
      </c>
      <c r="D219" s="192">
        <f t="shared" si="3"/>
        <v>1.666778423840679E-3</v>
      </c>
    </row>
    <row r="220" spans="1:4" ht="15.75" x14ac:dyDescent="0.25">
      <c r="A220" s="190" t="s">
        <v>435</v>
      </c>
      <c r="B220" s="190" t="s">
        <v>233</v>
      </c>
      <c r="C220" s="190">
        <v>2098</v>
      </c>
      <c r="D220" s="192">
        <f t="shared" si="3"/>
        <v>3.3495221582545446E-3</v>
      </c>
    </row>
    <row r="221" spans="1:4" ht="15.75" x14ac:dyDescent="0.25">
      <c r="A221" s="190" t="s">
        <v>436</v>
      </c>
      <c r="B221" s="190" t="s">
        <v>207</v>
      </c>
      <c r="C221" s="190">
        <v>486</v>
      </c>
      <c r="D221" s="192">
        <f t="shared" si="3"/>
        <v>7.7591409385686775E-4</v>
      </c>
    </row>
    <row r="222" spans="1:4" ht="15.75" x14ac:dyDescent="0.25">
      <c r="A222" s="190" t="s">
        <v>437</v>
      </c>
      <c r="B222" s="190" t="s">
        <v>217</v>
      </c>
      <c r="C222" s="190">
        <v>694</v>
      </c>
      <c r="D222" s="192">
        <f t="shared" si="3"/>
        <v>1.1079925537791488E-3</v>
      </c>
    </row>
    <row r="223" spans="1:4" ht="15.75" x14ac:dyDescent="0.25">
      <c r="A223" s="190" t="s">
        <v>438</v>
      </c>
      <c r="B223" s="190" t="s">
        <v>209</v>
      </c>
      <c r="C223" s="190">
        <v>0</v>
      </c>
      <c r="D223" s="192">
        <f t="shared" si="3"/>
        <v>0</v>
      </c>
    </row>
    <row r="224" spans="1:4" ht="15.75" x14ac:dyDescent="0.25">
      <c r="A224" s="190" t="s">
        <v>439</v>
      </c>
      <c r="B224" s="190" t="s">
        <v>226</v>
      </c>
      <c r="C224" s="190">
        <v>1651</v>
      </c>
      <c r="D224" s="192">
        <f t="shared" si="3"/>
        <v>2.6358727756331042E-3</v>
      </c>
    </row>
    <row r="225" spans="1:4" ht="15.75" x14ac:dyDescent="0.25">
      <c r="A225" s="190" t="s">
        <v>440</v>
      </c>
      <c r="B225" s="190" t="s">
        <v>209</v>
      </c>
      <c r="C225" s="190">
        <v>4</v>
      </c>
      <c r="D225" s="192">
        <f t="shared" si="3"/>
        <v>6.3861242292746321E-6</v>
      </c>
    </row>
    <row r="226" spans="1:4" ht="15.75" x14ac:dyDescent="0.25">
      <c r="A226" s="190" t="s">
        <v>441</v>
      </c>
      <c r="B226" s="190" t="s">
        <v>226</v>
      </c>
      <c r="C226" s="190">
        <v>1067</v>
      </c>
      <c r="D226" s="192">
        <f t="shared" si="3"/>
        <v>1.7034986381590082E-3</v>
      </c>
    </row>
    <row r="227" spans="1:4" ht="15.75" x14ac:dyDescent="0.25">
      <c r="A227" s="190" t="s">
        <v>442</v>
      </c>
      <c r="B227" s="190" t="s">
        <v>226</v>
      </c>
      <c r="C227" s="190">
        <v>5083</v>
      </c>
      <c r="D227" s="192">
        <f t="shared" si="3"/>
        <v>8.1151673643507383E-3</v>
      </c>
    </row>
    <row r="228" spans="1:4" ht="15.75" x14ac:dyDescent="0.25">
      <c r="A228" s="190" t="s">
        <v>443</v>
      </c>
      <c r="B228" s="190" t="s">
        <v>209</v>
      </c>
      <c r="C228" s="190">
        <v>1489</v>
      </c>
      <c r="D228" s="192">
        <f t="shared" si="3"/>
        <v>2.3772347443474819E-3</v>
      </c>
    </row>
    <row r="229" spans="1:4" ht="15.75" x14ac:dyDescent="0.25">
      <c r="A229" s="190" t="s">
        <v>444</v>
      </c>
      <c r="B229" s="190" t="s">
        <v>230</v>
      </c>
      <c r="C229" s="190">
        <v>724</v>
      </c>
      <c r="D229" s="192">
        <f t="shared" si="3"/>
        <v>1.1558884854987084E-3</v>
      </c>
    </row>
    <row r="230" spans="1:4" ht="15.75" x14ac:dyDescent="0.25">
      <c r="A230" s="190" t="s">
        <v>445</v>
      </c>
      <c r="B230" s="190" t="s">
        <v>213</v>
      </c>
      <c r="C230" s="190">
        <v>2813</v>
      </c>
      <c r="D230" s="192">
        <f t="shared" si="3"/>
        <v>4.4910418642373851E-3</v>
      </c>
    </row>
    <row r="231" spans="1:4" ht="15.75" x14ac:dyDescent="0.25">
      <c r="A231" s="190" t="s">
        <v>446</v>
      </c>
      <c r="B231" s="190" t="s">
        <v>233</v>
      </c>
      <c r="C231" s="190">
        <v>1116</v>
      </c>
      <c r="D231" s="192">
        <f t="shared" si="3"/>
        <v>1.7817286599676224E-3</v>
      </c>
    </row>
    <row r="232" spans="1:4" ht="15.75" x14ac:dyDescent="0.25">
      <c r="A232" s="190" t="s">
        <v>447</v>
      </c>
      <c r="B232" s="190" t="s">
        <v>223</v>
      </c>
      <c r="C232" s="190">
        <v>650</v>
      </c>
      <c r="D232" s="192">
        <f t="shared" si="3"/>
        <v>1.0377451872571276E-3</v>
      </c>
    </row>
    <row r="233" spans="1:4" ht="15.75" x14ac:dyDescent="0.25">
      <c r="A233" s="190" t="s">
        <v>448</v>
      </c>
      <c r="B233" s="190" t="s">
        <v>233</v>
      </c>
      <c r="C233" s="190">
        <v>290</v>
      </c>
      <c r="D233" s="192">
        <f t="shared" si="3"/>
        <v>4.6299400662241084E-4</v>
      </c>
    </row>
    <row r="234" spans="1:4" ht="15.75" x14ac:dyDescent="0.25">
      <c r="A234" s="190" t="s">
        <v>449</v>
      </c>
      <c r="B234" s="190" t="s">
        <v>233</v>
      </c>
      <c r="C234" s="190">
        <v>2335</v>
      </c>
      <c r="D234" s="192">
        <f t="shared" si="3"/>
        <v>3.7279000188390663E-3</v>
      </c>
    </row>
    <row r="235" spans="1:4" ht="15.75" x14ac:dyDescent="0.25">
      <c r="A235" s="190" t="s">
        <v>450</v>
      </c>
      <c r="B235" s="190" t="s">
        <v>213</v>
      </c>
      <c r="C235" s="190">
        <v>1094</v>
      </c>
      <c r="D235" s="192">
        <f t="shared" si="3"/>
        <v>1.746604976706612E-3</v>
      </c>
    </row>
    <row r="236" spans="1:4" ht="15.75" x14ac:dyDescent="0.25">
      <c r="A236" s="190" t="s">
        <v>451</v>
      </c>
      <c r="B236" s="190" t="s">
        <v>209</v>
      </c>
      <c r="C236" s="190">
        <v>534</v>
      </c>
      <c r="D236" s="192">
        <f t="shared" si="3"/>
        <v>8.5254758460816336E-4</v>
      </c>
    </row>
    <row r="237" spans="1:4" ht="15.75" x14ac:dyDescent="0.25">
      <c r="A237" s="190" t="s">
        <v>452</v>
      </c>
      <c r="B237" s="190" t="s">
        <v>239</v>
      </c>
      <c r="C237" s="190">
        <v>1937</v>
      </c>
      <c r="D237" s="192">
        <f t="shared" si="3"/>
        <v>3.0924806580262406E-3</v>
      </c>
    </row>
    <row r="238" spans="1:4" ht="15.75" x14ac:dyDescent="0.25">
      <c r="A238" s="190" t="s">
        <v>453</v>
      </c>
      <c r="B238" s="190" t="s">
        <v>217</v>
      </c>
      <c r="C238" s="190">
        <v>3148</v>
      </c>
      <c r="D238" s="192">
        <f t="shared" si="3"/>
        <v>5.0258797684391357E-3</v>
      </c>
    </row>
    <row r="239" spans="1:4" ht="15.75" x14ac:dyDescent="0.25">
      <c r="A239" s="190" t="s">
        <v>454</v>
      </c>
      <c r="B239" s="190" t="s">
        <v>209</v>
      </c>
      <c r="C239" s="190">
        <v>393</v>
      </c>
      <c r="D239" s="192">
        <f t="shared" si="3"/>
        <v>6.2743670552623258E-4</v>
      </c>
    </row>
    <row r="240" spans="1:4" ht="15.75" x14ac:dyDescent="0.25">
      <c r="A240" s="190" t="s">
        <v>455</v>
      </c>
      <c r="B240" s="190" t="s">
        <v>217</v>
      </c>
      <c r="C240" s="190">
        <v>598</v>
      </c>
      <c r="D240" s="192">
        <f t="shared" si="3"/>
        <v>9.5472557227655754E-4</v>
      </c>
    </row>
    <row r="241" spans="1:4" ht="15.75" x14ac:dyDescent="0.25">
      <c r="A241" s="190" t="s">
        <v>456</v>
      </c>
      <c r="B241" s="190" t="s">
        <v>207</v>
      </c>
      <c r="C241" s="190">
        <v>854</v>
      </c>
      <c r="D241" s="192">
        <f t="shared" si="3"/>
        <v>1.363437522950134E-3</v>
      </c>
    </row>
    <row r="242" spans="1:4" ht="15.75" x14ac:dyDescent="0.25">
      <c r="A242" s="190" t="s">
        <v>457</v>
      </c>
      <c r="B242" s="190" t="s">
        <v>209</v>
      </c>
      <c r="C242" s="190">
        <v>866</v>
      </c>
      <c r="D242" s="192">
        <f t="shared" si="3"/>
        <v>1.3825958956379578E-3</v>
      </c>
    </row>
    <row r="243" spans="1:4" ht="15.75" x14ac:dyDescent="0.25">
      <c r="A243" s="190" t="s">
        <v>458</v>
      </c>
      <c r="B243" s="190" t="s">
        <v>207</v>
      </c>
      <c r="C243" s="190">
        <v>409</v>
      </c>
      <c r="D243" s="192">
        <f t="shared" si="3"/>
        <v>6.5298120244333116E-4</v>
      </c>
    </row>
    <row r="244" spans="1:4" ht="15.75" x14ac:dyDescent="0.25">
      <c r="A244" s="190" t="s">
        <v>459</v>
      </c>
      <c r="B244" s="190" t="s">
        <v>217</v>
      </c>
      <c r="C244" s="190">
        <v>1237</v>
      </c>
      <c r="D244" s="192">
        <f t="shared" si="3"/>
        <v>1.9749089179031802E-3</v>
      </c>
    </row>
    <row r="245" spans="1:4" ht="15.75" x14ac:dyDescent="0.25">
      <c r="A245" s="190" t="s">
        <v>460</v>
      </c>
      <c r="B245" s="190" t="s">
        <v>226</v>
      </c>
      <c r="C245" s="190">
        <v>3397</v>
      </c>
      <c r="D245" s="192">
        <f t="shared" si="3"/>
        <v>5.4234160017114811E-3</v>
      </c>
    </row>
    <row r="246" spans="1:4" ht="15.75" x14ac:dyDescent="0.25">
      <c r="A246" s="190" t="s">
        <v>461</v>
      </c>
      <c r="B246" s="190" t="s">
        <v>239</v>
      </c>
      <c r="C246" s="190">
        <v>8932</v>
      </c>
      <c r="D246" s="192">
        <f t="shared" si="3"/>
        <v>1.4260215403970253E-2</v>
      </c>
    </row>
    <row r="247" spans="1:4" ht="15.75" x14ac:dyDescent="0.25">
      <c r="A247" s="190" t="s">
        <v>462</v>
      </c>
      <c r="B247" s="190" t="s">
        <v>217</v>
      </c>
      <c r="C247" s="190">
        <v>2257</v>
      </c>
      <c r="D247" s="192">
        <f t="shared" si="3"/>
        <v>3.6033705963682112E-3</v>
      </c>
    </row>
    <row r="248" spans="1:4" ht="15.75" x14ac:dyDescent="0.25">
      <c r="A248" s="190" t="s">
        <v>463</v>
      </c>
      <c r="B248" s="190" t="s">
        <v>217</v>
      </c>
      <c r="C248" s="190">
        <v>422</v>
      </c>
      <c r="D248" s="192">
        <f t="shared" si="3"/>
        <v>6.7373610618847368E-4</v>
      </c>
    </row>
    <row r="249" spans="1:4" ht="15.75" x14ac:dyDescent="0.25">
      <c r="A249" s="190" t="s">
        <v>464</v>
      </c>
      <c r="B249" s="190" t="s">
        <v>213</v>
      </c>
      <c r="C249" s="190">
        <v>3504</v>
      </c>
      <c r="D249" s="192">
        <f t="shared" si="3"/>
        <v>5.594244824844578E-3</v>
      </c>
    </row>
    <row r="250" spans="1:4" ht="15.75" x14ac:dyDescent="0.25">
      <c r="A250" s="190" t="s">
        <v>465</v>
      </c>
      <c r="B250" s="190" t="s">
        <v>217</v>
      </c>
      <c r="C250" s="190">
        <v>654</v>
      </c>
      <c r="D250" s="192">
        <f t="shared" si="3"/>
        <v>1.0441313114864024E-3</v>
      </c>
    </row>
    <row r="251" spans="1:4" ht="15.75" x14ac:dyDescent="0.25">
      <c r="A251" s="190" t="s">
        <v>466</v>
      </c>
      <c r="B251" s="190" t="s">
        <v>239</v>
      </c>
      <c r="C251" s="190">
        <v>7250</v>
      </c>
      <c r="D251" s="192">
        <f t="shared" si="3"/>
        <v>1.1574850165560271E-2</v>
      </c>
    </row>
    <row r="252" spans="1:4" ht="15.75" x14ac:dyDescent="0.25">
      <c r="A252" s="190" t="s">
        <v>467</v>
      </c>
      <c r="B252" s="190" t="s">
        <v>230</v>
      </c>
      <c r="C252" s="190">
        <v>1556</v>
      </c>
      <c r="D252" s="192">
        <f t="shared" si="3"/>
        <v>2.484202325187832E-3</v>
      </c>
    </row>
    <row r="253" spans="1:4" ht="15.75" x14ac:dyDescent="0.25">
      <c r="A253" s="190" t="s">
        <v>468</v>
      </c>
      <c r="B253" s="190" t="s">
        <v>226</v>
      </c>
      <c r="C253" s="190">
        <v>897</v>
      </c>
      <c r="D253" s="192">
        <f t="shared" si="3"/>
        <v>1.4320883584148362E-3</v>
      </c>
    </row>
    <row r="254" spans="1:4" ht="15.75" x14ac:dyDescent="0.25">
      <c r="A254" s="190" t="s">
        <v>469</v>
      </c>
      <c r="B254" s="190" t="s">
        <v>215</v>
      </c>
      <c r="C254" s="190">
        <v>322</v>
      </c>
      <c r="D254" s="192">
        <f t="shared" si="3"/>
        <v>5.1408300045660787E-4</v>
      </c>
    </row>
    <row r="255" spans="1:4" ht="15.75" x14ac:dyDescent="0.25">
      <c r="A255" s="190" t="s">
        <v>470</v>
      </c>
      <c r="B255" s="190" t="s">
        <v>223</v>
      </c>
      <c r="C255" s="190">
        <v>3017</v>
      </c>
      <c r="D255" s="192">
        <f t="shared" si="3"/>
        <v>4.8167341999303913E-3</v>
      </c>
    </row>
    <row r="256" spans="1:4" ht="15.75" x14ac:dyDescent="0.25">
      <c r="A256" s="190" t="s">
        <v>471</v>
      </c>
      <c r="B256" s="190" t="s">
        <v>226</v>
      </c>
      <c r="C256" s="190">
        <v>891</v>
      </c>
      <c r="D256" s="192">
        <f t="shared" si="3"/>
        <v>1.4225091720709243E-3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K23"/>
  <sheetViews>
    <sheetView tabSelected="1" workbookViewId="0">
      <selection activeCell="H26" sqref="H26"/>
    </sheetView>
  </sheetViews>
  <sheetFormatPr defaultRowHeight="15" x14ac:dyDescent="0.25"/>
  <cols>
    <col min="1" max="1" width="9.140625" style="102"/>
    <col min="2" max="11" width="8.7109375" style="102" customWidth="1"/>
    <col min="12" max="16384" width="9.140625" style="102"/>
  </cols>
  <sheetData>
    <row r="3" spans="2:11" x14ac:dyDescent="0.25">
      <c r="B3" s="215" t="s">
        <v>504</v>
      </c>
      <c r="C3" s="216"/>
      <c r="D3" s="216"/>
      <c r="E3" s="216"/>
      <c r="F3" s="216"/>
      <c r="G3" s="216"/>
      <c r="H3" s="216"/>
      <c r="I3" s="216"/>
      <c r="J3" s="216"/>
      <c r="K3" s="217"/>
    </row>
    <row r="4" spans="2:11" x14ac:dyDescent="0.25">
      <c r="B4" s="103"/>
      <c r="C4" s="218" t="s">
        <v>505</v>
      </c>
      <c r="D4" s="218"/>
      <c r="E4" s="218"/>
      <c r="F4" s="218"/>
      <c r="G4" s="218"/>
      <c r="H4" s="218"/>
      <c r="I4" s="218"/>
      <c r="J4" s="218"/>
      <c r="K4" s="221"/>
    </row>
    <row r="5" spans="2:11" x14ac:dyDescent="0.25">
      <c r="B5" s="103"/>
      <c r="C5" s="218" t="s">
        <v>161</v>
      </c>
      <c r="D5" s="218"/>
      <c r="E5" s="218"/>
      <c r="F5" s="218"/>
      <c r="G5" s="218"/>
      <c r="H5" s="218"/>
      <c r="I5" s="218"/>
      <c r="J5" s="218"/>
      <c r="K5" s="221"/>
    </row>
    <row r="6" spans="2:11" x14ac:dyDescent="0.25">
      <c r="B6" s="103"/>
      <c r="C6" s="104"/>
      <c r="D6" s="218" t="s">
        <v>159</v>
      </c>
      <c r="E6" s="218"/>
      <c r="F6" s="218"/>
      <c r="G6" s="218"/>
      <c r="H6" s="218"/>
      <c r="I6" s="218"/>
      <c r="J6" s="218"/>
      <c r="K6" s="221"/>
    </row>
    <row r="7" spans="2:11" x14ac:dyDescent="0.25">
      <c r="B7" s="103"/>
      <c r="C7" s="104"/>
      <c r="D7" s="218" t="s">
        <v>160</v>
      </c>
      <c r="E7" s="218"/>
      <c r="F7" s="218"/>
      <c r="G7" s="218"/>
      <c r="H7" s="218"/>
      <c r="I7" s="218"/>
      <c r="J7" s="218"/>
      <c r="K7" s="221"/>
    </row>
    <row r="8" spans="2:11" x14ac:dyDescent="0.25">
      <c r="B8" s="103"/>
      <c r="C8" s="104"/>
      <c r="D8" s="219" t="s">
        <v>162</v>
      </c>
      <c r="E8" s="219"/>
      <c r="F8" s="219"/>
      <c r="G8" s="219"/>
      <c r="H8" s="219"/>
      <c r="I8" s="219"/>
      <c r="J8" s="219"/>
      <c r="K8" s="220"/>
    </row>
    <row r="9" spans="2:11" x14ac:dyDescent="0.25">
      <c r="B9" s="103"/>
      <c r="C9" s="104"/>
      <c r="D9" s="104"/>
      <c r="E9" s="104"/>
      <c r="F9" s="104"/>
      <c r="G9" s="104"/>
      <c r="H9" s="104"/>
      <c r="I9" s="104"/>
      <c r="J9" s="104"/>
      <c r="K9" s="105"/>
    </row>
    <row r="10" spans="2:11" ht="15" customHeight="1" x14ac:dyDescent="0.25">
      <c r="B10" s="222" t="s">
        <v>476</v>
      </c>
      <c r="C10" s="223"/>
      <c r="D10" s="223"/>
      <c r="E10" s="223"/>
      <c r="F10" s="223"/>
      <c r="G10" s="223"/>
      <c r="H10" s="223"/>
      <c r="I10" s="224" t="s">
        <v>231</v>
      </c>
      <c r="J10" s="225"/>
      <c r="K10" s="226"/>
    </row>
    <row r="11" spans="2:11" ht="15" customHeight="1" x14ac:dyDescent="0.25">
      <c r="B11" s="222" t="s">
        <v>477</v>
      </c>
      <c r="C11" s="223"/>
      <c r="D11" s="223"/>
      <c r="E11" s="223"/>
      <c r="F11" s="223"/>
      <c r="G11" s="223"/>
      <c r="H11" s="231"/>
      <c r="I11" s="227">
        <f>INDEX(towns[Population Share],MATCH(I10,towns[Municipality]))</f>
        <v>2.4865971217738099E-2</v>
      </c>
      <c r="J11" s="228"/>
      <c r="K11" s="229"/>
    </row>
    <row r="12" spans="2:11" ht="15" customHeight="1" x14ac:dyDescent="0.25">
      <c r="B12" s="201" t="s">
        <v>511</v>
      </c>
      <c r="C12" s="202"/>
      <c r="D12" s="202"/>
      <c r="E12" s="202"/>
      <c r="F12" s="202"/>
      <c r="G12" s="202"/>
      <c r="H12" s="202"/>
      <c r="I12" s="194"/>
      <c r="J12" s="194"/>
      <c r="K12" s="204"/>
    </row>
    <row r="13" spans="2:11" ht="15" customHeight="1" x14ac:dyDescent="0.25">
      <c r="B13" s="201"/>
      <c r="C13" s="202"/>
      <c r="D13" s="202"/>
      <c r="E13" s="202"/>
      <c r="F13" s="202"/>
      <c r="G13" s="202"/>
      <c r="H13" s="202"/>
      <c r="I13" s="194"/>
      <c r="J13" s="194"/>
      <c r="K13" s="204"/>
    </row>
    <row r="14" spans="2:11" x14ac:dyDescent="0.25">
      <c r="B14" s="201" t="s">
        <v>506</v>
      </c>
      <c r="C14" s="199"/>
      <c r="D14" s="199"/>
      <c r="E14" s="199"/>
      <c r="F14" s="199"/>
      <c r="G14" s="199"/>
      <c r="H14" s="199"/>
      <c r="I14" s="199"/>
      <c r="J14" s="199"/>
      <c r="K14" s="200"/>
    </row>
    <row r="15" spans="2:11" x14ac:dyDescent="0.25">
      <c r="B15" s="201" t="s">
        <v>512</v>
      </c>
      <c r="C15" s="199"/>
      <c r="D15" s="199"/>
      <c r="E15" s="199"/>
      <c r="F15" s="199"/>
      <c r="G15" s="199"/>
      <c r="H15" s="199"/>
      <c r="I15" s="199"/>
      <c r="J15" s="199"/>
      <c r="K15" s="200"/>
    </row>
    <row r="16" spans="2:11" ht="15" customHeight="1" x14ac:dyDescent="0.25">
      <c r="B16" s="103"/>
      <c r="C16" s="218" t="s">
        <v>163</v>
      </c>
      <c r="D16" s="218"/>
      <c r="E16" s="218"/>
      <c r="F16" s="218"/>
      <c r="G16" s="218"/>
      <c r="H16" s="218"/>
      <c r="I16" s="205" t="s">
        <v>509</v>
      </c>
      <c r="J16" s="104"/>
      <c r="K16" s="105"/>
    </row>
    <row r="17" spans="1:11" ht="15" customHeight="1" x14ac:dyDescent="0.25">
      <c r="B17" s="103"/>
      <c r="C17" s="218" t="s">
        <v>507</v>
      </c>
      <c r="D17" s="218"/>
      <c r="E17" s="218"/>
      <c r="F17" s="218"/>
      <c r="G17" s="218"/>
      <c r="H17" s="230"/>
      <c r="I17" s="206" t="s">
        <v>508</v>
      </c>
      <c r="J17" s="104"/>
      <c r="K17" s="105"/>
    </row>
    <row r="18" spans="1:11" ht="15" customHeight="1" x14ac:dyDescent="0.25">
      <c r="B18" s="103"/>
      <c r="C18" s="199"/>
      <c r="D18" s="199"/>
      <c r="E18" s="199"/>
      <c r="F18" s="199"/>
      <c r="G18" s="199"/>
      <c r="H18" s="199"/>
      <c r="I18" s="2"/>
      <c r="J18" s="104"/>
      <c r="K18" s="105"/>
    </row>
    <row r="19" spans="1:11" s="179" customFormat="1" ht="15" customHeight="1" x14ac:dyDescent="0.25">
      <c r="A19" s="203"/>
      <c r="B19" s="232" t="s">
        <v>513</v>
      </c>
      <c r="C19" s="233"/>
      <c r="D19" s="233"/>
      <c r="E19" s="233"/>
      <c r="F19" s="233"/>
      <c r="G19" s="233"/>
      <c r="H19" s="233"/>
      <c r="I19" s="233"/>
      <c r="J19" s="233"/>
      <c r="K19" s="234"/>
    </row>
    <row r="20" spans="1:11" s="179" customFormat="1" x14ac:dyDescent="0.25">
      <c r="A20" s="203"/>
      <c r="B20" s="232"/>
      <c r="C20" s="233"/>
      <c r="D20" s="233"/>
      <c r="E20" s="233"/>
      <c r="F20" s="233"/>
      <c r="G20" s="233"/>
      <c r="H20" s="233"/>
      <c r="I20" s="233"/>
      <c r="J20" s="233"/>
      <c r="K20" s="234"/>
    </row>
    <row r="21" spans="1:11" x14ac:dyDescent="0.25">
      <c r="B21" s="235"/>
      <c r="C21" s="236"/>
      <c r="D21" s="236"/>
      <c r="E21" s="236"/>
      <c r="F21" s="236"/>
      <c r="G21" s="236"/>
      <c r="H21" s="236"/>
      <c r="I21" s="236"/>
      <c r="J21" s="236"/>
      <c r="K21" s="237"/>
    </row>
    <row r="23" spans="1:11" x14ac:dyDescent="0.25">
      <c r="I23"/>
    </row>
  </sheetData>
  <mergeCells count="13">
    <mergeCell ref="C17:H17"/>
    <mergeCell ref="B11:H11"/>
    <mergeCell ref="B19:K21"/>
    <mergeCell ref="C5:K5"/>
    <mergeCell ref="C4:K4"/>
    <mergeCell ref="B3:K3"/>
    <mergeCell ref="C16:H16"/>
    <mergeCell ref="D8:K8"/>
    <mergeCell ref="D7:K7"/>
    <mergeCell ref="D6:K6"/>
    <mergeCell ref="B10:H10"/>
    <mergeCell ref="I10:K10"/>
    <mergeCell ref="I11:K11"/>
  </mergeCells>
  <dataValidations count="1">
    <dataValidation type="list" allowBlank="1" showInputMessage="1" showErrorMessage="1" sqref="I10:K10">
      <formula1>INDIRECT("towns[Municipality]")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topLeftCell="A16" zoomScale="70" zoomScaleNormal="70" workbookViewId="0">
      <selection activeCell="C38" sqref="C38:N38"/>
    </sheetView>
  </sheetViews>
  <sheetFormatPr defaultRowHeight="15" x14ac:dyDescent="0.25"/>
  <cols>
    <col min="1" max="1" width="2.5703125" style="32" bestFit="1" customWidth="1"/>
    <col min="2" max="14" width="15.85546875" customWidth="1"/>
  </cols>
  <sheetData>
    <row r="2" spans="1:14" ht="18.75" x14ac:dyDescent="0.3">
      <c r="B2" s="117" t="s">
        <v>493</v>
      </c>
    </row>
    <row r="3" spans="1:14" ht="14.25" customHeight="1" x14ac:dyDescent="0.3">
      <c r="B3" s="52"/>
    </row>
    <row r="5" spans="1:14" ht="36" customHeight="1" x14ac:dyDescent="0.25">
      <c r="B5" s="124">
        <f>SUM(B26,B38)</f>
        <v>820257.6780303031</v>
      </c>
      <c r="C5" s="242" t="s">
        <v>492</v>
      </c>
      <c r="D5" s="239"/>
      <c r="E5" s="239"/>
      <c r="F5" s="239"/>
      <c r="G5" s="239"/>
      <c r="H5" s="239"/>
      <c r="I5" s="239"/>
      <c r="J5" s="239"/>
      <c r="K5" s="239"/>
      <c r="L5" s="239"/>
      <c r="M5" s="239"/>
      <c r="N5" s="239"/>
    </row>
    <row r="7" spans="1:14" x14ac:dyDescent="0.25">
      <c r="C7" s="54" t="s">
        <v>71</v>
      </c>
    </row>
    <row r="8" spans="1:14" x14ac:dyDescent="0.25">
      <c r="C8" s="25"/>
    </row>
    <row r="9" spans="1:14" ht="36" customHeight="1" x14ac:dyDescent="0.25">
      <c r="A9" s="32">
        <v>1</v>
      </c>
      <c r="B9" s="118">
        <v>12000</v>
      </c>
      <c r="C9" s="243" t="s">
        <v>494</v>
      </c>
      <c r="D9" s="239"/>
      <c r="E9" s="239"/>
      <c r="F9" s="239"/>
      <c r="G9" s="239"/>
      <c r="H9" s="239"/>
      <c r="I9" s="239"/>
      <c r="J9" s="239"/>
      <c r="K9" s="239"/>
      <c r="L9" s="239"/>
      <c r="M9" s="239"/>
      <c r="N9" s="239"/>
    </row>
    <row r="10" spans="1:14" ht="36" customHeight="1" x14ac:dyDescent="0.25">
      <c r="B10" s="21"/>
      <c r="C10" s="31"/>
      <c r="D10" s="127" t="s">
        <v>61</v>
      </c>
      <c r="E10" s="244" t="s">
        <v>65</v>
      </c>
      <c r="F10" s="244"/>
      <c r="G10" s="240" t="s">
        <v>62</v>
      </c>
      <c r="H10" s="240"/>
      <c r="I10" s="240"/>
      <c r="J10" s="240"/>
      <c r="K10" s="240"/>
      <c r="L10" s="240"/>
      <c r="M10" s="240"/>
      <c r="N10" s="240"/>
    </row>
    <row r="11" spans="1:14" ht="36" customHeight="1" x14ac:dyDescent="0.25">
      <c r="B11" s="21"/>
      <c r="C11" s="31"/>
      <c r="D11" s="127"/>
      <c r="E11" s="240" t="s">
        <v>66</v>
      </c>
      <c r="F11" s="240"/>
      <c r="G11" s="240" t="s">
        <v>176</v>
      </c>
      <c r="H11" s="240"/>
      <c r="I11" s="240"/>
      <c r="J11" s="240"/>
      <c r="K11" s="240"/>
      <c r="L11" s="240"/>
      <c r="M11" s="240"/>
      <c r="N11" s="240"/>
    </row>
    <row r="12" spans="1:14" ht="36" customHeight="1" x14ac:dyDescent="0.25">
      <c r="B12" s="21"/>
      <c r="C12" s="31"/>
      <c r="D12" s="127" t="s">
        <v>63</v>
      </c>
      <c r="E12" s="240" t="s">
        <v>64</v>
      </c>
      <c r="F12" s="240"/>
      <c r="G12" s="240"/>
      <c r="H12" s="240"/>
      <c r="I12" s="240"/>
      <c r="J12" s="240"/>
      <c r="K12" s="240"/>
      <c r="L12" s="240"/>
      <c r="M12" s="240"/>
      <c r="N12" s="240"/>
    </row>
    <row r="13" spans="1:14" ht="36" customHeight="1" x14ac:dyDescent="0.25">
      <c r="A13" s="32">
        <v>2</v>
      </c>
      <c r="B13" s="118">
        <v>12500</v>
      </c>
      <c r="C13" s="238" t="s">
        <v>495</v>
      </c>
      <c r="D13" s="239"/>
      <c r="E13" s="239"/>
      <c r="F13" s="239"/>
      <c r="G13" s="239"/>
      <c r="H13" s="239"/>
      <c r="I13" s="239"/>
      <c r="J13" s="239"/>
      <c r="K13" s="239"/>
      <c r="L13" s="239"/>
      <c r="M13" s="239"/>
      <c r="N13" s="239"/>
    </row>
    <row r="14" spans="1:14" ht="36" customHeight="1" x14ac:dyDescent="0.25">
      <c r="A14" s="32">
        <v>3</v>
      </c>
      <c r="B14" s="118">
        <v>22</v>
      </c>
      <c r="C14" s="238" t="s">
        <v>496</v>
      </c>
      <c r="D14" s="239"/>
      <c r="E14" s="239"/>
      <c r="F14" s="239"/>
      <c r="G14" s="239"/>
      <c r="H14" s="239"/>
      <c r="I14" s="239"/>
      <c r="J14" s="239"/>
      <c r="K14" s="239"/>
      <c r="L14" s="239"/>
      <c r="M14" s="239"/>
      <c r="N14" s="239"/>
    </row>
    <row r="15" spans="1:14" s="120" customFormat="1" ht="36" customHeight="1" x14ac:dyDescent="0.25">
      <c r="A15" s="119"/>
      <c r="D15" s="121">
        <v>0.4</v>
      </c>
      <c r="E15" s="239" t="s">
        <v>178</v>
      </c>
      <c r="F15" s="239"/>
      <c r="G15" s="239"/>
      <c r="H15" s="239"/>
      <c r="I15" s="239"/>
      <c r="J15" s="239"/>
      <c r="K15" s="239"/>
      <c r="L15" s="239"/>
      <c r="M15" s="239"/>
      <c r="N15" s="239"/>
    </row>
    <row r="16" spans="1:14" s="120" customFormat="1" ht="36" customHeight="1" x14ac:dyDescent="0.25">
      <c r="A16" s="119"/>
      <c r="D16" s="121">
        <f>150000/583770</f>
        <v>0.25695051133151753</v>
      </c>
      <c r="E16" s="239" t="s">
        <v>179</v>
      </c>
      <c r="F16" s="239"/>
      <c r="G16" s="239"/>
      <c r="H16" s="239"/>
      <c r="I16" s="239"/>
      <c r="J16" s="239"/>
      <c r="K16" s="239"/>
      <c r="L16" s="239"/>
      <c r="M16" s="239"/>
      <c r="N16" s="239"/>
    </row>
    <row r="17" spans="1:14" s="120" customFormat="1" ht="36" customHeight="1" x14ac:dyDescent="0.25">
      <c r="A17" s="119"/>
      <c r="D17" s="121">
        <v>0.86</v>
      </c>
      <c r="E17" s="239" t="s">
        <v>177</v>
      </c>
      <c r="F17" s="239"/>
      <c r="G17" s="239"/>
      <c r="H17" s="239"/>
      <c r="I17" s="239"/>
      <c r="J17" s="239"/>
      <c r="K17" s="239"/>
      <c r="L17" s="239"/>
      <c r="M17" s="239"/>
      <c r="N17" s="239"/>
    </row>
    <row r="18" spans="1:14" ht="36" customHeight="1" x14ac:dyDescent="0.25">
      <c r="B18" s="122">
        <f>B9*B13/B14</f>
        <v>6818181.8181818184</v>
      </c>
      <c r="C18" s="240" t="s">
        <v>43</v>
      </c>
      <c r="D18" s="240"/>
      <c r="E18" s="240"/>
      <c r="F18" s="240"/>
      <c r="G18" s="240"/>
      <c r="H18" s="240"/>
      <c r="I18" s="240"/>
      <c r="J18" s="240"/>
      <c r="K18" s="240"/>
      <c r="L18" s="240"/>
      <c r="M18" s="240"/>
      <c r="N18" s="240"/>
    </row>
    <row r="19" spans="1:14" ht="36" customHeight="1" x14ac:dyDescent="0.25">
      <c r="A19" s="32">
        <v>4</v>
      </c>
      <c r="B19" s="123">
        <v>0.09</v>
      </c>
      <c r="C19" s="238" t="s">
        <v>497</v>
      </c>
      <c r="D19" s="239"/>
      <c r="E19" s="239"/>
      <c r="F19" s="239"/>
      <c r="G19" s="239"/>
      <c r="H19" s="239"/>
      <c r="I19" s="239"/>
      <c r="J19" s="239"/>
      <c r="K19" s="239"/>
      <c r="L19" s="239"/>
      <c r="M19" s="239"/>
      <c r="N19" s="239"/>
    </row>
    <row r="20" spans="1:14" ht="36" customHeight="1" x14ac:dyDescent="0.25">
      <c r="B20" s="122">
        <f>(1-B19)*B18</f>
        <v>6204545.4545454551</v>
      </c>
      <c r="C20" s="239" t="s">
        <v>74</v>
      </c>
      <c r="D20" s="239"/>
      <c r="E20" s="239"/>
      <c r="F20" s="239"/>
      <c r="G20" s="239"/>
      <c r="H20" s="239"/>
      <c r="I20" s="239"/>
      <c r="J20" s="239"/>
      <c r="K20" s="239"/>
      <c r="L20" s="239"/>
      <c r="M20" s="239"/>
      <c r="N20" s="239"/>
    </row>
    <row r="21" spans="1:14" ht="36" customHeight="1" x14ac:dyDescent="0.25">
      <c r="B21" s="122">
        <f>fossilBtu</f>
        <v>121258.5</v>
      </c>
      <c r="C21" s="239" t="s">
        <v>180</v>
      </c>
      <c r="D21" s="239"/>
      <c r="E21" s="239"/>
      <c r="F21" s="239"/>
      <c r="G21" s="239"/>
      <c r="H21" s="239"/>
      <c r="I21" s="239"/>
      <c r="J21" s="239"/>
      <c r="K21" s="239"/>
      <c r="L21" s="239"/>
      <c r="M21" s="239"/>
      <c r="N21" s="239"/>
    </row>
    <row r="22" spans="1:14" ht="36" customHeight="1" x14ac:dyDescent="0.25">
      <c r="B22" s="122">
        <f>B20*B21/1000000</f>
        <v>752353.87500000012</v>
      </c>
      <c r="C22" s="239" t="s">
        <v>67</v>
      </c>
      <c r="D22" s="239"/>
      <c r="E22" s="239"/>
      <c r="F22" s="239"/>
      <c r="G22" s="239"/>
      <c r="H22" s="239"/>
      <c r="I22" s="239"/>
      <c r="J22" s="239"/>
      <c r="K22" s="239"/>
      <c r="L22" s="239"/>
      <c r="M22" s="239"/>
      <c r="N22" s="239"/>
    </row>
    <row r="23" spans="1:14" ht="36" customHeight="1" x14ac:dyDescent="0.25">
      <c r="B23" s="122">
        <f>B18-B20</f>
        <v>613636.3636363633</v>
      </c>
      <c r="C23" s="239" t="s">
        <v>68</v>
      </c>
      <c r="D23" s="239"/>
      <c r="E23" s="239"/>
      <c r="F23" s="239"/>
      <c r="G23" s="239"/>
      <c r="H23" s="239"/>
      <c r="I23" s="239"/>
      <c r="J23" s="239"/>
      <c r="K23" s="239"/>
      <c r="L23" s="239"/>
      <c r="M23" s="239"/>
      <c r="N23" s="239"/>
    </row>
    <row r="24" spans="1:14" ht="36" customHeight="1" x14ac:dyDescent="0.25">
      <c r="B24" s="122">
        <v>84710</v>
      </c>
      <c r="C24" s="239" t="s">
        <v>69</v>
      </c>
      <c r="D24" s="239"/>
      <c r="E24" s="239"/>
      <c r="F24" s="239"/>
      <c r="G24" s="239"/>
      <c r="H24" s="239"/>
      <c r="I24" s="239"/>
      <c r="J24" s="239"/>
      <c r="K24" s="239"/>
      <c r="L24" s="239"/>
      <c r="M24" s="239"/>
      <c r="N24" s="239"/>
    </row>
    <row r="25" spans="1:14" ht="36" customHeight="1" x14ac:dyDescent="0.25">
      <c r="B25" s="122">
        <f>B23*B24/1000000</f>
        <v>51981.136363636339</v>
      </c>
      <c r="C25" s="239" t="s">
        <v>70</v>
      </c>
      <c r="D25" s="239"/>
      <c r="E25" s="239"/>
      <c r="F25" s="239"/>
      <c r="G25" s="239"/>
      <c r="H25" s="239"/>
      <c r="I25" s="239"/>
      <c r="J25" s="239"/>
      <c r="K25" s="239"/>
      <c r="L25" s="239"/>
      <c r="M25" s="239"/>
      <c r="N25" s="239"/>
    </row>
    <row r="26" spans="1:14" ht="36" customHeight="1" x14ac:dyDescent="0.25">
      <c r="B26" s="124">
        <f>B22+B25</f>
        <v>804335.01136363647</v>
      </c>
      <c r="C26" s="242" t="s">
        <v>72</v>
      </c>
      <c r="D26" s="239"/>
      <c r="E26" s="239"/>
      <c r="F26" s="239"/>
      <c r="G26" s="239"/>
      <c r="H26" s="239"/>
      <c r="I26" s="239"/>
      <c r="J26" s="239"/>
      <c r="K26" s="239"/>
      <c r="L26" s="239"/>
      <c r="M26" s="239"/>
      <c r="N26" s="239"/>
    </row>
    <row r="27" spans="1:14" x14ac:dyDescent="0.25">
      <c r="B27" s="21"/>
    </row>
    <row r="28" spans="1:14" x14ac:dyDescent="0.25">
      <c r="B28" s="21"/>
      <c r="C28" s="54" t="s">
        <v>78</v>
      </c>
    </row>
    <row r="29" spans="1:14" x14ac:dyDescent="0.25">
      <c r="B29" s="21"/>
      <c r="C29" s="54"/>
    </row>
    <row r="30" spans="1:14" x14ac:dyDescent="0.25">
      <c r="B30" s="21" t="s">
        <v>77</v>
      </c>
      <c r="C30" s="25"/>
    </row>
    <row r="31" spans="1:14" x14ac:dyDescent="0.25">
      <c r="B31" s="21"/>
      <c r="C31" s="25"/>
    </row>
    <row r="32" spans="1:14" ht="36" customHeight="1" x14ac:dyDescent="0.25">
      <c r="A32" s="32">
        <v>1</v>
      </c>
      <c r="B32" s="126">
        <v>2000</v>
      </c>
      <c r="C32" s="238" t="s">
        <v>514</v>
      </c>
      <c r="D32" s="239"/>
      <c r="E32" s="239"/>
      <c r="F32" s="239"/>
      <c r="G32" s="239"/>
      <c r="H32" s="239"/>
      <c r="I32" s="239"/>
      <c r="J32" s="239"/>
      <c r="K32" s="239"/>
      <c r="L32" s="239"/>
      <c r="M32" s="239"/>
      <c r="N32" s="60"/>
    </row>
    <row r="33" spans="2:14" ht="36" customHeight="1" x14ac:dyDescent="0.25">
      <c r="B33" s="60"/>
      <c r="C33" s="60"/>
      <c r="D33" s="127" t="s">
        <v>61</v>
      </c>
      <c r="E33" s="125" t="s">
        <v>181</v>
      </c>
      <c r="F33" s="60"/>
      <c r="G33" s="60"/>
      <c r="H33" s="60"/>
      <c r="I33" s="60"/>
      <c r="J33" s="60"/>
      <c r="K33" s="60"/>
      <c r="L33" s="60"/>
      <c r="M33" s="60"/>
      <c r="N33" s="60"/>
    </row>
    <row r="34" spans="2:14" ht="36" customHeight="1" x14ac:dyDescent="0.25">
      <c r="B34" s="122">
        <v>7000</v>
      </c>
      <c r="C34" s="240" t="s">
        <v>79</v>
      </c>
      <c r="D34" s="240"/>
      <c r="E34" s="240"/>
      <c r="F34" s="240"/>
      <c r="G34" s="240"/>
      <c r="H34" s="240"/>
      <c r="I34" s="240"/>
      <c r="J34" s="240"/>
      <c r="K34" s="240"/>
      <c r="L34" s="240"/>
      <c r="M34" s="240"/>
      <c r="N34" s="240"/>
    </row>
    <row r="35" spans="2:14" ht="36" customHeight="1" x14ac:dyDescent="0.25">
      <c r="B35" s="122">
        <v>3</v>
      </c>
      <c r="C35" s="240" t="s">
        <v>75</v>
      </c>
      <c r="D35" s="240"/>
      <c r="E35" s="240"/>
      <c r="F35" s="240"/>
      <c r="G35" s="240"/>
      <c r="H35" s="240"/>
      <c r="I35" s="240"/>
      <c r="J35" s="240"/>
      <c r="K35" s="240"/>
      <c r="L35" s="240"/>
      <c r="M35" s="240"/>
      <c r="N35" s="240"/>
    </row>
    <row r="36" spans="2:14" ht="36" customHeight="1" x14ac:dyDescent="0.25">
      <c r="B36" s="122">
        <f>B32*B34/B35</f>
        <v>4666666.666666667</v>
      </c>
      <c r="C36" s="240" t="s">
        <v>73</v>
      </c>
      <c r="D36" s="240"/>
      <c r="E36" s="240"/>
      <c r="F36" s="240"/>
      <c r="G36" s="240"/>
      <c r="H36" s="240"/>
      <c r="I36" s="240"/>
      <c r="J36" s="240"/>
      <c r="K36" s="240"/>
      <c r="L36" s="240"/>
      <c r="M36" s="240"/>
      <c r="N36" s="240"/>
    </row>
    <row r="37" spans="2:14" ht="36" customHeight="1" x14ac:dyDescent="0.25">
      <c r="B37" s="122">
        <v>3412</v>
      </c>
      <c r="C37" s="240" t="s">
        <v>182</v>
      </c>
      <c r="D37" s="240"/>
      <c r="E37" s="240"/>
      <c r="F37" s="240"/>
      <c r="G37" s="240"/>
      <c r="H37" s="240"/>
      <c r="I37" s="240"/>
      <c r="J37" s="240"/>
      <c r="K37" s="240"/>
      <c r="L37" s="240"/>
      <c r="M37" s="240"/>
      <c r="N37" s="240"/>
    </row>
    <row r="38" spans="2:14" ht="36" customHeight="1" x14ac:dyDescent="0.25">
      <c r="B38" s="124">
        <f>B36*B37/1000000</f>
        <v>15922.666666666668</v>
      </c>
      <c r="C38" s="241" t="s">
        <v>76</v>
      </c>
      <c r="D38" s="240"/>
      <c r="E38" s="240"/>
      <c r="F38" s="240"/>
      <c r="G38" s="240"/>
      <c r="H38" s="240"/>
      <c r="I38" s="240"/>
      <c r="J38" s="240"/>
      <c r="K38" s="240"/>
      <c r="L38" s="240"/>
      <c r="M38" s="240"/>
      <c r="N38" s="240"/>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zoomScale="70" zoomScaleNormal="70" workbookViewId="0">
      <selection activeCell="E13" sqref="E13:N13"/>
    </sheetView>
  </sheetViews>
  <sheetFormatPr defaultRowHeight="15" x14ac:dyDescent="0.25"/>
  <cols>
    <col min="1" max="1" width="2.5703125" style="55" bestFit="1" customWidth="1"/>
    <col min="2" max="14" width="14.5703125" customWidth="1"/>
  </cols>
  <sheetData>
    <row r="1" spans="1:14" ht="21" x14ac:dyDescent="0.35">
      <c r="A1" s="57"/>
      <c r="B1" s="53" t="s">
        <v>498</v>
      </c>
    </row>
    <row r="2" spans="1:14" x14ac:dyDescent="0.25">
      <c r="A2" s="57"/>
      <c r="B2" s="54"/>
    </row>
    <row r="3" spans="1:14" x14ac:dyDescent="0.25">
      <c r="A3" s="57"/>
    </row>
    <row r="4" spans="1:14" ht="42.75" customHeight="1" x14ac:dyDescent="0.25">
      <c r="A4" s="57"/>
      <c r="B4" s="56">
        <f>SUM(B18,B43)</f>
        <v>892006</v>
      </c>
      <c r="C4" s="242" t="s">
        <v>94</v>
      </c>
      <c r="D4" s="239"/>
      <c r="E4" s="239"/>
      <c r="F4" s="239"/>
      <c r="G4" s="239"/>
      <c r="H4" s="239"/>
      <c r="I4" s="239"/>
      <c r="J4" s="239"/>
      <c r="K4" s="239"/>
      <c r="L4" s="239"/>
      <c r="M4" s="239"/>
      <c r="N4" s="239"/>
    </row>
    <row r="5" spans="1:14" x14ac:dyDescent="0.25">
      <c r="A5" s="57"/>
      <c r="B5" s="55"/>
    </row>
    <row r="6" spans="1:14" ht="18.75" x14ac:dyDescent="0.3">
      <c r="B6" s="55"/>
      <c r="C6" s="52" t="s">
        <v>81</v>
      </c>
    </row>
    <row r="7" spans="1:14" x14ac:dyDescent="0.25">
      <c r="B7" s="55"/>
      <c r="C7" s="25"/>
    </row>
    <row r="8" spans="1:14" ht="42.75" customHeight="1" x14ac:dyDescent="0.25">
      <c r="A8" s="55">
        <v>1</v>
      </c>
      <c r="B8" s="36">
        <v>5000</v>
      </c>
      <c r="C8" s="252" t="s">
        <v>80</v>
      </c>
      <c r="D8" s="240"/>
      <c r="E8" s="240"/>
      <c r="F8" s="240"/>
      <c r="G8" s="240"/>
      <c r="H8" s="240"/>
      <c r="I8" s="240"/>
      <c r="J8" s="240"/>
      <c r="K8" s="240"/>
      <c r="L8" s="240"/>
      <c r="M8" s="240"/>
      <c r="N8" s="240"/>
    </row>
    <row r="9" spans="1:14" ht="42.75" customHeight="1" x14ac:dyDescent="0.25">
      <c r="B9" s="57"/>
      <c r="C9" s="26"/>
      <c r="D9" s="59" t="s">
        <v>95</v>
      </c>
      <c r="E9" s="249" t="s">
        <v>65</v>
      </c>
      <c r="F9" s="249"/>
      <c r="G9" s="240" t="s">
        <v>82</v>
      </c>
      <c r="H9" s="240"/>
      <c r="I9" s="240"/>
      <c r="J9" s="240"/>
      <c r="K9" s="240"/>
      <c r="L9" s="240"/>
      <c r="M9" s="240"/>
      <c r="N9" s="240"/>
    </row>
    <row r="10" spans="1:14" ht="52.5" customHeight="1" x14ac:dyDescent="0.25">
      <c r="A10" s="55">
        <v>2</v>
      </c>
      <c r="B10" s="36">
        <v>110</v>
      </c>
      <c r="C10" s="246" t="s">
        <v>87</v>
      </c>
      <c r="D10" s="245"/>
      <c r="E10" s="245"/>
      <c r="F10" s="245"/>
      <c r="G10" s="245"/>
      <c r="H10" s="245"/>
      <c r="I10" s="245"/>
      <c r="J10" s="245"/>
      <c r="K10" s="245"/>
      <c r="L10" s="245"/>
      <c r="M10" s="245"/>
      <c r="N10" s="245"/>
    </row>
    <row r="11" spans="1:14" ht="42.75" customHeight="1" x14ac:dyDescent="0.25">
      <c r="B11" s="55"/>
      <c r="C11" s="61"/>
      <c r="D11" s="33" t="s">
        <v>59</v>
      </c>
      <c r="E11" s="245" t="s">
        <v>88</v>
      </c>
      <c r="F11" s="245"/>
      <c r="G11" s="245"/>
      <c r="H11" s="245"/>
      <c r="I11" s="245"/>
      <c r="J11" s="245"/>
      <c r="K11" s="245"/>
      <c r="L11" s="245"/>
      <c r="M11" s="245"/>
      <c r="N11" s="245"/>
    </row>
    <row r="12" spans="1:14" ht="42.75" customHeight="1" x14ac:dyDescent="0.25">
      <c r="B12" s="57"/>
      <c r="C12" s="62"/>
      <c r="D12" s="34">
        <v>0.26</v>
      </c>
      <c r="E12" s="245" t="s">
        <v>84</v>
      </c>
      <c r="F12" s="245"/>
      <c r="G12" s="245"/>
      <c r="H12" s="245"/>
      <c r="I12" s="245"/>
      <c r="J12" s="245"/>
      <c r="K12" s="245"/>
      <c r="L12" s="245"/>
      <c r="M12" s="245"/>
      <c r="N12" s="245"/>
    </row>
    <row r="13" spans="1:14" ht="42.75" customHeight="1" x14ac:dyDescent="0.25">
      <c r="B13" s="57"/>
      <c r="C13" s="62"/>
      <c r="D13" s="34">
        <v>0.5</v>
      </c>
      <c r="E13" s="245" t="s">
        <v>85</v>
      </c>
      <c r="F13" s="245"/>
      <c r="G13" s="245"/>
      <c r="H13" s="245"/>
      <c r="I13" s="245"/>
      <c r="J13" s="245"/>
      <c r="K13" s="245"/>
      <c r="L13" s="245"/>
      <c r="M13" s="245"/>
      <c r="N13" s="245"/>
    </row>
    <row r="14" spans="1:14" ht="42.75" customHeight="1" x14ac:dyDescent="0.25">
      <c r="B14" s="57"/>
      <c r="C14" s="62"/>
      <c r="D14" s="34">
        <v>0.2</v>
      </c>
      <c r="E14" s="245" t="s">
        <v>86</v>
      </c>
      <c r="F14" s="245"/>
      <c r="G14" s="245"/>
      <c r="H14" s="245"/>
      <c r="I14" s="245"/>
      <c r="J14" s="245"/>
      <c r="K14" s="245"/>
      <c r="L14" s="245"/>
      <c r="M14" s="245"/>
      <c r="N14" s="245"/>
    </row>
    <row r="15" spans="1:14" ht="42.75" customHeight="1" x14ac:dyDescent="0.25">
      <c r="B15" s="57"/>
      <c r="C15" s="62"/>
      <c r="D15" s="35">
        <v>2.2999999999999998</v>
      </c>
      <c r="E15" s="245" t="s">
        <v>89</v>
      </c>
      <c r="F15" s="245"/>
      <c r="G15" s="245"/>
      <c r="H15" s="245"/>
      <c r="I15" s="245"/>
      <c r="J15" s="245"/>
      <c r="K15" s="245"/>
      <c r="L15" s="245"/>
      <c r="M15" s="245"/>
      <c r="N15" s="245"/>
    </row>
    <row r="16" spans="1:14" ht="42.75" customHeight="1" x14ac:dyDescent="0.25">
      <c r="B16" s="57"/>
      <c r="C16" s="62"/>
      <c r="D16" s="34">
        <f>(20000*1.25)/257000</f>
        <v>9.727626459143969E-2</v>
      </c>
      <c r="E16" s="245" t="s">
        <v>96</v>
      </c>
      <c r="F16" s="245"/>
      <c r="G16" s="245"/>
      <c r="H16" s="245"/>
      <c r="I16" s="245"/>
      <c r="J16" s="245"/>
      <c r="K16" s="245"/>
      <c r="L16" s="245"/>
      <c r="M16" s="245"/>
      <c r="N16" s="245"/>
    </row>
    <row r="17" spans="1:14" x14ac:dyDescent="0.25">
      <c r="B17" s="57"/>
      <c r="C17" s="27"/>
      <c r="F17" s="26"/>
      <c r="G17" s="27"/>
      <c r="H17" s="27"/>
      <c r="I17" s="27"/>
      <c r="J17" s="27"/>
      <c r="K17" s="27"/>
      <c r="L17" s="27"/>
    </row>
    <row r="18" spans="1:14" ht="42.75" customHeight="1" x14ac:dyDescent="0.25">
      <c r="B18" s="56">
        <f>B8*B10</f>
        <v>550000</v>
      </c>
      <c r="C18" s="241" t="s">
        <v>93</v>
      </c>
      <c r="D18" s="240"/>
      <c r="E18" s="240"/>
      <c r="F18" s="240"/>
      <c r="G18" s="240"/>
      <c r="H18" s="240"/>
      <c r="I18" s="240"/>
      <c r="J18" s="240"/>
      <c r="K18" s="240"/>
      <c r="L18" s="240"/>
      <c r="M18" s="240"/>
      <c r="N18" s="240"/>
    </row>
    <row r="19" spans="1:14" x14ac:dyDescent="0.25">
      <c r="B19" s="57"/>
      <c r="C19" s="26"/>
      <c r="D19" s="26"/>
      <c r="E19" s="26"/>
      <c r="F19" s="26"/>
      <c r="G19" s="26"/>
      <c r="H19" s="26"/>
    </row>
    <row r="20" spans="1:14" ht="18.75" x14ac:dyDescent="0.3">
      <c r="B20" s="55"/>
      <c r="C20" s="52" t="s">
        <v>83</v>
      </c>
    </row>
    <row r="21" spans="1:14" ht="15.75" x14ac:dyDescent="0.25">
      <c r="B21" s="55"/>
      <c r="C21" s="63"/>
    </row>
    <row r="22" spans="1:14" ht="32.25" customHeight="1" x14ac:dyDescent="0.25">
      <c r="A22" s="55">
        <v>1</v>
      </c>
      <c r="B22" s="36">
        <v>479</v>
      </c>
      <c r="C22" s="238" t="s">
        <v>90</v>
      </c>
      <c r="D22" s="239"/>
      <c r="E22" s="239"/>
      <c r="F22" s="239"/>
      <c r="G22" s="239"/>
      <c r="H22" s="239"/>
      <c r="I22" s="239"/>
      <c r="J22" s="239"/>
      <c r="K22" s="239"/>
      <c r="L22" s="239"/>
      <c r="M22" s="239"/>
      <c r="N22" s="239"/>
    </row>
    <row r="23" spans="1:14" s="60" customFormat="1" ht="32.25" customHeight="1" x14ac:dyDescent="0.25">
      <c r="A23" s="55"/>
      <c r="B23" s="55"/>
      <c r="D23" s="60" t="s">
        <v>61</v>
      </c>
      <c r="E23" s="28" t="s">
        <v>91</v>
      </c>
      <c r="G23" s="60" t="s">
        <v>92</v>
      </c>
    </row>
    <row r="24" spans="1:14" ht="95.25" customHeight="1" x14ac:dyDescent="0.25">
      <c r="A24" s="55">
        <v>2</v>
      </c>
      <c r="B24" s="58">
        <v>714</v>
      </c>
      <c r="C24" s="247" t="s">
        <v>499</v>
      </c>
      <c r="D24" s="248"/>
      <c r="E24" s="248"/>
      <c r="F24" s="248"/>
      <c r="G24" s="248"/>
      <c r="H24" s="248"/>
      <c r="I24" s="248"/>
      <c r="J24" s="248"/>
      <c r="K24" s="248"/>
      <c r="L24" s="248"/>
      <c r="M24" s="248"/>
      <c r="N24" s="248"/>
    </row>
    <row r="25" spans="1:14" x14ac:dyDescent="0.25">
      <c r="B25" s="55"/>
    </row>
    <row r="26" spans="1:14" ht="54" customHeight="1" x14ac:dyDescent="0.25">
      <c r="B26" s="55"/>
      <c r="D26" s="37" t="s">
        <v>60</v>
      </c>
      <c r="E26" s="50" t="s">
        <v>99</v>
      </c>
      <c r="F26" s="50" t="s">
        <v>479</v>
      </c>
      <c r="G26" s="50" t="s">
        <v>98</v>
      </c>
      <c r="H26" s="50" t="s">
        <v>97</v>
      </c>
      <c r="I26" s="50" t="s">
        <v>58</v>
      </c>
      <c r="J26" s="50" t="s">
        <v>480</v>
      </c>
      <c r="K26" s="50" t="s">
        <v>481</v>
      </c>
      <c r="L26" s="51" t="s">
        <v>100</v>
      </c>
    </row>
    <row r="27" spans="1:14" ht="47.25" customHeight="1" x14ac:dyDescent="0.25">
      <c r="B27" s="55"/>
      <c r="D27" s="47" t="s">
        <v>46</v>
      </c>
      <c r="E27" s="38">
        <v>1418</v>
      </c>
      <c r="F27" s="195">
        <f>E27/$E$41</f>
        <v>7.6166944190793368E-2</v>
      </c>
      <c r="G27" s="38">
        <v>9210</v>
      </c>
      <c r="H27" s="38">
        <f t="shared" ref="H27:H40" si="0">G27/E27</f>
        <v>6.4950634696755998</v>
      </c>
      <c r="I27" s="38">
        <f t="shared" ref="I27:I40" si="1">H27/SUM($H$27:$H$40)*$I$41</f>
        <v>506702.40423687408</v>
      </c>
      <c r="J27" s="38">
        <f t="shared" ref="J27:J40" si="2">I27/E27</f>
        <v>357.33596913742883</v>
      </c>
      <c r="K27" s="39">
        <v>21</v>
      </c>
      <c r="L27" s="40">
        <f t="shared" ref="L27:L40" si="3">IF(K27="","",K27/$K$41)</f>
        <v>4.3855069437193271E-2</v>
      </c>
    </row>
    <row r="28" spans="1:14" ht="47.25" customHeight="1" x14ac:dyDescent="0.25">
      <c r="B28" s="55"/>
      <c r="D28" s="48" t="s">
        <v>47</v>
      </c>
      <c r="E28" s="41">
        <v>3134</v>
      </c>
      <c r="F28" s="196">
        <f t="shared" ref="F28:F40" si="4">E28/$E$41</f>
        <v>0.1683407638180158</v>
      </c>
      <c r="G28" s="41">
        <v>37178</v>
      </c>
      <c r="H28" s="41">
        <f t="shared" si="0"/>
        <v>11.862795149968091</v>
      </c>
      <c r="I28" s="41">
        <f t="shared" si="1"/>
        <v>925457.74980064656</v>
      </c>
      <c r="J28" s="41">
        <f t="shared" si="2"/>
        <v>295.29602737736008</v>
      </c>
      <c r="K28" s="180">
        <v>105</v>
      </c>
      <c r="L28" s="42">
        <f t="shared" si="3"/>
        <v>0.21927534718596636</v>
      </c>
    </row>
    <row r="29" spans="1:14" ht="47.25" customHeight="1" x14ac:dyDescent="0.25">
      <c r="B29" s="55"/>
      <c r="D29" s="48" t="s">
        <v>48</v>
      </c>
      <c r="E29" s="41">
        <v>549</v>
      </c>
      <c r="F29" s="196">
        <f t="shared" si="4"/>
        <v>2.9489176559058923E-2</v>
      </c>
      <c r="G29" s="41">
        <v>6436</v>
      </c>
      <c r="H29" s="41">
        <f t="shared" si="0"/>
        <v>11.723132969034609</v>
      </c>
      <c r="I29" s="41">
        <f t="shared" si="1"/>
        <v>914562.21918876551</v>
      </c>
      <c r="J29" s="41">
        <f t="shared" si="2"/>
        <v>1665.8692517099553</v>
      </c>
      <c r="K29" s="180">
        <v>11</v>
      </c>
      <c r="L29" s="42">
        <f t="shared" si="3"/>
        <v>2.2971703038529811E-2</v>
      </c>
    </row>
    <row r="30" spans="1:14" ht="47.25" customHeight="1" x14ac:dyDescent="0.25">
      <c r="B30" s="55"/>
      <c r="D30" s="48" t="s">
        <v>44</v>
      </c>
      <c r="E30" s="41">
        <v>483</v>
      </c>
      <c r="F30" s="196">
        <f t="shared" si="4"/>
        <v>2.5944029650319601E-2</v>
      </c>
      <c r="G30" s="41">
        <v>4689</v>
      </c>
      <c r="H30" s="41">
        <f t="shared" si="0"/>
        <v>9.70807453416149</v>
      </c>
      <c r="I30" s="41">
        <f t="shared" si="1"/>
        <v>757360.52925993747</v>
      </c>
      <c r="J30" s="41">
        <f t="shared" si="2"/>
        <v>1568.0342220702639</v>
      </c>
      <c r="K30" s="180">
        <v>17</v>
      </c>
      <c r="L30" s="42">
        <f t="shared" si="3"/>
        <v>3.550172287772789E-2</v>
      </c>
    </row>
    <row r="31" spans="1:14" ht="47.25" customHeight="1" x14ac:dyDescent="0.25">
      <c r="B31" s="55"/>
      <c r="D31" s="49" t="s">
        <v>49</v>
      </c>
      <c r="E31" s="41">
        <v>944</v>
      </c>
      <c r="F31" s="196">
        <f t="shared" si="4"/>
        <v>5.0706343664392757E-2</v>
      </c>
      <c r="G31" s="41">
        <v>8692</v>
      </c>
      <c r="H31" s="41">
        <f t="shared" si="0"/>
        <v>9.2076271186440675</v>
      </c>
      <c r="I31" s="41">
        <f t="shared" si="1"/>
        <v>718318.89251216396</v>
      </c>
      <c r="J31" s="41">
        <f t="shared" si="2"/>
        <v>760.93103020356352</v>
      </c>
      <c r="K31" s="180">
        <v>25</v>
      </c>
      <c r="L31" s="42">
        <f t="shared" si="3"/>
        <v>5.2208415996658659E-2</v>
      </c>
    </row>
    <row r="32" spans="1:14" ht="47.25" customHeight="1" x14ac:dyDescent="0.25">
      <c r="B32" s="55"/>
      <c r="D32" s="48" t="s">
        <v>50</v>
      </c>
      <c r="E32" s="41">
        <v>716</v>
      </c>
      <c r="F32" s="196">
        <f t="shared" si="4"/>
        <v>3.8459472525111456E-2</v>
      </c>
      <c r="G32" s="41">
        <v>2837</v>
      </c>
      <c r="H32" s="41">
        <f t="shared" si="0"/>
        <v>3.9622905027932962</v>
      </c>
      <c r="I32" s="41">
        <f t="shared" si="1"/>
        <v>309112.00997864484</v>
      </c>
      <c r="J32" s="41">
        <f t="shared" si="2"/>
        <v>431.72068432771624</v>
      </c>
      <c r="K32" s="180">
        <v>14</v>
      </c>
      <c r="L32" s="42">
        <f t="shared" si="3"/>
        <v>2.9236712958128849E-2</v>
      </c>
    </row>
    <row r="33" spans="2:18" ht="47.25" customHeight="1" x14ac:dyDescent="0.25">
      <c r="B33" s="55"/>
      <c r="D33" s="49" t="s">
        <v>51</v>
      </c>
      <c r="E33" s="41">
        <v>3170</v>
      </c>
      <c r="F33" s="196">
        <f t="shared" si="4"/>
        <v>0.1702744803136918</v>
      </c>
      <c r="G33" s="41">
        <v>14050</v>
      </c>
      <c r="H33" s="41">
        <f t="shared" si="0"/>
        <v>4.4321766561514195</v>
      </c>
      <c r="I33" s="41">
        <f t="shared" si="1"/>
        <v>345769.45678201987</v>
      </c>
      <c r="J33" s="41">
        <f t="shared" si="2"/>
        <v>109.07553841704097</v>
      </c>
      <c r="K33" s="180">
        <v>52</v>
      </c>
      <c r="L33" s="42">
        <f t="shared" si="3"/>
        <v>0.10859350527305001</v>
      </c>
    </row>
    <row r="34" spans="2:18" ht="47.25" customHeight="1" x14ac:dyDescent="0.25">
      <c r="B34" s="55"/>
      <c r="D34" s="49" t="s">
        <v>52</v>
      </c>
      <c r="E34" s="41">
        <v>112</v>
      </c>
      <c r="F34" s="196">
        <f t="shared" si="4"/>
        <v>6.016006875436429E-3</v>
      </c>
      <c r="G34" s="41">
        <v>2213</v>
      </c>
      <c r="H34" s="41">
        <f t="shared" si="0"/>
        <v>19.758928571428573</v>
      </c>
      <c r="I34" s="41">
        <f t="shared" si="1"/>
        <v>1541462.4751600111</v>
      </c>
      <c r="J34" s="41">
        <f t="shared" si="2"/>
        <v>13763.05781392867</v>
      </c>
      <c r="K34" s="180">
        <v>1</v>
      </c>
      <c r="L34" s="42">
        <f t="shared" si="3"/>
        <v>2.0883366398663462E-3</v>
      </c>
    </row>
    <row r="35" spans="2:18" ht="47.25" customHeight="1" x14ac:dyDescent="0.25">
      <c r="B35" s="55"/>
      <c r="D35" s="49" t="s">
        <v>53</v>
      </c>
      <c r="E35" s="41">
        <v>1580</v>
      </c>
      <c r="F35" s="196">
        <f t="shared" si="4"/>
        <v>8.4868668421335336E-2</v>
      </c>
      <c r="G35" s="41">
        <v>9665</v>
      </c>
      <c r="H35" s="41">
        <f t="shared" si="0"/>
        <v>6.1170886075949369</v>
      </c>
      <c r="I35" s="41">
        <f t="shared" si="1"/>
        <v>477215.27570432739</v>
      </c>
      <c r="J35" s="41">
        <f t="shared" si="2"/>
        <v>302.034984622992</v>
      </c>
      <c r="K35" s="180">
        <v>37</v>
      </c>
      <c r="L35" s="42">
        <f t="shared" si="3"/>
        <v>7.7268455675054817E-2</v>
      </c>
    </row>
    <row r="36" spans="2:18" ht="47.25" customHeight="1" x14ac:dyDescent="0.25">
      <c r="B36" s="55"/>
      <c r="D36" s="48" t="s">
        <v>54</v>
      </c>
      <c r="E36" s="41">
        <v>422</v>
      </c>
      <c r="F36" s="196">
        <f t="shared" si="4"/>
        <v>2.2667454477090832E-2</v>
      </c>
      <c r="G36" s="41">
        <v>10349</v>
      </c>
      <c r="H36" s="41">
        <f t="shared" si="0"/>
        <v>24.523696682464454</v>
      </c>
      <c r="I36" s="41">
        <f t="shared" si="1"/>
        <v>1913178.5436426576</v>
      </c>
      <c r="J36" s="41">
        <f t="shared" si="2"/>
        <v>4533.5984446508473</v>
      </c>
      <c r="K36" s="180">
        <v>10.55</v>
      </c>
      <c r="L36" s="42">
        <f t="shared" si="3"/>
        <v>2.2031951550589957E-2</v>
      </c>
    </row>
    <row r="37" spans="2:18" ht="47.25" customHeight="1" x14ac:dyDescent="0.25">
      <c r="B37" s="55"/>
      <c r="D37" s="49" t="s">
        <v>55</v>
      </c>
      <c r="E37" s="41">
        <v>1888</v>
      </c>
      <c r="F37" s="196">
        <f t="shared" si="4"/>
        <v>0.10141268732878551</v>
      </c>
      <c r="G37" s="41">
        <v>49518</v>
      </c>
      <c r="H37" s="41">
        <f t="shared" si="0"/>
        <v>26.227754237288135</v>
      </c>
      <c r="I37" s="41">
        <f t="shared" si="1"/>
        <v>2046117.9774170117</v>
      </c>
      <c r="J37" s="41">
        <f t="shared" si="2"/>
        <v>1083.7489287166375</v>
      </c>
      <c r="K37" s="180">
        <v>81</v>
      </c>
      <c r="L37" s="42">
        <f t="shared" si="3"/>
        <v>0.16915526782917406</v>
      </c>
    </row>
    <row r="38" spans="2:18" ht="47.25" customHeight="1" x14ac:dyDescent="0.25">
      <c r="B38" s="55"/>
      <c r="D38" s="49" t="s">
        <v>56</v>
      </c>
      <c r="E38" s="41">
        <v>412</v>
      </c>
      <c r="F38" s="196">
        <f t="shared" si="4"/>
        <v>2.2130311006069721E-2</v>
      </c>
      <c r="G38" s="41">
        <v>3869</v>
      </c>
      <c r="H38" s="41">
        <f t="shared" si="0"/>
        <v>9.3907766990291268</v>
      </c>
      <c r="I38" s="41">
        <f t="shared" si="1"/>
        <v>732607.02582284878</v>
      </c>
      <c r="J38" s="41">
        <f t="shared" si="2"/>
        <v>1778.1723927739049</v>
      </c>
      <c r="K38" s="180">
        <v>10.3</v>
      </c>
      <c r="L38" s="42">
        <f t="shared" si="3"/>
        <v>2.1509867390623369E-2</v>
      </c>
    </row>
    <row r="39" spans="2:18" ht="47.25" customHeight="1" x14ac:dyDescent="0.25">
      <c r="B39" s="55"/>
      <c r="D39" s="48" t="s">
        <v>57</v>
      </c>
      <c r="E39" s="41">
        <v>1807</v>
      </c>
      <c r="F39" s="196">
        <f t="shared" si="4"/>
        <v>9.706182521351453E-2</v>
      </c>
      <c r="G39" s="41">
        <v>33991</v>
      </c>
      <c r="H39" s="41">
        <f t="shared" si="0"/>
        <v>18.810736026563365</v>
      </c>
      <c r="I39" s="41">
        <f t="shared" si="1"/>
        <v>1467490.6896022826</v>
      </c>
      <c r="J39" s="41">
        <f t="shared" si="2"/>
        <v>812.11438273507611</v>
      </c>
      <c r="K39" s="180">
        <v>51</v>
      </c>
      <c r="L39" s="42">
        <f t="shared" si="3"/>
        <v>0.10650516863318367</v>
      </c>
    </row>
    <row r="40" spans="2:18" ht="47.25" customHeight="1" x14ac:dyDescent="0.25">
      <c r="B40" s="55"/>
      <c r="D40" s="49" t="s">
        <v>45</v>
      </c>
      <c r="E40" s="41">
        <v>1982</v>
      </c>
      <c r="F40" s="196">
        <f t="shared" si="4"/>
        <v>0.10646183595638395</v>
      </c>
      <c r="G40" s="41">
        <v>8756</v>
      </c>
      <c r="H40" s="41">
        <f t="shared" si="0"/>
        <v>4.4177598385469219</v>
      </c>
      <c r="I40" s="41">
        <f t="shared" si="1"/>
        <v>344644.75089180813</v>
      </c>
      <c r="J40" s="41">
        <f t="shared" si="2"/>
        <v>173.88736170121501</v>
      </c>
      <c r="K40" s="180">
        <v>43</v>
      </c>
      <c r="L40" s="42">
        <f t="shared" si="3"/>
        <v>8.9798475514252893E-2</v>
      </c>
    </row>
    <row r="41" spans="2:18" ht="33" customHeight="1" x14ac:dyDescent="0.25">
      <c r="B41" s="55"/>
      <c r="D41" s="43"/>
      <c r="E41" s="188">
        <f>SUM(E27:E40)</f>
        <v>18617</v>
      </c>
      <c r="F41" s="188"/>
      <c r="G41" s="44"/>
      <c r="H41" s="44"/>
      <c r="I41" s="45">
        <v>13000000</v>
      </c>
      <c r="J41" s="44"/>
      <c r="K41" s="188">
        <f>SUM(K27:K40)</f>
        <v>478.85</v>
      </c>
      <c r="L41" s="46">
        <f>SUMPRODUCT(J27:J40,L27:L40)</f>
        <v>714.19488333336517</v>
      </c>
      <c r="M41" s="250" t="s">
        <v>101</v>
      </c>
      <c r="N41" s="251"/>
      <c r="O41" s="251"/>
      <c r="P41" s="251"/>
      <c r="Q41" s="251"/>
      <c r="R41" s="251"/>
    </row>
    <row r="42" spans="2:18" ht="22.5" customHeight="1" x14ac:dyDescent="0.25">
      <c r="B42" s="55"/>
    </row>
    <row r="43" spans="2:18" ht="37.5" customHeight="1" x14ac:dyDescent="0.25">
      <c r="B43" s="56">
        <f>B22*B24</f>
        <v>342006</v>
      </c>
      <c r="C43" s="241" t="s">
        <v>500</v>
      </c>
      <c r="D43" s="240"/>
      <c r="E43" s="240"/>
      <c r="F43" s="240"/>
      <c r="G43" s="240"/>
      <c r="H43" s="240"/>
      <c r="I43" s="240"/>
      <c r="J43" s="240"/>
      <c r="K43" s="240"/>
      <c r="L43" s="240"/>
      <c r="M43" s="240"/>
      <c r="N43" s="240"/>
    </row>
    <row r="45" spans="2:18" ht="37.5" customHeight="1" x14ac:dyDescent="0.25">
      <c r="B45" s="197">
        <f>SUMPRODUCT(K27:K40,H27:H40)/SUMPRODUCT(E27:E40,H27:H40)</f>
        <v>3.0118280666756383E-2</v>
      </c>
      <c r="C45" s="239" t="s">
        <v>501</v>
      </c>
      <c r="D45" s="239"/>
      <c r="E45" s="239"/>
      <c r="F45" s="239"/>
      <c r="G45" s="239"/>
      <c r="H45" s="239"/>
      <c r="I45" s="239"/>
      <c r="J45" s="239"/>
      <c r="K45" s="239"/>
      <c r="L45" s="239"/>
      <c r="M45" s="239"/>
      <c r="N45" s="239"/>
      <c r="O45" s="239"/>
    </row>
    <row r="52" spans="4:4" x14ac:dyDescent="0.25">
      <c r="D52" s="23"/>
    </row>
  </sheetData>
  <mergeCells count="17">
    <mergeCell ref="E13:N13"/>
    <mergeCell ref="E12:N12"/>
    <mergeCell ref="C10:N10"/>
    <mergeCell ref="C45:O45"/>
    <mergeCell ref="C4:N4"/>
    <mergeCell ref="C18:N18"/>
    <mergeCell ref="C22:N22"/>
    <mergeCell ref="C24:N24"/>
    <mergeCell ref="C43:N43"/>
    <mergeCell ref="E9:F9"/>
    <mergeCell ref="M41:R41"/>
    <mergeCell ref="C8:N8"/>
    <mergeCell ref="G9:N9"/>
    <mergeCell ref="E11:N11"/>
    <mergeCell ref="E16:N16"/>
    <mergeCell ref="E15:N15"/>
    <mergeCell ref="E14:N14"/>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zoomScale="70" zoomScaleNormal="70" workbookViewId="0">
      <selection activeCell="G24" sqref="G24:N24"/>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3" t="s">
        <v>502</v>
      </c>
    </row>
    <row r="4" spans="2:15" ht="19.5" customHeight="1" x14ac:dyDescent="0.25">
      <c r="B4" s="260" t="s">
        <v>503</v>
      </c>
      <c r="C4" s="261"/>
      <c r="D4" s="261"/>
      <c r="E4" s="261"/>
      <c r="F4" s="261"/>
      <c r="G4" s="261"/>
      <c r="H4" s="261"/>
      <c r="I4" s="261"/>
      <c r="J4" s="261"/>
      <c r="K4" s="261"/>
      <c r="L4" s="261"/>
      <c r="M4" s="261"/>
      <c r="N4" s="262"/>
    </row>
    <row r="5" spans="2:15" ht="19.5" customHeight="1" x14ac:dyDescent="0.25">
      <c r="B5" s="263"/>
      <c r="C5" s="264"/>
      <c r="D5" s="264"/>
      <c r="E5" s="264"/>
      <c r="F5" s="264"/>
      <c r="G5" s="264"/>
      <c r="H5" s="264"/>
      <c r="I5" s="264"/>
      <c r="J5" s="264"/>
      <c r="K5" s="264"/>
      <c r="L5" s="264"/>
      <c r="M5" s="264"/>
      <c r="N5" s="265"/>
    </row>
    <row r="6" spans="2:15" ht="19.5" customHeight="1" x14ac:dyDescent="0.25">
      <c r="B6" s="266"/>
      <c r="C6" s="267"/>
      <c r="D6" s="267"/>
      <c r="E6" s="267"/>
      <c r="F6" s="267"/>
      <c r="G6" s="267"/>
      <c r="H6" s="267"/>
      <c r="I6" s="267"/>
      <c r="J6" s="267"/>
      <c r="K6" s="267"/>
      <c r="L6" s="267"/>
      <c r="M6" s="267"/>
      <c r="N6" s="268"/>
    </row>
    <row r="8" spans="2:15" ht="18.75" x14ac:dyDescent="0.3">
      <c r="B8" s="52" t="s">
        <v>106</v>
      </c>
    </row>
    <row r="10" spans="2:15" x14ac:dyDescent="0.25">
      <c r="B10" s="70">
        <v>100</v>
      </c>
      <c r="C10" s="71" t="s">
        <v>123</v>
      </c>
      <c r="D10" s="71"/>
      <c r="E10" s="71"/>
      <c r="F10" s="71"/>
      <c r="G10" s="71"/>
      <c r="H10" s="71"/>
      <c r="I10" s="71"/>
      <c r="J10" s="71"/>
      <c r="K10" s="72"/>
    </row>
    <row r="11" spans="2:15" x14ac:dyDescent="0.25">
      <c r="B11" s="6">
        <v>90</v>
      </c>
      <c r="C11" s="73" t="s">
        <v>169</v>
      </c>
      <c r="D11" s="73"/>
      <c r="E11" s="73"/>
      <c r="F11" s="73"/>
      <c r="G11" s="73"/>
      <c r="H11" s="73"/>
      <c r="I11" s="73"/>
      <c r="J11" s="73"/>
      <c r="K11" s="74"/>
      <c r="M11" s="269" t="s">
        <v>156</v>
      </c>
      <c r="N11" s="270"/>
      <c r="O11" s="271"/>
    </row>
    <row r="12" spans="2:15" x14ac:dyDescent="0.25">
      <c r="B12" s="1">
        <v>100</v>
      </c>
      <c r="C12" s="2" t="s">
        <v>105</v>
      </c>
      <c r="D12" s="2"/>
      <c r="E12" s="2"/>
      <c r="F12" s="2"/>
      <c r="G12" s="2"/>
      <c r="H12" s="2"/>
      <c r="I12" s="2"/>
      <c r="J12" s="2"/>
      <c r="K12" s="3"/>
      <c r="M12" s="272"/>
      <c r="N12" s="273"/>
      <c r="O12" s="274"/>
    </row>
    <row r="13" spans="2:15" x14ac:dyDescent="0.25">
      <c r="B13" s="6">
        <v>40</v>
      </c>
      <c r="C13" s="73" t="s">
        <v>172</v>
      </c>
      <c r="D13" s="73"/>
      <c r="E13" s="73"/>
      <c r="F13" s="73"/>
      <c r="G13" s="73"/>
      <c r="H13" s="73"/>
      <c r="I13" s="73"/>
      <c r="J13" s="73"/>
      <c r="K13" s="74"/>
    </row>
    <row r="14" spans="2:15" x14ac:dyDescent="0.25">
      <c r="B14" s="1">
        <v>100</v>
      </c>
      <c r="C14" s="116" t="s">
        <v>166</v>
      </c>
      <c r="D14" s="2"/>
      <c r="E14" s="2"/>
      <c r="F14" s="2"/>
      <c r="G14" s="2"/>
      <c r="H14" s="2"/>
      <c r="I14" s="2"/>
      <c r="J14" s="2"/>
      <c r="K14" s="3"/>
      <c r="M14" s="269" t="s">
        <v>174</v>
      </c>
      <c r="N14" s="270"/>
      <c r="O14" s="271"/>
    </row>
    <row r="15" spans="2:15" x14ac:dyDescent="0.25">
      <c r="B15" s="1">
        <v>100</v>
      </c>
      <c r="C15" s="116" t="s">
        <v>170</v>
      </c>
      <c r="D15" s="2"/>
      <c r="E15" s="2"/>
      <c r="F15" s="2"/>
      <c r="G15" s="2"/>
      <c r="H15" s="2"/>
      <c r="I15" s="2"/>
      <c r="J15" s="2"/>
      <c r="K15" s="3"/>
      <c r="M15" s="272"/>
      <c r="N15" s="273"/>
      <c r="O15" s="274"/>
    </row>
    <row r="16" spans="2:15" x14ac:dyDescent="0.25">
      <c r="B16" s="70">
        <v>100</v>
      </c>
      <c r="C16" s="71" t="s">
        <v>173</v>
      </c>
      <c r="D16" s="71"/>
      <c r="E16" s="71"/>
      <c r="F16" s="71"/>
      <c r="G16" s="71"/>
      <c r="H16" s="71"/>
      <c r="I16" s="71"/>
      <c r="J16" s="71"/>
      <c r="K16" s="72"/>
    </row>
    <row r="17" spans="2:15" x14ac:dyDescent="0.25">
      <c r="B17" s="75">
        <v>40</v>
      </c>
      <c r="C17" s="76" t="s">
        <v>168</v>
      </c>
      <c r="D17" s="76"/>
      <c r="E17" s="76"/>
      <c r="F17" s="76"/>
      <c r="G17" s="76"/>
      <c r="H17" s="76"/>
      <c r="I17" s="76"/>
      <c r="J17" s="76"/>
      <c r="K17" s="77"/>
      <c r="M17" s="269" t="s">
        <v>175</v>
      </c>
      <c r="N17" s="270"/>
      <c r="O17" s="271"/>
    </row>
    <row r="18" spans="2:15" x14ac:dyDescent="0.25">
      <c r="B18" s="1">
        <v>100</v>
      </c>
      <c r="C18" s="2" t="s">
        <v>167</v>
      </c>
      <c r="D18" s="2"/>
      <c r="E18" s="2"/>
      <c r="F18" s="2"/>
      <c r="G18" s="2"/>
      <c r="H18" s="2"/>
      <c r="I18" s="2"/>
      <c r="J18" s="2"/>
      <c r="K18" s="3"/>
      <c r="M18" s="272"/>
      <c r="N18" s="273"/>
      <c r="O18" s="274"/>
    </row>
    <row r="19" spans="2:15" x14ac:dyDescent="0.25">
      <c r="B19" s="6">
        <v>250</v>
      </c>
      <c r="C19" s="73" t="s">
        <v>171</v>
      </c>
      <c r="D19" s="73"/>
      <c r="E19" s="73"/>
      <c r="F19" s="73"/>
      <c r="G19" s="73"/>
      <c r="H19" s="73"/>
      <c r="I19" s="73"/>
      <c r="J19" s="73"/>
      <c r="K19" s="74"/>
    </row>
    <row r="20" spans="2:15" x14ac:dyDescent="0.25">
      <c r="B20" s="21"/>
      <c r="C20" s="21"/>
      <c r="D20" s="21"/>
      <c r="E20" s="21"/>
    </row>
    <row r="21" spans="2:15" ht="18.75" x14ac:dyDescent="0.3">
      <c r="B21" s="52" t="s">
        <v>126</v>
      </c>
    </row>
    <row r="22" spans="2:15" x14ac:dyDescent="0.25">
      <c r="B22" s="25"/>
    </row>
    <row r="23" spans="2:15" x14ac:dyDescent="0.25">
      <c r="B23" s="79">
        <v>2015</v>
      </c>
      <c r="C23" s="80">
        <v>2025</v>
      </c>
      <c r="D23" s="80">
        <v>2035</v>
      </c>
      <c r="E23" s="81">
        <v>2050</v>
      </c>
    </row>
    <row r="24" spans="2:15" ht="56.25" customHeight="1" x14ac:dyDescent="0.25">
      <c r="B24" s="130">
        <f>'LEAP Scenario'!B14*1000</f>
        <v>753637.85566720623</v>
      </c>
      <c r="C24" s="131">
        <f>'LEAP Scenario'!C14*1000</f>
        <v>706989.29366272956</v>
      </c>
      <c r="D24" s="131">
        <f>'LEAP Scenario'!D14*1000</f>
        <v>658426.05187448708</v>
      </c>
      <c r="E24" s="132">
        <f>'LEAP Scenario'!E14*1000</f>
        <v>604591.22418808436</v>
      </c>
      <c r="G24" s="251" t="s">
        <v>128</v>
      </c>
      <c r="H24" s="251"/>
      <c r="I24" s="251"/>
      <c r="J24" s="251"/>
      <c r="K24" s="251"/>
      <c r="L24" s="251"/>
      <c r="M24" s="251"/>
      <c r="N24" s="251"/>
    </row>
    <row r="25" spans="2:15" ht="56.25" customHeight="1" x14ac:dyDescent="0.25">
      <c r="B25" s="181">
        <f>('LEAP Scenario'!B7+'LEAP Scenario'!B8)*(2.4-1)*1000</f>
        <v>4316.7326033993331</v>
      </c>
      <c r="C25" s="182">
        <f>('LEAP Scenario'!C7+'LEAP Scenario'!C8)*(2.6-1)*1000</f>
        <v>29003.668828369719</v>
      </c>
      <c r="D25" s="182">
        <f>('LEAP Scenario'!D7+'LEAP Scenario'!D8)*(2.8-1)*1000</f>
        <v>69734.129683024716</v>
      </c>
      <c r="E25" s="183">
        <f>('LEAP Scenario'!E7+'LEAP Scenario'!E8)*(2.3-1)*1000</f>
        <v>77129.269523180032</v>
      </c>
      <c r="G25" s="251" t="s">
        <v>184</v>
      </c>
      <c r="H25" s="251"/>
      <c r="I25" s="251"/>
      <c r="J25" s="251"/>
      <c r="K25" s="251"/>
      <c r="L25" s="251"/>
      <c r="M25" s="251"/>
      <c r="N25" s="251"/>
    </row>
    <row r="26" spans="2:15" ht="56.25" customHeight="1" x14ac:dyDescent="0.25">
      <c r="B26" s="130">
        <f>'LEAP Scenario'!H14*1000</f>
        <v>744984.49768343335</v>
      </c>
      <c r="C26" s="131">
        <f>'LEAP Scenario'!I14*1000</f>
        <v>659246.62892467261</v>
      </c>
      <c r="D26" s="131">
        <f>'LEAP Scenario'!J14*1000</f>
        <v>555555.52894670446</v>
      </c>
      <c r="E26" s="132">
        <f>'LEAP Scenario'!K14*1000</f>
        <v>395319.21041960031</v>
      </c>
      <c r="G26" s="251" t="s">
        <v>129</v>
      </c>
      <c r="H26" s="251"/>
      <c r="I26" s="251"/>
      <c r="J26" s="251"/>
      <c r="K26" s="251"/>
      <c r="L26" s="251"/>
      <c r="M26" s="251"/>
      <c r="N26" s="251"/>
    </row>
    <row r="27" spans="2:15" ht="56.25" customHeight="1" thickBot="1" x14ac:dyDescent="0.3">
      <c r="B27" s="184">
        <f>('LEAP Scenario'!H7+'LEAP Scenario'!H8)*(2.4-1)*1000</f>
        <v>8494.2157679793345</v>
      </c>
      <c r="C27" s="185">
        <f>('LEAP Scenario'!I7+'LEAP Scenario'!I8)*(2.6-1)*1000</f>
        <v>56575.05771459773</v>
      </c>
      <c r="D27" s="185">
        <f>('LEAP Scenario'!J7+'LEAP Scenario'!J8)*(2.8-1)*1000</f>
        <v>131456.44343969421</v>
      </c>
      <c r="E27" s="186">
        <f>('LEAP Scenario'!K7+'LEAP Scenario'!K8)*(3-1)*1000</f>
        <v>213101.3733360155</v>
      </c>
      <c r="G27" s="251" t="s">
        <v>184</v>
      </c>
      <c r="H27" s="251"/>
      <c r="I27" s="251"/>
      <c r="J27" s="251"/>
      <c r="K27" s="251"/>
      <c r="L27" s="251"/>
      <c r="M27" s="251"/>
      <c r="N27" s="251"/>
    </row>
    <row r="28" spans="2:15" ht="56.25" customHeight="1" thickTop="1" x14ac:dyDescent="0.25">
      <c r="B28" s="130">
        <f>B24+B25-B26-B27</f>
        <v>4475.8748191928571</v>
      </c>
      <c r="C28" s="131">
        <f>C24+C25-C26-C27</f>
        <v>20171.275851828919</v>
      </c>
      <c r="D28" s="131">
        <f>D24+D25-D26-D27</f>
        <v>41148.209171113122</v>
      </c>
      <c r="E28" s="132">
        <f>E24+E25-E26-E27</f>
        <v>73299.909955648531</v>
      </c>
      <c r="G28" s="251" t="s">
        <v>183</v>
      </c>
      <c r="H28" s="251"/>
      <c r="I28" s="251"/>
      <c r="J28" s="251"/>
      <c r="K28" s="251"/>
      <c r="L28" s="251"/>
      <c r="M28" s="251"/>
      <c r="N28" s="251"/>
    </row>
    <row r="29" spans="2:15" ht="56.25" customHeight="1" x14ac:dyDescent="0.25">
      <c r="B29" s="254">
        <f>0.25*'1.Current Heat'!B10</f>
        <v>27.5</v>
      </c>
      <c r="C29" s="255"/>
      <c r="D29" s="255"/>
      <c r="E29" s="256"/>
      <c r="G29" s="251" t="s">
        <v>130</v>
      </c>
      <c r="H29" s="251"/>
      <c r="I29" s="251"/>
      <c r="J29" s="251"/>
      <c r="K29" s="251"/>
      <c r="L29" s="251"/>
      <c r="M29" s="251"/>
      <c r="N29" s="251"/>
    </row>
    <row r="30" spans="2:15" ht="56.25" customHeight="1" x14ac:dyDescent="0.25">
      <c r="B30" s="130">
        <f>B28/$B$29</f>
        <v>162.75908433428572</v>
      </c>
      <c r="C30" s="131">
        <f>C28/$B$29</f>
        <v>733.50094006650613</v>
      </c>
      <c r="D30" s="131">
        <f>D28/$B$29</f>
        <v>1496.2985153132045</v>
      </c>
      <c r="E30" s="132">
        <f>E28/$B$29</f>
        <v>2665.4512711144921</v>
      </c>
      <c r="G30" s="251" t="s">
        <v>131</v>
      </c>
      <c r="H30" s="251"/>
      <c r="I30" s="251"/>
      <c r="J30" s="251"/>
      <c r="K30" s="251"/>
      <c r="L30" s="251"/>
      <c r="M30" s="251"/>
      <c r="N30" s="251"/>
    </row>
    <row r="31" spans="2:15" ht="56.25" customHeight="1" x14ac:dyDescent="0.25">
      <c r="B31" s="133">
        <f>'1.Current Heat'!B8</f>
        <v>5000</v>
      </c>
      <c r="C31" s="134">
        <v>5500</v>
      </c>
      <c r="D31" s="134">
        <v>6000</v>
      </c>
      <c r="E31" s="135">
        <v>6500</v>
      </c>
      <c r="G31" s="251" t="s">
        <v>132</v>
      </c>
      <c r="H31" s="251"/>
      <c r="I31" s="251"/>
      <c r="J31" s="251"/>
      <c r="K31" s="251"/>
      <c r="L31" s="251"/>
      <c r="M31" s="251"/>
      <c r="N31" s="251"/>
      <c r="O31" s="189">
        <f>(E31/B31)^(1/(E23-B23))-1</f>
        <v>7.5242880985069149E-3</v>
      </c>
    </row>
    <row r="32" spans="2:15" ht="56.25" customHeight="1" x14ac:dyDescent="0.25">
      <c r="B32" s="136">
        <f>B30/B31</f>
        <v>3.2551816866857146E-2</v>
      </c>
      <c r="C32" s="137">
        <f>C30/C31</f>
        <v>0.13336380728481931</v>
      </c>
      <c r="D32" s="137">
        <f>D30/D31</f>
        <v>0.24938308588553407</v>
      </c>
      <c r="E32" s="138">
        <f>E30/E31</f>
        <v>0.41006942632530646</v>
      </c>
      <c r="G32" s="251" t="s">
        <v>189</v>
      </c>
      <c r="H32" s="251"/>
      <c r="I32" s="251"/>
      <c r="J32" s="251"/>
      <c r="K32" s="251"/>
      <c r="L32" s="251"/>
      <c r="M32" s="251"/>
      <c r="N32" s="251"/>
    </row>
    <row r="33" spans="2:34" s="163" customFormat="1" x14ac:dyDescent="0.25">
      <c r="B33" s="162"/>
      <c r="C33" s="162"/>
      <c r="D33" s="162"/>
      <c r="E33" s="162"/>
      <c r="G33" s="164"/>
      <c r="H33" s="164"/>
      <c r="I33" s="164"/>
      <c r="J33" s="164"/>
      <c r="K33" s="164"/>
      <c r="L33" s="164"/>
      <c r="M33" s="164"/>
      <c r="N33" s="164"/>
    </row>
    <row r="34" spans="2:34" s="163" customFormat="1" ht="18.75" x14ac:dyDescent="0.25">
      <c r="B34" s="165" t="s">
        <v>127</v>
      </c>
      <c r="C34" s="162"/>
      <c r="D34" s="162"/>
      <c r="E34" s="162"/>
      <c r="G34" s="164"/>
      <c r="H34" s="164"/>
      <c r="I34" s="164"/>
      <c r="J34" s="164"/>
      <c r="K34" s="164"/>
      <c r="L34" s="164"/>
      <c r="M34" s="164"/>
      <c r="N34" s="164"/>
    </row>
    <row r="35" spans="2:34" s="163" customFormat="1" x14ac:dyDescent="0.25">
      <c r="B35" s="166"/>
      <c r="C35" s="162"/>
      <c r="D35" s="162"/>
      <c r="E35" s="162"/>
      <c r="G35" s="164"/>
      <c r="H35" s="164"/>
      <c r="I35" s="164"/>
      <c r="J35" s="164"/>
      <c r="K35" s="164"/>
      <c r="L35" s="164"/>
      <c r="M35" s="164"/>
      <c r="N35" s="164"/>
    </row>
    <row r="36" spans="2:34" x14ac:dyDescent="0.25">
      <c r="B36" s="141">
        <v>2015</v>
      </c>
      <c r="C36" s="142">
        <v>2025</v>
      </c>
      <c r="D36" s="142">
        <v>2035</v>
      </c>
      <c r="E36" s="143">
        <v>2050</v>
      </c>
      <c r="G36" s="128"/>
      <c r="H36" s="128"/>
      <c r="I36" s="128"/>
      <c r="J36" s="128"/>
      <c r="K36" s="128"/>
      <c r="L36" s="128"/>
      <c r="M36" s="128"/>
      <c r="N36" s="128"/>
    </row>
    <row r="37" spans="2:34" ht="56.25" customHeight="1" x14ac:dyDescent="0.25">
      <c r="B37" s="130">
        <f>('LEAP Scenario'!N11-'LEAP Scenario'!N6)*1000</f>
        <v>337505.45315167197</v>
      </c>
      <c r="C37" s="131">
        <f>('LEAP Scenario'!O11-'LEAP Scenario'!O6)*1000</f>
        <v>334885.16273366427</v>
      </c>
      <c r="D37" s="131">
        <f>('LEAP Scenario'!P11-'LEAP Scenario'!P6)*1000</f>
        <v>325307.54948163562</v>
      </c>
      <c r="E37" s="132">
        <f>('LEAP Scenario'!Q11-'LEAP Scenario'!Q6)*1000</f>
        <v>316272.06528160878</v>
      </c>
      <c r="G37" s="251" t="s">
        <v>185</v>
      </c>
      <c r="H37" s="251"/>
      <c r="I37" s="251"/>
      <c r="J37" s="251"/>
      <c r="K37" s="251"/>
      <c r="L37" s="251"/>
      <c r="M37" s="251"/>
      <c r="N37" s="251"/>
    </row>
    <row r="38" spans="2:34" ht="56.25" customHeight="1" x14ac:dyDescent="0.25">
      <c r="B38" s="130">
        <f>'LEAP Scenario'!N6*1000</f>
        <v>214381.92178597194</v>
      </c>
      <c r="C38" s="131">
        <f>'LEAP Scenario'!O6*1000</f>
        <v>216610.67455531191</v>
      </c>
      <c r="D38" s="131">
        <f>'LEAP Scenario'!P6*1000</f>
        <v>214592.74975063922</v>
      </c>
      <c r="E38" s="132">
        <f>'LEAP Scenario'!Q6*1000</f>
        <v>215586.6530126422</v>
      </c>
      <c r="F38" s="187"/>
      <c r="G38" s="251" t="s">
        <v>103</v>
      </c>
      <c r="H38" s="251"/>
      <c r="I38" s="251"/>
      <c r="J38" s="251"/>
      <c r="K38" s="251"/>
      <c r="L38" s="251"/>
      <c r="M38" s="251"/>
      <c r="N38" s="251"/>
    </row>
    <row r="39" spans="2:34" ht="56.25" customHeight="1" x14ac:dyDescent="0.25">
      <c r="B39" s="130">
        <f>0.005*B38</f>
        <v>1071.9096089298596</v>
      </c>
      <c r="C39" s="131">
        <f>B39-(($B$39-$E$39)/3)</f>
        <v>4307.7172894972764</v>
      </c>
      <c r="D39" s="131">
        <f>C39-(($B$39-$E$39)/3)</f>
        <v>7543.5249700646928</v>
      </c>
      <c r="E39" s="132">
        <f>0.05*E38</f>
        <v>10779.33265063211</v>
      </c>
      <c r="G39" s="251" t="s">
        <v>201</v>
      </c>
      <c r="H39" s="251"/>
      <c r="I39" s="251"/>
      <c r="J39" s="251"/>
      <c r="K39" s="251"/>
      <c r="L39" s="251"/>
      <c r="M39" s="251"/>
      <c r="N39" s="251"/>
      <c r="V39" s="21"/>
      <c r="W39" s="21"/>
      <c r="X39" s="21"/>
      <c r="Y39" s="21"/>
      <c r="AH39" s="21"/>
    </row>
    <row r="40" spans="2:34" ht="56.25" customHeight="1" x14ac:dyDescent="0.25">
      <c r="B40" s="144">
        <f>B39*(2.4-1)</f>
        <v>1500.6734525018032</v>
      </c>
      <c r="C40" s="145">
        <f>C39*(2.6-1)</f>
        <v>6892.3476631956428</v>
      </c>
      <c r="D40" s="145">
        <f>D39*(2.8-1)</f>
        <v>13578.344946116445</v>
      </c>
      <c r="E40" s="146">
        <f>E39*(3-1)</f>
        <v>21558.66530126422</v>
      </c>
      <c r="G40" s="251" t="s">
        <v>202</v>
      </c>
      <c r="H40" s="251"/>
      <c r="I40" s="251"/>
      <c r="J40" s="251"/>
      <c r="K40" s="251"/>
      <c r="L40" s="251"/>
      <c r="M40" s="251"/>
      <c r="N40" s="251"/>
      <c r="V40" s="21"/>
      <c r="W40" s="21"/>
      <c r="X40" s="21"/>
      <c r="Y40" s="21"/>
      <c r="AH40" s="21"/>
    </row>
    <row r="41" spans="2:34" ht="56.25" customHeight="1" x14ac:dyDescent="0.25">
      <c r="B41" s="130">
        <f>('LEAP Scenario'!T11-'LEAP Scenario'!T6)*1000</f>
        <v>331644.43573392119</v>
      </c>
      <c r="C41" s="131">
        <f>('LEAP Scenario'!U11-'LEAP Scenario'!U6)*1000</f>
        <v>298291.45172355528</v>
      </c>
      <c r="D41" s="131">
        <f>('LEAP Scenario'!V11-'LEAP Scenario'!V6)*1000</f>
        <v>256646.90504563117</v>
      </c>
      <c r="E41" s="132">
        <f>('LEAP Scenario'!W11-'LEAP Scenario'!W6)*1000</f>
        <v>194220.74470764527</v>
      </c>
      <c r="G41" s="251" t="s">
        <v>203</v>
      </c>
      <c r="H41" s="251"/>
      <c r="I41" s="251"/>
      <c r="J41" s="251"/>
      <c r="K41" s="251"/>
      <c r="L41" s="251"/>
      <c r="M41" s="251"/>
      <c r="N41" s="251"/>
      <c r="AH41" s="21"/>
    </row>
    <row r="42" spans="2:34" ht="56.25" customHeight="1" x14ac:dyDescent="0.25">
      <c r="B42" s="130">
        <f>'LEAP Scenario'!T6*1000</f>
        <v>214378.90995790524</v>
      </c>
      <c r="C42" s="131">
        <f>'LEAP Scenario'!U6*1000</f>
        <v>216601.63907111189</v>
      </c>
      <c r="D42" s="131">
        <f>'LEAP Scenario'!V6*1000</f>
        <v>214580.70243837257</v>
      </c>
      <c r="E42" s="132">
        <f>'LEAP Scenario'!W6*1000</f>
        <v>215598.70032490889</v>
      </c>
      <c r="G42" s="251" t="s">
        <v>104</v>
      </c>
      <c r="H42" s="251"/>
      <c r="I42" s="251"/>
      <c r="J42" s="251"/>
      <c r="K42" s="251"/>
      <c r="L42" s="251"/>
      <c r="M42" s="251"/>
      <c r="N42" s="251"/>
      <c r="V42" s="29"/>
      <c r="W42" s="29"/>
      <c r="X42" s="29"/>
      <c r="Y42" s="29"/>
      <c r="AH42" s="21"/>
    </row>
    <row r="43" spans="2:34" ht="56.25" customHeight="1" x14ac:dyDescent="0.25">
      <c r="B43" s="130">
        <f>B39</f>
        <v>1071.9096089298596</v>
      </c>
      <c r="C43" s="131">
        <f>B43-(($B$43-$E$43)/3)</f>
        <v>14438.101386029672</v>
      </c>
      <c r="D43" s="131">
        <f>C43-(($B$43-$E$43)/3)</f>
        <v>27804.293163129485</v>
      </c>
      <c r="E43" s="132">
        <f>0.8*((E37+E39+E40-E41)/3)</f>
        <v>41170.484940229297</v>
      </c>
      <c r="G43" s="251" t="s">
        <v>148</v>
      </c>
      <c r="H43" s="251"/>
      <c r="I43" s="251"/>
      <c r="J43" s="251"/>
      <c r="K43" s="251"/>
      <c r="L43" s="251"/>
      <c r="M43" s="251"/>
      <c r="N43" s="251"/>
      <c r="AH43" s="21"/>
    </row>
    <row r="44" spans="2:34" ht="56.25" customHeight="1" x14ac:dyDescent="0.25">
      <c r="B44" s="130">
        <f>B43*(2.4-1)</f>
        <v>1500.6734525018032</v>
      </c>
      <c r="C44" s="131">
        <f>C43*(2.6-1)</f>
        <v>23100.962217647477</v>
      </c>
      <c r="D44" s="131">
        <f>D43*(2.8-1)</f>
        <v>50047.727693633067</v>
      </c>
      <c r="E44" s="132">
        <f>E43*(3-1)</f>
        <v>82340.969880458593</v>
      </c>
      <c r="F44" s="21"/>
      <c r="G44" s="251" t="s">
        <v>102</v>
      </c>
      <c r="H44" s="251"/>
      <c r="I44" s="251"/>
      <c r="J44" s="251"/>
      <c r="K44" s="251"/>
      <c r="L44" s="251"/>
      <c r="M44" s="251"/>
      <c r="N44" s="251"/>
      <c r="V44" s="21"/>
      <c r="W44" s="21"/>
      <c r="X44" s="21"/>
      <c r="Y44" s="21"/>
      <c r="AH44" s="21"/>
    </row>
    <row r="45" spans="2:34" ht="56.25" customHeight="1" x14ac:dyDescent="0.25">
      <c r="B45" s="130">
        <f>B37+B39+B40-B41-B43-B44</f>
        <v>5861.0174177508325</v>
      </c>
      <c r="C45" s="131">
        <f>C37+C39+C40-C41-C43-C44</f>
        <v>10254.712359124733</v>
      </c>
      <c r="D45" s="131">
        <f>D37+D39+D40-D41-D43-D44</f>
        <v>11930.493495423041</v>
      </c>
      <c r="E45" s="132">
        <f>E37+E39+E40-E41-E43-E44</f>
        <v>30877.863705171956</v>
      </c>
      <c r="F45" s="94"/>
      <c r="G45" s="251" t="s">
        <v>155</v>
      </c>
      <c r="H45" s="251"/>
      <c r="I45" s="251"/>
      <c r="J45" s="251"/>
      <c r="K45" s="251"/>
      <c r="L45" s="251"/>
      <c r="M45" s="251"/>
      <c r="N45" s="251"/>
      <c r="AH45" s="21"/>
    </row>
    <row r="46" spans="2:34" ht="56.25" customHeight="1" x14ac:dyDescent="0.25">
      <c r="B46" s="257">
        <f>0.2*'1.Current Heat'!B24</f>
        <v>142.80000000000001</v>
      </c>
      <c r="C46" s="258"/>
      <c r="D46" s="258"/>
      <c r="E46" s="259"/>
      <c r="G46" s="251" t="s">
        <v>133</v>
      </c>
      <c r="H46" s="251"/>
      <c r="I46" s="251"/>
      <c r="J46" s="251"/>
      <c r="K46" s="251"/>
      <c r="L46" s="251"/>
      <c r="M46" s="251"/>
      <c r="N46" s="251"/>
      <c r="AH46" s="21"/>
    </row>
    <row r="47" spans="2:34" ht="56.25" customHeight="1" x14ac:dyDescent="0.25">
      <c r="B47" s="130">
        <f>B45/$B$46</f>
        <v>41.043539339991824</v>
      </c>
      <c r="C47" s="131">
        <f>C45/$B$46</f>
        <v>71.811711198352469</v>
      </c>
      <c r="D47" s="131">
        <f>D45/$B$46</f>
        <v>83.546873217248177</v>
      </c>
      <c r="E47" s="132">
        <f>E45/$B$46</f>
        <v>216.23153855162431</v>
      </c>
      <c r="G47" s="251" t="s">
        <v>134</v>
      </c>
      <c r="H47" s="251"/>
      <c r="I47" s="251"/>
      <c r="J47" s="251"/>
      <c r="K47" s="251"/>
      <c r="L47" s="251"/>
      <c r="M47" s="251"/>
      <c r="N47" s="251"/>
    </row>
    <row r="48" spans="2:34" ht="56.25" customHeight="1" x14ac:dyDescent="0.25">
      <c r="B48" s="133">
        <f>'1.Current Heat'!B22</f>
        <v>479</v>
      </c>
      <c r="C48" s="134">
        <v>500</v>
      </c>
      <c r="D48" s="134">
        <v>520</v>
      </c>
      <c r="E48" s="135">
        <v>540</v>
      </c>
      <c r="G48" s="251" t="s">
        <v>200</v>
      </c>
      <c r="H48" s="251"/>
      <c r="I48" s="251"/>
      <c r="J48" s="251"/>
      <c r="K48" s="251"/>
      <c r="L48" s="251"/>
      <c r="M48" s="251"/>
      <c r="N48" s="251"/>
      <c r="O48" s="189">
        <f>(E48/B48)^(1/(E36-B36))-1</f>
        <v>3.4306868713818162E-3</v>
      </c>
    </row>
    <row r="49" spans="1:14" ht="56.25" customHeight="1" x14ac:dyDescent="0.25">
      <c r="B49" s="136">
        <f>B47/B48</f>
        <v>8.568588588724807E-2</v>
      </c>
      <c r="C49" s="137">
        <f>C47/C48</f>
        <v>0.14362342239670495</v>
      </c>
      <c r="D49" s="137">
        <f>D47/D48</f>
        <v>0.16066706387932342</v>
      </c>
      <c r="E49" s="138">
        <f>E47/E48</f>
        <v>0.4004287750956006</v>
      </c>
      <c r="G49" s="251" t="s">
        <v>188</v>
      </c>
      <c r="H49" s="251"/>
      <c r="I49" s="251"/>
      <c r="J49" s="251"/>
      <c r="K49" s="251"/>
      <c r="L49" s="251"/>
      <c r="M49" s="251"/>
      <c r="N49" s="251"/>
    </row>
    <row r="50" spans="1:14" x14ac:dyDescent="0.25">
      <c r="B50" s="147"/>
      <c r="C50" s="147"/>
      <c r="D50" s="147"/>
      <c r="E50" s="147"/>
      <c r="G50" s="128"/>
      <c r="H50" s="128"/>
      <c r="I50" s="128"/>
      <c r="J50" s="128"/>
      <c r="K50" s="128"/>
      <c r="L50" s="128"/>
      <c r="M50" s="128"/>
      <c r="N50" s="128"/>
    </row>
    <row r="51" spans="1:14" ht="18.75" x14ac:dyDescent="0.25">
      <c r="B51" s="139" t="s">
        <v>135</v>
      </c>
      <c r="C51" s="60"/>
      <c r="D51" s="60"/>
      <c r="E51" s="60"/>
      <c r="G51" s="128"/>
      <c r="H51" s="128"/>
      <c r="I51" s="128"/>
      <c r="J51" s="128"/>
      <c r="K51" s="128"/>
      <c r="L51" s="128"/>
      <c r="M51" s="128"/>
      <c r="N51" s="128"/>
    </row>
    <row r="52" spans="1:14" x14ac:dyDescent="0.25">
      <c r="B52" s="140"/>
      <c r="C52" s="60"/>
      <c r="D52" s="60"/>
      <c r="E52" s="60"/>
      <c r="G52" s="128"/>
      <c r="H52" s="128"/>
      <c r="I52" s="128"/>
      <c r="J52" s="128"/>
      <c r="K52" s="128"/>
      <c r="L52" s="128"/>
      <c r="M52" s="128"/>
      <c r="N52" s="128"/>
    </row>
    <row r="53" spans="1:14" x14ac:dyDescent="0.25">
      <c r="B53" s="141">
        <v>2015</v>
      </c>
      <c r="C53" s="142">
        <v>2025</v>
      </c>
      <c r="D53" s="142">
        <v>2035</v>
      </c>
      <c r="E53" s="143">
        <v>2050</v>
      </c>
      <c r="G53" s="128"/>
      <c r="H53" s="128"/>
      <c r="I53" s="128"/>
      <c r="J53" s="128"/>
      <c r="K53" s="128"/>
      <c r="L53" s="129"/>
      <c r="M53" s="128"/>
      <c r="N53" s="128"/>
    </row>
    <row r="54" spans="1:14" ht="56.25" customHeight="1" x14ac:dyDescent="0.25">
      <c r="B54" s="148">
        <f>'1.Current Heat'!B10</f>
        <v>110</v>
      </c>
      <c r="C54" s="149">
        <f>C32*($B$54-$B$29)+(1-C32)*$B$54</f>
        <v>106.33249529966746</v>
      </c>
      <c r="D54" s="149">
        <f>D32*($B$54-$B$29)+(1-D32)*$B$54</f>
        <v>103.14196513814781</v>
      </c>
      <c r="E54" s="150">
        <f>E32*($B$54-$B$29)+(1-E32)*$B$54</f>
        <v>98.723090776054079</v>
      </c>
      <c r="F54" s="1"/>
      <c r="G54" s="251" t="s">
        <v>115</v>
      </c>
      <c r="H54" s="251"/>
      <c r="I54" s="251"/>
      <c r="J54" s="251"/>
      <c r="K54" s="251"/>
      <c r="L54" s="251"/>
      <c r="M54" s="251"/>
      <c r="N54" s="251"/>
    </row>
    <row r="55" spans="1:14" ht="56.25" customHeight="1" x14ac:dyDescent="0.25">
      <c r="B55" s="151">
        <f>('LEAP Scenario'!H4+'LEAP Scenario'!H9+'LEAP Scenario'!H12)*1000</f>
        <v>274893.3118120947</v>
      </c>
      <c r="C55" s="152">
        <f>('LEAP Scenario'!I4+'LEAP Scenario'!I9+'LEAP Scenario'!I12)*1000</f>
        <v>208774.69434412906</v>
      </c>
      <c r="D55" s="152">
        <f>('LEAP Scenario'!J4+'LEAP Scenario'!J9+'LEAP Scenario'!J12)*1000</f>
        <v>145490.79759498563</v>
      </c>
      <c r="E55" s="153">
        <f>('LEAP Scenario'!K4+'LEAP Scenario'!K9+'LEAP Scenario'!K12)*1000</f>
        <v>45206.335673847869</v>
      </c>
      <c r="G55" s="251" t="s">
        <v>116</v>
      </c>
      <c r="H55" s="251"/>
      <c r="I55" s="251"/>
      <c r="J55" s="251"/>
      <c r="K55" s="251"/>
      <c r="L55" s="251"/>
      <c r="M55" s="251"/>
      <c r="N55" s="251"/>
    </row>
    <row r="56" spans="1:14" ht="56.25" customHeight="1" x14ac:dyDescent="0.25">
      <c r="B56" s="154">
        <f>'LEAP Scenario'!H4*1000/'2.Heat Targets'!B55</f>
        <v>7.6888285843509721E-3</v>
      </c>
      <c r="C56" s="155">
        <f>'LEAP Scenario'!I4*1000/'2.Heat Targets'!C55</f>
        <v>6.1457837065269173E-2</v>
      </c>
      <c r="D56" s="155">
        <f>'LEAP Scenario'!J4*1000/'2.Heat Targets'!D55</f>
        <v>0.16715091437361132</v>
      </c>
      <c r="E56" s="156">
        <f>'LEAP Scenario'!K4*1000/'2.Heat Targets'!E55</f>
        <v>1</v>
      </c>
      <c r="G56" s="251" t="s">
        <v>143</v>
      </c>
      <c r="H56" s="251"/>
      <c r="I56" s="251"/>
      <c r="J56" s="251"/>
      <c r="K56" s="251"/>
      <c r="L56" s="251"/>
      <c r="M56" s="251"/>
      <c r="N56" s="251"/>
    </row>
    <row r="57" spans="1:14" ht="56.25" customHeight="1" x14ac:dyDescent="0.25">
      <c r="B57" s="130">
        <f>B55/B54</f>
        <v>2499.030107382679</v>
      </c>
      <c r="C57" s="131">
        <f>C55/C54</f>
        <v>1963.4138534580406</v>
      </c>
      <c r="D57" s="131">
        <f>D55/D54</f>
        <v>1410.5877990604117</v>
      </c>
      <c r="E57" s="132">
        <f>E55/E54</f>
        <v>457.91045760910231</v>
      </c>
      <c r="G57" s="251" t="s">
        <v>117</v>
      </c>
      <c r="H57" s="251"/>
      <c r="I57" s="251"/>
      <c r="J57" s="251"/>
      <c r="K57" s="251"/>
      <c r="L57" s="251"/>
      <c r="M57" s="251"/>
      <c r="N57" s="251"/>
    </row>
    <row r="58" spans="1:14" ht="56.25" customHeight="1" x14ac:dyDescent="0.25">
      <c r="B58" s="136">
        <f>B57/B31</f>
        <v>0.4998060214765358</v>
      </c>
      <c r="C58" s="137">
        <f>C57/C31</f>
        <v>0.35698433699237103</v>
      </c>
      <c r="D58" s="137">
        <f>D57/D31</f>
        <v>0.23509796651006862</v>
      </c>
      <c r="E58" s="138">
        <f>E57/E31</f>
        <v>7.0447762709092657E-2</v>
      </c>
      <c r="G58" s="251" t="s">
        <v>136</v>
      </c>
      <c r="H58" s="251"/>
      <c r="I58" s="251"/>
      <c r="J58" s="251"/>
      <c r="K58" s="251"/>
      <c r="L58" s="251"/>
      <c r="M58" s="251"/>
      <c r="N58" s="251"/>
    </row>
    <row r="59" spans="1:14" ht="56.25" customHeight="1" x14ac:dyDescent="0.25">
      <c r="B59" s="151">
        <f>('LEAP Scenario'!H5+'LEAP Scenario'!H13)*1000</f>
        <v>194551.35880758287</v>
      </c>
      <c r="C59" s="152">
        <f>('LEAP Scenario'!I5+'LEAP Scenario'!I13)*1000</f>
        <v>200693.25369836419</v>
      </c>
      <c r="D59" s="152">
        <f>('LEAP Scenario'!J5+'LEAP Scenario'!J13)*1000</f>
        <v>202409.00571238811</v>
      </c>
      <c r="E59" s="153">
        <f>('LEAP Scenario'!K5+'LEAP Scenario'!K13)*1000</f>
        <v>206810.28261792776</v>
      </c>
      <c r="G59" s="251" t="s">
        <v>118</v>
      </c>
      <c r="H59" s="251"/>
      <c r="I59" s="251"/>
      <c r="J59" s="251"/>
      <c r="K59" s="251"/>
      <c r="L59" s="251"/>
      <c r="M59" s="251"/>
      <c r="N59" s="251"/>
    </row>
    <row r="60" spans="1:14" ht="56.25" customHeight="1" x14ac:dyDescent="0.25">
      <c r="A60" s="2"/>
      <c r="B60" s="130">
        <f>B59/B54</f>
        <v>1768.6487164325715</v>
      </c>
      <c r="C60" s="131">
        <f>C59/C54</f>
        <v>1887.4122452667752</v>
      </c>
      <c r="D60" s="131">
        <f>D59/D54</f>
        <v>1962.4311543927106</v>
      </c>
      <c r="E60" s="132">
        <f>E59/E54</f>
        <v>2094.8521869828951</v>
      </c>
      <c r="G60" s="251" t="s">
        <v>146</v>
      </c>
      <c r="H60" s="251"/>
      <c r="I60" s="251"/>
      <c r="J60" s="251"/>
      <c r="K60" s="251"/>
      <c r="L60" s="251"/>
      <c r="M60" s="251"/>
      <c r="N60" s="251"/>
    </row>
    <row r="61" spans="1:14" ht="56.25" customHeight="1" x14ac:dyDescent="0.25">
      <c r="B61" s="136">
        <f>B60/B31</f>
        <v>0.3537297432865143</v>
      </c>
      <c r="C61" s="137">
        <f>C60/C31</f>
        <v>0.34316586277577732</v>
      </c>
      <c r="D61" s="137">
        <f>D60/D31</f>
        <v>0.32707185906545178</v>
      </c>
      <c r="E61" s="138">
        <f>E60/E31</f>
        <v>0.32228495184352235</v>
      </c>
      <c r="G61" s="251" t="s">
        <v>137</v>
      </c>
      <c r="H61" s="251"/>
      <c r="I61" s="251"/>
      <c r="J61" s="251"/>
      <c r="K61" s="251"/>
      <c r="L61" s="251"/>
      <c r="M61" s="251"/>
      <c r="N61" s="251"/>
    </row>
    <row r="62" spans="1:14" ht="56.25" customHeight="1" x14ac:dyDescent="0.25">
      <c r="B62" s="151">
        <f>('LEAP Scenario'!H7+'LEAP Scenario'!H8)*1000</f>
        <v>6067.2969771280968</v>
      </c>
      <c r="C62" s="152">
        <f>('LEAP Scenario'!I7+'LEAP Scenario'!I8)*1000</f>
        <v>35359.411071623574</v>
      </c>
      <c r="D62" s="152">
        <f>('LEAP Scenario'!J7+'LEAP Scenario'!J8)*1000</f>
        <v>73031.357466496789</v>
      </c>
      <c r="E62" s="153">
        <f>('LEAP Scenario'!K7+'LEAP Scenario'!K8)*1000</f>
        <v>106550.68666800775</v>
      </c>
      <c r="G62" s="251" t="s">
        <v>119</v>
      </c>
      <c r="H62" s="251"/>
      <c r="I62" s="251"/>
      <c r="J62" s="251"/>
      <c r="K62" s="251"/>
      <c r="L62" s="251"/>
      <c r="M62" s="251"/>
      <c r="N62" s="251"/>
    </row>
    <row r="63" spans="1:14" ht="56.25" customHeight="1" x14ac:dyDescent="0.25">
      <c r="B63" s="130">
        <f>B62/((0.7*B54)/2.4)</f>
        <v>189.11055513126533</v>
      </c>
      <c r="C63" s="131">
        <f>C62/((0.75*C54)/2.6)</f>
        <v>1152.7923930451116</v>
      </c>
      <c r="D63" s="131">
        <f>D62/((0.8*D54)/2.8)</f>
        <v>2478.2323159189023</v>
      </c>
      <c r="E63" s="132">
        <f>E62/((0.85*E54)/3)</f>
        <v>3809.2531758008217</v>
      </c>
      <c r="F63" s="93"/>
      <c r="G63" s="251" t="s">
        <v>186</v>
      </c>
      <c r="H63" s="251"/>
      <c r="I63" s="251"/>
      <c r="J63" s="251"/>
      <c r="K63" s="251"/>
      <c r="L63" s="251"/>
      <c r="M63" s="251"/>
      <c r="N63" s="251"/>
    </row>
    <row r="64" spans="1:14" ht="56.25" customHeight="1" x14ac:dyDescent="0.25">
      <c r="B64" s="136">
        <f>B63/B31</f>
        <v>3.7822111026253068E-2</v>
      </c>
      <c r="C64" s="137">
        <f>C63/C31</f>
        <v>0.20959861691729301</v>
      </c>
      <c r="D64" s="137">
        <f>D63/D31</f>
        <v>0.41303871931981706</v>
      </c>
      <c r="E64" s="138">
        <f>E63/E31</f>
        <v>0.58603895012320339</v>
      </c>
      <c r="G64" s="251" t="s">
        <v>120</v>
      </c>
      <c r="H64" s="251"/>
      <c r="I64" s="251"/>
      <c r="J64" s="251"/>
      <c r="K64" s="251"/>
      <c r="L64" s="251"/>
      <c r="M64" s="251"/>
      <c r="N64" s="251"/>
    </row>
    <row r="65" spans="1:20" ht="56.25" customHeight="1" x14ac:dyDescent="0.25">
      <c r="B65" s="151">
        <f>('LEAP Scenario'!H10+'LEAP Scenario'!H11)*1000</f>
        <v>239533.90074047112</v>
      </c>
      <c r="C65" s="152">
        <f>('LEAP Scenario'!I10+'LEAP Scenario'!I11)*1000</f>
        <v>189453.83470794657</v>
      </c>
      <c r="D65" s="152">
        <f>('LEAP Scenario'!J10+'LEAP Scenario'!J11)*1000</f>
        <v>120376.16666507014</v>
      </c>
      <c r="E65" s="153">
        <f>('LEAP Scenario'!K10+'LEAP Scenario'!K11)*1000</f>
        <v>32425.226467930486</v>
      </c>
      <c r="G65" s="251" t="s">
        <v>121</v>
      </c>
      <c r="H65" s="251"/>
      <c r="I65" s="251"/>
      <c r="J65" s="251"/>
      <c r="K65" s="251"/>
      <c r="L65" s="251"/>
      <c r="M65" s="251"/>
      <c r="N65" s="251"/>
    </row>
    <row r="66" spans="1:20" ht="56.25" customHeight="1" x14ac:dyDescent="0.25">
      <c r="B66" s="130">
        <f>B65/B54</f>
        <v>2177.5809158224647</v>
      </c>
      <c r="C66" s="131">
        <f>C65/C54</f>
        <v>1781.7115471053849</v>
      </c>
      <c r="D66" s="131">
        <f>D65/D54</f>
        <v>1167.0920415743381</v>
      </c>
      <c r="E66" s="132">
        <f>E65/E54</f>
        <v>328.44622481973016</v>
      </c>
      <c r="G66" s="251" t="s">
        <v>152</v>
      </c>
      <c r="H66" s="251"/>
      <c r="I66" s="251"/>
      <c r="J66" s="251"/>
      <c r="K66" s="251"/>
      <c r="L66" s="251"/>
      <c r="M66" s="251"/>
      <c r="N66" s="251"/>
    </row>
    <row r="67" spans="1:20" ht="56.25" customHeight="1" x14ac:dyDescent="0.25">
      <c r="A67" s="21"/>
      <c r="B67" s="136">
        <f>B66/B31</f>
        <v>0.43551618316449292</v>
      </c>
      <c r="C67" s="137">
        <f>C66/C31</f>
        <v>0.32394755401916087</v>
      </c>
      <c r="D67" s="137">
        <f>D66/D31</f>
        <v>0.19451534026238967</v>
      </c>
      <c r="E67" s="138">
        <f>E66/E31</f>
        <v>5.0530188433804642E-2</v>
      </c>
      <c r="G67" s="251" t="s">
        <v>122</v>
      </c>
      <c r="H67" s="251"/>
      <c r="I67" s="251"/>
      <c r="J67" s="251"/>
      <c r="K67" s="251"/>
      <c r="L67" s="251"/>
      <c r="M67" s="251"/>
      <c r="N67" s="251"/>
      <c r="Q67" s="21"/>
      <c r="R67" s="21"/>
      <c r="S67" s="21"/>
      <c r="T67" s="21"/>
    </row>
    <row r="68" spans="1:20" x14ac:dyDescent="0.25">
      <c r="B68" s="60"/>
      <c r="C68" s="60"/>
      <c r="D68" s="60"/>
      <c r="E68" s="60"/>
      <c r="G68" s="128"/>
      <c r="H68" s="128"/>
      <c r="I68" s="128"/>
      <c r="J68" s="128"/>
      <c r="K68" s="128"/>
      <c r="L68" s="128"/>
      <c r="M68" s="128"/>
      <c r="N68" s="128"/>
      <c r="Q68" s="21"/>
      <c r="R68" s="21"/>
      <c r="S68" s="21"/>
      <c r="T68" s="21"/>
    </row>
    <row r="69" spans="1:20" ht="18.75" x14ac:dyDescent="0.25">
      <c r="B69" s="139" t="s">
        <v>138</v>
      </c>
      <c r="C69" s="60"/>
      <c r="D69" s="60"/>
      <c r="E69" s="60"/>
      <c r="G69" s="128"/>
      <c r="H69" s="128"/>
      <c r="I69" s="128"/>
      <c r="J69" s="128"/>
      <c r="K69" s="128"/>
      <c r="L69" s="128"/>
      <c r="M69" s="128"/>
      <c r="N69" s="128"/>
    </row>
    <row r="70" spans="1:20" x14ac:dyDescent="0.25">
      <c r="B70" s="60"/>
      <c r="C70" s="60"/>
      <c r="D70" s="60"/>
      <c r="E70" s="60"/>
      <c r="G70" s="128"/>
      <c r="H70" s="128"/>
      <c r="I70" s="128"/>
      <c r="J70" s="128"/>
      <c r="K70" s="128"/>
      <c r="L70" s="128"/>
      <c r="M70" s="128"/>
      <c r="N70" s="128"/>
    </row>
    <row r="71" spans="1:20" x14ac:dyDescent="0.25">
      <c r="B71" s="141">
        <v>2015</v>
      </c>
      <c r="C71" s="142">
        <v>2025</v>
      </c>
      <c r="D71" s="142">
        <v>2035</v>
      </c>
      <c r="E71" s="143">
        <v>2050</v>
      </c>
      <c r="G71" s="128"/>
      <c r="H71" s="128"/>
      <c r="I71" s="128"/>
      <c r="J71" s="128"/>
      <c r="K71" s="128"/>
      <c r="L71" s="128"/>
      <c r="M71" s="128"/>
      <c r="N71" s="128"/>
    </row>
    <row r="72" spans="1:20" ht="56.25" customHeight="1" x14ac:dyDescent="0.25">
      <c r="B72" s="157">
        <f>'1.Current Heat'!B24</f>
        <v>714</v>
      </c>
      <c r="C72" s="158">
        <f>C49*($B$72-$B$46)+(1-C49)*$B$72</f>
        <v>693.49057528175058</v>
      </c>
      <c r="D72" s="158">
        <f>D49*($B$72-$B$46)+(1-D49)*$B$72</f>
        <v>691.05674327803263</v>
      </c>
      <c r="E72" s="159">
        <f>E49*($B$72-$B$46)+(1-E49)*$B$72</f>
        <v>656.81877091634829</v>
      </c>
      <c r="G72" s="253" t="s">
        <v>140</v>
      </c>
      <c r="H72" s="253"/>
      <c r="I72" s="253"/>
      <c r="J72" s="253"/>
      <c r="K72" s="253"/>
      <c r="L72" s="253"/>
      <c r="M72" s="253"/>
      <c r="N72" s="253"/>
    </row>
    <row r="73" spans="1:20" ht="56.25" customHeight="1" x14ac:dyDescent="0.25">
      <c r="B73" s="151">
        <f>('LEAP Scenario'!T4+'LEAP Scenario'!T5+'LEAP Scenario'!T9)*1000</f>
        <v>128466.51435598267</v>
      </c>
      <c r="C73" s="152">
        <f>('LEAP Scenario'!U4+'LEAP Scenario'!U5+'LEAP Scenario'!U9)*1000</f>
        <v>102884.04675763981</v>
      </c>
      <c r="D73" s="152">
        <f>('LEAP Scenario'!V4+'LEAP Scenario'!V5+'LEAP Scenario'!V9)*1000</f>
        <v>73494.628483018911</v>
      </c>
      <c r="E73" s="153">
        <f>('LEAP Scenario'!W4+'LEAP Scenario'!W5+'LEAP Scenario'!W9)*1000</f>
        <v>27281.138627947934</v>
      </c>
      <c r="G73" s="251" t="s">
        <v>139</v>
      </c>
      <c r="H73" s="251"/>
      <c r="I73" s="251"/>
      <c r="J73" s="251"/>
      <c r="K73" s="251"/>
      <c r="L73" s="251"/>
      <c r="M73" s="251"/>
      <c r="N73" s="251"/>
    </row>
    <row r="74" spans="1:20" ht="56.25" customHeight="1" x14ac:dyDescent="0.25">
      <c r="B74" s="160">
        <f>com_target_share*'LEAP Statewide'!T4*1000/'2.Heat Targets'!B73</f>
        <v>9.6591175505228132E-3</v>
      </c>
      <c r="C74" s="147">
        <f>com_target_share*'LEAP Statewide'!U4*1000/'2.Heat Targets'!C73</f>
        <v>7.5409836065573776E-2</v>
      </c>
      <c r="D74" s="147">
        <f>com_target_share*'LEAP Statewide'!V4*1000/'2.Heat Targets'!D73</f>
        <v>0.1980575362675191</v>
      </c>
      <c r="E74" s="161">
        <f>com_target_share*'LEAP Statewide'!W4*1000/'2.Heat Targets'!E73</f>
        <v>0.94877456392139536</v>
      </c>
      <c r="G74" s="251" t="s">
        <v>142</v>
      </c>
      <c r="H74" s="251"/>
      <c r="I74" s="251"/>
      <c r="J74" s="251"/>
      <c r="K74" s="251"/>
      <c r="L74" s="251"/>
      <c r="M74" s="251"/>
      <c r="N74" s="251"/>
    </row>
    <row r="75" spans="1:20" ht="56.25" customHeight="1" x14ac:dyDescent="0.25">
      <c r="B75" s="130">
        <f>B73/B72</f>
        <v>179.9250901344295</v>
      </c>
      <c r="C75" s="131">
        <f>C73/C72</f>
        <v>148.35680602557605</v>
      </c>
      <c r="D75" s="131">
        <f>D73/D72</f>
        <v>106.35107637383959</v>
      </c>
      <c r="E75" s="132">
        <f>E73/E72</f>
        <v>41.535260312197181</v>
      </c>
      <c r="G75" s="251" t="s">
        <v>141</v>
      </c>
      <c r="H75" s="251"/>
      <c r="I75" s="251"/>
      <c r="J75" s="251"/>
      <c r="K75" s="251"/>
      <c r="L75" s="251"/>
      <c r="M75" s="251"/>
      <c r="N75" s="251"/>
    </row>
    <row r="76" spans="1:20" ht="56.25" customHeight="1" x14ac:dyDescent="0.25">
      <c r="B76" s="136">
        <f>B75/B48</f>
        <v>0.37562649297375678</v>
      </c>
      <c r="C76" s="137">
        <f>C75/C48</f>
        <v>0.2967136120511521</v>
      </c>
      <c r="D76" s="137">
        <f>D75/D48</f>
        <v>0.2045213007189223</v>
      </c>
      <c r="E76" s="138">
        <f>E75/E48</f>
        <v>7.6917148726291074E-2</v>
      </c>
      <c r="G76" s="251" t="s">
        <v>187</v>
      </c>
      <c r="H76" s="251"/>
      <c r="I76" s="251"/>
      <c r="J76" s="251"/>
      <c r="K76" s="251"/>
      <c r="L76" s="251"/>
      <c r="M76" s="251"/>
      <c r="N76" s="251"/>
    </row>
    <row r="77" spans="1:20" ht="56.25" customHeight="1" x14ac:dyDescent="0.25">
      <c r="B77" s="130">
        <f>'LEAP Scenario'!T10*1000</f>
        <v>40448.850935453818</v>
      </c>
      <c r="C77" s="131">
        <f>'LEAP Scenario'!U10*1000</f>
        <v>57465.679512171177</v>
      </c>
      <c r="D77" s="131">
        <f>'LEAP Scenario'!V10*1000</f>
        <v>74458.413464355137</v>
      </c>
      <c r="E77" s="132">
        <f>'LEAP Scenario'!W10*1000</f>
        <v>103528.57796390839</v>
      </c>
      <c r="G77" s="251" t="s">
        <v>144</v>
      </c>
      <c r="H77" s="251"/>
      <c r="I77" s="251"/>
      <c r="J77" s="251"/>
      <c r="K77" s="251"/>
      <c r="L77" s="251"/>
      <c r="M77" s="251"/>
      <c r="N77" s="251"/>
    </row>
    <row r="78" spans="1:20" ht="56.25" customHeight="1" x14ac:dyDescent="0.25">
      <c r="B78" s="130">
        <f>B77/B72</f>
        <v>56.651051730327474</v>
      </c>
      <c r="C78" s="131">
        <f>C77/C72</f>
        <v>82.864398681732752</v>
      </c>
      <c r="D78" s="131">
        <f>D77/D72</f>
        <v>107.74573027268517</v>
      </c>
      <c r="E78" s="132">
        <f>E77/E72</f>
        <v>157.62122300413623</v>
      </c>
      <c r="G78" s="251" t="s">
        <v>145</v>
      </c>
      <c r="H78" s="251"/>
      <c r="I78" s="251"/>
      <c r="J78" s="251"/>
      <c r="K78" s="251"/>
      <c r="L78" s="251"/>
      <c r="M78" s="251"/>
      <c r="N78" s="251"/>
    </row>
    <row r="79" spans="1:20" ht="56.25" customHeight="1" x14ac:dyDescent="0.25">
      <c r="B79" s="136">
        <f>B78/B48</f>
        <v>0.11826941906122646</v>
      </c>
      <c r="C79" s="137">
        <f>C78/C48</f>
        <v>0.16572879736346549</v>
      </c>
      <c r="D79" s="137">
        <f>D78/D48</f>
        <v>0.20720332744747147</v>
      </c>
      <c r="E79" s="138">
        <f>E78/E48</f>
        <v>0.29189115371136337</v>
      </c>
      <c r="G79" s="251" t="s">
        <v>147</v>
      </c>
      <c r="H79" s="251"/>
      <c r="I79" s="251"/>
      <c r="J79" s="251"/>
      <c r="K79" s="251"/>
      <c r="L79" s="251"/>
      <c r="M79" s="251"/>
      <c r="N79" s="251"/>
    </row>
    <row r="80" spans="1:20" ht="56.25" customHeight="1" x14ac:dyDescent="0.25">
      <c r="B80" s="151">
        <f>B43</f>
        <v>1071.9096089298596</v>
      </c>
      <c r="C80" s="152">
        <f>C43</f>
        <v>14438.101386029672</v>
      </c>
      <c r="D80" s="152">
        <f>D43</f>
        <v>27804.293163129485</v>
      </c>
      <c r="E80" s="153">
        <f>E43</f>
        <v>41170.484940229297</v>
      </c>
      <c r="G80" s="251" t="s">
        <v>148</v>
      </c>
      <c r="H80" s="251"/>
      <c r="I80" s="251"/>
      <c r="J80" s="251"/>
      <c r="K80" s="251"/>
      <c r="L80" s="251"/>
      <c r="M80" s="251"/>
      <c r="N80" s="251"/>
    </row>
    <row r="81" spans="2:14" ht="56.25" customHeight="1" x14ac:dyDescent="0.25">
      <c r="B81" s="130">
        <f>B80/((0.7*B72)/2.4)</f>
        <v>5.1472250128684731</v>
      </c>
      <c r="C81" s="131">
        <f>C80/((0.75*C72)/2.6)</f>
        <v>72.17413846549789</v>
      </c>
      <c r="D81" s="131">
        <f>D80/((0.8*D72)/2.8)</f>
        <v>140.82060122782198</v>
      </c>
      <c r="E81" s="132">
        <f>E80/((0.85*E72)/3)</f>
        <v>221.22935631691598</v>
      </c>
      <c r="G81" s="251" t="s">
        <v>149</v>
      </c>
      <c r="H81" s="251"/>
      <c r="I81" s="251"/>
      <c r="J81" s="251"/>
      <c r="K81" s="251"/>
      <c r="L81" s="251"/>
      <c r="M81" s="251"/>
      <c r="N81" s="251"/>
    </row>
    <row r="82" spans="2:14" ht="56.25" customHeight="1" x14ac:dyDescent="0.25">
      <c r="B82" s="136">
        <f>B81/B48</f>
        <v>1.0745772469454015E-2</v>
      </c>
      <c r="C82" s="137">
        <f>C81/C48</f>
        <v>0.14434827693099578</v>
      </c>
      <c r="D82" s="137">
        <f>D81/D48</f>
        <v>0.27080884851504228</v>
      </c>
      <c r="E82" s="138">
        <f>E81/E48</f>
        <v>0.40968399317947402</v>
      </c>
      <c r="G82" s="251" t="s">
        <v>150</v>
      </c>
      <c r="H82" s="251"/>
      <c r="I82" s="251"/>
      <c r="J82" s="251"/>
      <c r="K82" s="251"/>
      <c r="L82" s="251"/>
      <c r="M82" s="251"/>
      <c r="N82" s="251"/>
    </row>
    <row r="83" spans="2:14" ht="56.25" customHeight="1" x14ac:dyDescent="0.25">
      <c r="B83" s="151">
        <f>('LEAP Scenario'!T7+'LEAP Scenario'!T8)*1000</f>
        <v>162729.07044248472</v>
      </c>
      <c r="C83" s="152">
        <f>('LEAP Scenario'!U7+'LEAP Scenario'!U8)*1000</f>
        <v>137941.72545374426</v>
      </c>
      <c r="D83" s="152">
        <f>('LEAP Scenario'!V7+'LEAP Scenario'!V8)*1000</f>
        <v>108693.8630982571</v>
      </c>
      <c r="E83" s="153">
        <f>('LEAP Scenario'!W7+'LEAP Scenario'!W8)*1000</f>
        <v>63411.028115788897</v>
      </c>
      <c r="G83" s="251" t="s">
        <v>151</v>
      </c>
      <c r="H83" s="251"/>
      <c r="I83" s="251"/>
      <c r="J83" s="251"/>
      <c r="K83" s="251"/>
      <c r="L83" s="251"/>
      <c r="M83" s="251"/>
      <c r="N83" s="251"/>
    </row>
    <row r="84" spans="2:14" ht="56.25" customHeight="1" x14ac:dyDescent="0.25">
      <c r="B84" s="130">
        <f>B83/B72</f>
        <v>227.91186336482454</v>
      </c>
      <c r="C84" s="131">
        <f>C83/C72</f>
        <v>198.90930081883442</v>
      </c>
      <c r="D84" s="131">
        <f>D83/D72</f>
        <v>157.28645173573878</v>
      </c>
      <c r="E84" s="132">
        <f>E83/E72</f>
        <v>96.542655179178567</v>
      </c>
      <c r="G84" s="251" t="s">
        <v>153</v>
      </c>
      <c r="H84" s="251"/>
      <c r="I84" s="251"/>
      <c r="J84" s="251"/>
      <c r="K84" s="251"/>
      <c r="L84" s="251"/>
      <c r="M84" s="251"/>
      <c r="N84" s="251"/>
    </row>
    <row r="85" spans="2:14" ht="56.25" customHeight="1" x14ac:dyDescent="0.25">
      <c r="B85" s="136">
        <f>B84/B48</f>
        <v>0.47580764794326624</v>
      </c>
      <c r="C85" s="137">
        <f>C84/C48</f>
        <v>0.39781860163766886</v>
      </c>
      <c r="D85" s="137">
        <f>D84/D48</f>
        <v>0.3024739456456515</v>
      </c>
      <c r="E85" s="138">
        <f>E84/E48</f>
        <v>0.17878269477625661</v>
      </c>
      <c r="G85" s="251" t="s">
        <v>154</v>
      </c>
      <c r="H85" s="251"/>
      <c r="I85" s="251"/>
      <c r="J85" s="251"/>
      <c r="K85" s="251"/>
      <c r="L85" s="251"/>
      <c r="M85" s="251"/>
      <c r="N85" s="25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zoomScale="70" zoomScaleNormal="70" workbookViewId="0">
      <selection activeCell="G27" sqref="G27:N27"/>
    </sheetView>
  </sheetViews>
  <sheetFormatPr defaultRowHeight="15" x14ac:dyDescent="0.25"/>
  <cols>
    <col min="1" max="1" width="5.28515625" customWidth="1"/>
    <col min="2" max="20" width="12" customWidth="1"/>
  </cols>
  <sheetData>
    <row r="2" spans="2:15" ht="21" x14ac:dyDescent="0.35">
      <c r="B2" s="53" t="s">
        <v>515</v>
      </c>
    </row>
    <row r="3" spans="2:15" ht="21" x14ac:dyDescent="0.35">
      <c r="B3" s="53"/>
    </row>
    <row r="4" spans="2:15" ht="22.5" customHeight="1" x14ac:dyDescent="0.25">
      <c r="B4" s="260" t="s">
        <v>516</v>
      </c>
      <c r="C4" s="261"/>
      <c r="D4" s="261"/>
      <c r="E4" s="261"/>
      <c r="F4" s="261"/>
      <c r="G4" s="261"/>
      <c r="H4" s="261"/>
      <c r="I4" s="261"/>
      <c r="J4" s="261"/>
      <c r="K4" s="261"/>
      <c r="L4" s="261"/>
      <c r="M4" s="261"/>
      <c r="N4" s="262"/>
    </row>
    <row r="5" spans="2:15" ht="22.5" customHeight="1" x14ac:dyDescent="0.25">
      <c r="B5" s="263"/>
      <c r="C5" s="264"/>
      <c r="D5" s="264"/>
      <c r="E5" s="264"/>
      <c r="F5" s="264"/>
      <c r="G5" s="264"/>
      <c r="H5" s="264"/>
      <c r="I5" s="264"/>
      <c r="J5" s="264"/>
      <c r="K5" s="264"/>
      <c r="L5" s="264"/>
      <c r="M5" s="264"/>
      <c r="N5" s="265"/>
    </row>
    <row r="6" spans="2:15" ht="22.5" customHeight="1" x14ac:dyDescent="0.25">
      <c r="B6" s="266"/>
      <c r="C6" s="267"/>
      <c r="D6" s="267"/>
      <c r="E6" s="267"/>
      <c r="F6" s="267"/>
      <c r="G6" s="267"/>
      <c r="H6" s="267"/>
      <c r="I6" s="267"/>
      <c r="J6" s="267"/>
      <c r="K6" s="267"/>
      <c r="L6" s="267"/>
      <c r="M6" s="267"/>
      <c r="N6" s="268"/>
    </row>
    <row r="8" spans="2:15" ht="18.75" x14ac:dyDescent="0.3">
      <c r="B8" s="52" t="s">
        <v>107</v>
      </c>
    </row>
    <row r="10" spans="2:15" x14ac:dyDescent="0.25">
      <c r="B10" s="70">
        <v>100</v>
      </c>
      <c r="C10" s="71" t="s">
        <v>110</v>
      </c>
      <c r="D10" s="71"/>
      <c r="E10" s="71"/>
      <c r="F10" s="71"/>
      <c r="G10" s="71"/>
      <c r="H10" s="71"/>
      <c r="I10" s="71"/>
      <c r="J10" s="71"/>
      <c r="K10" s="72"/>
    </row>
    <row r="11" spans="2:15" x14ac:dyDescent="0.25">
      <c r="B11" s="75">
        <v>300</v>
      </c>
      <c r="C11" s="76" t="s">
        <v>108</v>
      </c>
      <c r="D11" s="76"/>
      <c r="E11" s="76"/>
      <c r="F11" s="76"/>
      <c r="G11" s="76"/>
      <c r="H11" s="76"/>
      <c r="I11" s="76"/>
      <c r="J11" s="76"/>
      <c r="K11" s="77"/>
      <c r="M11" s="269" t="s">
        <v>157</v>
      </c>
      <c r="N11" s="270"/>
      <c r="O11" s="271"/>
    </row>
    <row r="12" spans="2:15" x14ac:dyDescent="0.25">
      <c r="B12" s="1">
        <v>100</v>
      </c>
      <c r="C12" s="2" t="s">
        <v>109</v>
      </c>
      <c r="D12" s="2"/>
      <c r="E12" s="2"/>
      <c r="F12" s="2"/>
      <c r="G12" s="2"/>
      <c r="H12" s="2"/>
      <c r="I12" s="2"/>
      <c r="J12" s="2"/>
      <c r="K12" s="3"/>
      <c r="M12" s="272"/>
      <c r="N12" s="273"/>
      <c r="O12" s="274"/>
    </row>
    <row r="13" spans="2:15" x14ac:dyDescent="0.25">
      <c r="B13" s="6">
        <v>33</v>
      </c>
      <c r="C13" s="73" t="s">
        <v>111</v>
      </c>
      <c r="D13" s="73"/>
      <c r="E13" s="73"/>
      <c r="F13" s="73"/>
      <c r="G13" s="73"/>
      <c r="H13" s="73"/>
      <c r="I13" s="73"/>
      <c r="J13" s="73"/>
      <c r="K13" s="74"/>
    </row>
    <row r="14" spans="2:15" x14ac:dyDescent="0.25">
      <c r="B14" s="2"/>
      <c r="C14" s="2"/>
      <c r="D14" s="2"/>
      <c r="E14" s="2"/>
      <c r="F14" s="2"/>
      <c r="G14" s="2"/>
      <c r="H14" s="2"/>
      <c r="I14" s="2"/>
      <c r="J14" s="2"/>
      <c r="K14" s="2"/>
    </row>
    <row r="15" spans="2:15" ht="18.75" x14ac:dyDescent="0.3">
      <c r="B15" s="52" t="s">
        <v>158</v>
      </c>
    </row>
    <row r="17" spans="2:15" x14ac:dyDescent="0.25">
      <c r="B17" s="79">
        <v>2015</v>
      </c>
      <c r="C17" s="80">
        <v>2025</v>
      </c>
      <c r="D17" s="80">
        <v>2035</v>
      </c>
      <c r="E17" s="81">
        <v>2050</v>
      </c>
    </row>
    <row r="18" spans="2:15" ht="54.75" customHeight="1" x14ac:dyDescent="0.25">
      <c r="B18" s="130">
        <f>'LEAP Scenario'!H26*1000</f>
        <v>0</v>
      </c>
      <c r="C18" s="131">
        <f>'LEAP Scenario'!I26*1000</f>
        <v>24865.971217738101</v>
      </c>
      <c r="D18" s="131">
        <f>'LEAP Scenario'!J26*1000</f>
        <v>49731.942435476201</v>
      </c>
      <c r="E18" s="132">
        <f>'LEAP Scenario'!K26*1000</f>
        <v>124329.85608869049</v>
      </c>
      <c r="G18" s="251" t="s">
        <v>484</v>
      </c>
      <c r="H18" s="251"/>
      <c r="I18" s="251"/>
      <c r="J18" s="251"/>
      <c r="K18" s="251"/>
      <c r="L18" s="251"/>
      <c r="M18" s="251"/>
      <c r="N18" s="251"/>
    </row>
    <row r="19" spans="2:15" ht="54.75" customHeight="1" x14ac:dyDescent="0.25">
      <c r="B19" s="130">
        <f>('1.Current Trans'!$B$13/'1.Current Trans'!$B$35)*'1.Current Trans'!$B$37/1000000</f>
        <v>14.216666666666669</v>
      </c>
      <c r="C19" s="131">
        <f>B19-(($B$19-$E$19)/3)</f>
        <v>13.031944444444445</v>
      </c>
      <c r="D19" s="131">
        <f>C19-(($B$19-$E$19)/3)</f>
        <v>11.847222222222221</v>
      </c>
      <c r="E19" s="132">
        <f>('1.Current Trans'!$B$13/4)*'1.Current Trans'!$B$37/1000000</f>
        <v>10.6625</v>
      </c>
      <c r="G19" s="251" t="s">
        <v>196</v>
      </c>
      <c r="H19" s="251"/>
      <c r="I19" s="251"/>
      <c r="J19" s="251"/>
      <c r="K19" s="251"/>
      <c r="L19" s="251"/>
      <c r="M19" s="251"/>
      <c r="N19" s="251"/>
    </row>
    <row r="20" spans="2:15" ht="54.75" customHeight="1" x14ac:dyDescent="0.25">
      <c r="B20" s="130">
        <f>B18/B19</f>
        <v>0</v>
      </c>
      <c r="C20" s="131">
        <f>C18/C19</f>
        <v>1908.0783626528223</v>
      </c>
      <c r="D20" s="131">
        <f>D18/D19</f>
        <v>4197.7723978362092</v>
      </c>
      <c r="E20" s="132">
        <f>E18/E19</f>
        <v>11660.478882878358</v>
      </c>
      <c r="G20" s="251" t="s">
        <v>112</v>
      </c>
      <c r="H20" s="251"/>
      <c r="I20" s="251"/>
      <c r="J20" s="251"/>
      <c r="K20" s="251"/>
      <c r="L20" s="251"/>
      <c r="M20" s="251"/>
      <c r="N20" s="251"/>
    </row>
    <row r="21" spans="2:15" ht="54.75" customHeight="1" x14ac:dyDescent="0.25">
      <c r="B21" s="133">
        <f>'1.Current Trans'!B9+'1.Current Trans'!B32</f>
        <v>14000</v>
      </c>
      <c r="C21" s="134">
        <v>15000</v>
      </c>
      <c r="D21" s="134">
        <v>16000</v>
      </c>
      <c r="E21" s="135">
        <v>17000</v>
      </c>
      <c r="G21" s="251" t="s">
        <v>195</v>
      </c>
      <c r="H21" s="251"/>
      <c r="I21" s="251"/>
      <c r="J21" s="251"/>
      <c r="K21" s="251"/>
      <c r="L21" s="251"/>
      <c r="M21" s="251"/>
      <c r="N21" s="251"/>
      <c r="O21" s="189">
        <f>(E21/B21)^(1/(E17-B17))-1</f>
        <v>5.5627295389699682E-3</v>
      </c>
    </row>
    <row r="22" spans="2:15" ht="54.75" customHeight="1" x14ac:dyDescent="0.25">
      <c r="B22" s="136">
        <f>B20/B21</f>
        <v>0</v>
      </c>
      <c r="C22" s="137">
        <f>C20/C21</f>
        <v>0.12720522417685481</v>
      </c>
      <c r="D22" s="137">
        <f>D20/D21</f>
        <v>0.26236077486476306</v>
      </c>
      <c r="E22" s="138">
        <f>E20/E21</f>
        <v>0.68591052252225637</v>
      </c>
      <c r="G22" s="251" t="s">
        <v>197</v>
      </c>
      <c r="H22" s="251"/>
      <c r="I22" s="251"/>
      <c r="J22" s="251"/>
      <c r="K22" s="251"/>
      <c r="L22" s="251"/>
      <c r="M22" s="251"/>
      <c r="N22" s="251"/>
    </row>
    <row r="23" spans="2:15" ht="54.75" customHeight="1" x14ac:dyDescent="0.25">
      <c r="B23" s="168">
        <f>('LEAP Scenario'!H24+'LEAP Scenario'!H25+'LEAP Scenario'!H27+'LEAP Scenario'!H28)*1000</f>
        <v>820577.05018535734</v>
      </c>
      <c r="C23" s="169">
        <f>('LEAP Scenario'!I24+'LEAP Scenario'!I25+'LEAP Scenario'!I27+'LEAP Scenario'!I28)*1000</f>
        <v>596783.3092257143</v>
      </c>
      <c r="D23" s="169">
        <f>('LEAP Scenario'!J24+'LEAP Scenario'!J25+'LEAP Scenario'!J27+'LEAP Scenario'!J28)*1000</f>
        <v>323257.62583059527</v>
      </c>
      <c r="E23" s="170">
        <f>('LEAP Scenario'!K24+'LEAP Scenario'!K25+'LEAP Scenario'!K27+'LEAP Scenario'!K28)*1000</f>
        <v>49731.942435476201</v>
      </c>
      <c r="G23" s="251" t="s">
        <v>478</v>
      </c>
      <c r="H23" s="251"/>
      <c r="I23" s="251"/>
      <c r="J23" s="251"/>
      <c r="K23" s="251"/>
      <c r="L23" s="251"/>
      <c r="M23" s="251"/>
      <c r="N23" s="251"/>
    </row>
    <row r="24" spans="2:15" ht="54.75" customHeight="1" x14ac:dyDescent="0.25">
      <c r="B24" s="160">
        <f>res_target_share*('LEAP Statewide'!H25+'LEAP Statewide'!H28)*1000000/'2.Trans Targets'!B23</f>
        <v>0.12121212121212122</v>
      </c>
      <c r="C24" s="147">
        <f>res_target_share*('LEAP Statewide'!I25+'LEAP Statewide'!I28)*1000000/'2.Trans Targets'!C23</f>
        <v>0.12500000000000003</v>
      </c>
      <c r="D24" s="147">
        <f>res_target_share*('LEAP Statewide'!J25+'LEAP Statewide'!J28)*1000000/'2.Trans Targets'!D23</f>
        <v>0.15384615384615385</v>
      </c>
      <c r="E24" s="161">
        <f>res_target_share*('LEAP Statewide'!K25+'LEAP Statewide'!K28)*1000000/'2.Trans Targets'!E23</f>
        <v>0.5</v>
      </c>
      <c r="G24" s="251" t="s">
        <v>198</v>
      </c>
      <c r="H24" s="251"/>
      <c r="I24" s="251"/>
      <c r="J24" s="251"/>
      <c r="K24" s="251"/>
      <c r="L24" s="251"/>
      <c r="M24" s="251"/>
      <c r="N24" s="251"/>
    </row>
    <row r="25" spans="2:15" ht="54.75" customHeight="1" x14ac:dyDescent="0.25">
      <c r="B25" s="130">
        <f>'1.Current Trans'!B26/'1.Current Trans'!B9</f>
        <v>67.027917613636376</v>
      </c>
      <c r="C25" s="131">
        <f>B25-(($B$25-$E$25)/3)</f>
        <v>57.316372159090918</v>
      </c>
      <c r="D25" s="131">
        <f>C25-(($B$25-$E$25)/3)</f>
        <v>47.604826704545459</v>
      </c>
      <c r="E25" s="171">
        <f>('1.Current Trans'!B9*'1.Current Trans'!B13/40)*'1.Current Trans'!B21/'1.Current Trans'!B9/1000000</f>
        <v>37.893281250000001</v>
      </c>
      <c r="G25" s="251" t="s">
        <v>199</v>
      </c>
      <c r="H25" s="251"/>
      <c r="I25" s="251"/>
      <c r="J25" s="251"/>
      <c r="K25" s="251"/>
      <c r="L25" s="251"/>
      <c r="M25" s="251"/>
      <c r="N25" s="251"/>
    </row>
    <row r="26" spans="2:15" ht="54.75" customHeight="1" x14ac:dyDescent="0.25">
      <c r="B26" s="130">
        <f>B23/B25</f>
        <v>12242.317520817871</v>
      </c>
      <c r="C26" s="131">
        <f>C23/C25</f>
        <v>10412.091462614646</v>
      </c>
      <c r="D26" s="131">
        <f>D23/D25</f>
        <v>6790.4380334553261</v>
      </c>
      <c r="E26" s="132">
        <f>E23/E25</f>
        <v>1312.4211151673808</v>
      </c>
      <c r="G26" s="251" t="s">
        <v>113</v>
      </c>
      <c r="H26" s="251"/>
      <c r="I26" s="251"/>
      <c r="J26" s="251"/>
      <c r="K26" s="251"/>
      <c r="L26" s="251"/>
      <c r="M26" s="251"/>
      <c r="N26" s="251"/>
    </row>
    <row r="27" spans="2:15" ht="54.75" customHeight="1" x14ac:dyDescent="0.25">
      <c r="B27" s="136">
        <f>B26/B21</f>
        <v>0.87445125148699077</v>
      </c>
      <c r="C27" s="137">
        <f>C26/C21</f>
        <v>0.6941394308409764</v>
      </c>
      <c r="D27" s="137">
        <f>D26/D21</f>
        <v>0.42440237709095791</v>
      </c>
      <c r="E27" s="138">
        <f>E26/E21</f>
        <v>7.7201242068669462E-2</v>
      </c>
      <c r="G27" s="251" t="s">
        <v>114</v>
      </c>
      <c r="H27" s="251"/>
      <c r="I27" s="251"/>
      <c r="J27" s="251"/>
      <c r="K27" s="251"/>
      <c r="L27" s="251"/>
      <c r="M27" s="251"/>
      <c r="N27" s="251"/>
    </row>
    <row r="28" spans="2:15" x14ac:dyDescent="0.25">
      <c r="B28" s="78"/>
      <c r="C28" s="78"/>
      <c r="D28" s="78"/>
      <c r="E28" s="78"/>
    </row>
    <row r="29" spans="2:15" x14ac:dyDescent="0.25">
      <c r="B29" s="82"/>
      <c r="C29" s="82"/>
      <c r="D29" s="82"/>
      <c r="E29" s="82"/>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G21" sqref="G21"/>
    </sheetView>
  </sheetViews>
  <sheetFormatPr defaultRowHeight="15" x14ac:dyDescent="0.25"/>
  <cols>
    <col min="1" max="1" width="4.28515625" customWidth="1"/>
    <col min="2" max="14" width="13.28515625" customWidth="1"/>
  </cols>
  <sheetData>
    <row r="2" spans="2:14" ht="21" x14ac:dyDescent="0.35">
      <c r="B2" s="53" t="s">
        <v>510</v>
      </c>
    </row>
    <row r="4" spans="2:14" x14ac:dyDescent="0.25">
      <c r="B4" s="79">
        <v>2015</v>
      </c>
      <c r="C4" s="80">
        <v>2025</v>
      </c>
      <c r="D4" s="80">
        <v>2035</v>
      </c>
      <c r="E4" s="81">
        <v>2050</v>
      </c>
    </row>
    <row r="5" spans="2:14" s="128" customFormat="1" ht="45" customHeight="1" x14ac:dyDescent="0.2">
      <c r="B5" s="173">
        <f>'LEAP Scenario'!B49*1000000</f>
        <v>2561195.0354270241</v>
      </c>
      <c r="C5" s="174">
        <f>'LEAP Scenario'!C49*1000000</f>
        <v>12258923.810344882</v>
      </c>
      <c r="D5" s="174">
        <f>'LEAP Scenario'!D49*1000000</f>
        <v>21260405.391166072</v>
      </c>
      <c r="E5" s="175">
        <f>'LEAP Scenario'!E49*1000000</f>
        <v>35061019.417010717</v>
      </c>
      <c r="G5" s="251" t="s">
        <v>192</v>
      </c>
      <c r="H5" s="251"/>
      <c r="I5" s="251"/>
      <c r="J5" s="251"/>
      <c r="K5" s="251"/>
      <c r="L5" s="251"/>
      <c r="M5" s="251"/>
      <c r="N5" s="251"/>
    </row>
    <row r="6" spans="2:14" s="128" customFormat="1" ht="45" customHeight="1" x14ac:dyDescent="0.2">
      <c r="B6" s="275">
        <v>400</v>
      </c>
      <c r="C6" s="276"/>
      <c r="D6" s="276"/>
      <c r="E6" s="277"/>
      <c r="G6" s="251" t="s">
        <v>485</v>
      </c>
      <c r="H6" s="251"/>
      <c r="I6" s="251"/>
      <c r="J6" s="251"/>
      <c r="K6" s="251"/>
      <c r="L6" s="251"/>
      <c r="M6" s="251"/>
      <c r="N6" s="251"/>
    </row>
    <row r="7" spans="2:14" s="128" customFormat="1" ht="45" customHeight="1" x14ac:dyDescent="0.2">
      <c r="B7" s="173">
        <f>B5/13/$B$6</f>
        <v>492.53750681288926</v>
      </c>
      <c r="C7" s="174">
        <f>C5/13/$B$6</f>
        <v>2357.4853481432465</v>
      </c>
      <c r="D7" s="174">
        <f>D5/13/$B$6</f>
        <v>4088.5394983011674</v>
      </c>
      <c r="E7" s="175">
        <f>E5/13/$B$6</f>
        <v>6742.5037340405224</v>
      </c>
      <c r="G7" s="251" t="s">
        <v>191</v>
      </c>
      <c r="H7" s="251"/>
      <c r="I7" s="251"/>
      <c r="J7" s="251"/>
      <c r="K7" s="251"/>
      <c r="L7" s="251"/>
      <c r="M7" s="251"/>
      <c r="N7" s="251"/>
    </row>
    <row r="8" spans="2:14" s="128" customFormat="1" ht="45" customHeight="1" x14ac:dyDescent="0.2">
      <c r="B8" s="36">
        <f>'2.Heat Targets'!B31*1.5</f>
        <v>7500</v>
      </c>
      <c r="C8" s="36">
        <f>'2.Heat Targets'!C31*1.5</f>
        <v>8250</v>
      </c>
      <c r="D8" s="36">
        <f>'2.Heat Targets'!D31*1.5</f>
        <v>9000</v>
      </c>
      <c r="E8" s="36">
        <f>'2.Heat Targets'!E31*1.5</f>
        <v>9750</v>
      </c>
      <c r="G8" s="251" t="s">
        <v>193</v>
      </c>
      <c r="H8" s="251"/>
      <c r="I8" s="251"/>
      <c r="J8" s="251"/>
      <c r="K8" s="251"/>
      <c r="L8" s="251"/>
      <c r="M8" s="251"/>
      <c r="N8" s="251"/>
    </row>
    <row r="9" spans="2:14" s="128" customFormat="1" ht="45" customHeight="1" x14ac:dyDescent="0.2">
      <c r="B9" s="176">
        <f>B7/B8</f>
        <v>6.5671667575051898E-2</v>
      </c>
      <c r="C9" s="177">
        <f>C7/C8</f>
        <v>0.28575579977493898</v>
      </c>
      <c r="D9" s="177">
        <f>D7/D8</f>
        <v>0.45428216647790748</v>
      </c>
      <c r="E9" s="178">
        <f>E7/E8</f>
        <v>0.69153884451697667</v>
      </c>
      <c r="G9" s="251" t="s">
        <v>194</v>
      </c>
      <c r="H9" s="251"/>
      <c r="I9" s="251"/>
      <c r="J9" s="251"/>
      <c r="K9" s="251"/>
      <c r="L9" s="251"/>
      <c r="M9" s="251"/>
      <c r="N9" s="251"/>
    </row>
    <row r="12" spans="2:14" x14ac:dyDescent="0.25">
      <c r="B12" s="172"/>
      <c r="C12" s="172"/>
      <c r="D12" s="172"/>
      <c r="E12" s="172"/>
    </row>
    <row r="14" spans="2:14" x14ac:dyDescent="0.25">
      <c r="B14" s="21"/>
      <c r="C14" s="21"/>
      <c r="D14" s="21"/>
      <c r="E14" s="21"/>
    </row>
    <row r="15" spans="2:14" x14ac:dyDescent="0.25">
      <c r="B15" s="21"/>
      <c r="C15" s="21"/>
      <c r="D15" s="21"/>
      <c r="E15" s="21"/>
    </row>
    <row r="16" spans="2:14" x14ac:dyDescent="0.25">
      <c r="B16" s="167"/>
      <c r="C16" s="167"/>
      <c r="D16" s="167"/>
      <c r="E16" s="167"/>
    </row>
    <row r="17" spans="2:5" x14ac:dyDescent="0.25">
      <c r="B17" s="278"/>
      <c r="C17" s="278"/>
      <c r="D17" s="278"/>
      <c r="E17" s="278"/>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B14" sqref="B14"/>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79.5" customHeight="1" x14ac:dyDescent="0.9">
      <c r="A1" s="198" t="s">
        <v>486</v>
      </c>
    </row>
    <row r="2" spans="1:25" ht="32.25" customHeight="1" x14ac:dyDescent="0.25">
      <c r="A2" s="208" t="s">
        <v>25</v>
      </c>
      <c r="B2" s="209"/>
      <c r="C2" s="209"/>
      <c r="D2" s="209"/>
      <c r="E2" s="210"/>
      <c r="G2" s="208" t="s">
        <v>30</v>
      </c>
      <c r="H2" s="209"/>
      <c r="I2" s="209"/>
      <c r="J2" s="209"/>
      <c r="K2" s="210"/>
      <c r="M2" s="208" t="s">
        <v>31</v>
      </c>
      <c r="N2" s="209"/>
      <c r="O2" s="209"/>
      <c r="P2" s="209"/>
      <c r="Q2" s="210"/>
      <c r="R2" s="10"/>
      <c r="S2" s="208" t="s">
        <v>32</v>
      </c>
      <c r="T2" s="209"/>
      <c r="U2" s="209"/>
      <c r="V2" s="209"/>
      <c r="W2" s="210"/>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c r="C4" s="2"/>
      <c r="D4" s="2"/>
      <c r="E4" s="3"/>
      <c r="G4" s="1" t="s">
        <v>1</v>
      </c>
      <c r="H4" s="4">
        <v>85</v>
      </c>
      <c r="I4" s="4">
        <v>516</v>
      </c>
      <c r="J4" s="4">
        <v>978</v>
      </c>
      <c r="K4" s="5">
        <v>1818</v>
      </c>
      <c r="L4" s="21"/>
      <c r="M4" s="1" t="s">
        <v>13</v>
      </c>
      <c r="N4" s="4"/>
      <c r="O4" s="4"/>
      <c r="P4" s="4"/>
      <c r="Q4" s="5"/>
      <c r="R4" s="2"/>
      <c r="S4" s="1" t="s">
        <v>13</v>
      </c>
      <c r="T4" s="4">
        <v>41.2</v>
      </c>
      <c r="U4" s="4">
        <v>257.60000000000002</v>
      </c>
      <c r="V4" s="4">
        <v>483.3</v>
      </c>
      <c r="W4" s="5">
        <v>859.4</v>
      </c>
      <c r="Y4" s="23"/>
    </row>
    <row r="5" spans="1:25" x14ac:dyDescent="0.25">
      <c r="A5" s="1" t="s">
        <v>3</v>
      </c>
      <c r="B5" s="4">
        <v>7018</v>
      </c>
      <c r="C5" s="4">
        <v>6497</v>
      </c>
      <c r="D5" s="4">
        <v>6094</v>
      </c>
      <c r="E5" s="5">
        <v>5610</v>
      </c>
      <c r="G5" s="1" t="s">
        <v>3</v>
      </c>
      <c r="H5" s="4">
        <v>7040</v>
      </c>
      <c r="I5" s="4">
        <v>6646</v>
      </c>
      <c r="J5" s="4">
        <v>6248</v>
      </c>
      <c r="K5" s="5">
        <v>6048</v>
      </c>
      <c r="L5" s="21"/>
      <c r="M5" s="1" t="s">
        <v>14</v>
      </c>
      <c r="N5" s="4">
        <v>3874</v>
      </c>
      <c r="O5" s="4">
        <v>3130</v>
      </c>
      <c r="P5" s="4">
        <v>2273</v>
      </c>
      <c r="Q5" s="5">
        <v>928</v>
      </c>
      <c r="R5" s="2"/>
      <c r="S5" s="1" t="s">
        <v>14</v>
      </c>
      <c r="T5" s="4">
        <v>3831.5</v>
      </c>
      <c r="U5" s="4">
        <v>2865.9</v>
      </c>
      <c r="V5" s="4">
        <v>1777.3</v>
      </c>
      <c r="W5" s="5">
        <v>46.4</v>
      </c>
      <c r="Y5" s="94"/>
    </row>
    <row r="6" spans="1:25" x14ac:dyDescent="0.25">
      <c r="A6" s="1" t="s">
        <v>4</v>
      </c>
      <c r="B6" s="4">
        <v>1193</v>
      </c>
      <c r="C6" s="4">
        <v>966</v>
      </c>
      <c r="D6" s="4">
        <v>646</v>
      </c>
      <c r="E6" s="5">
        <v>250</v>
      </c>
      <c r="G6" s="1" t="s">
        <v>4</v>
      </c>
      <c r="H6" s="4">
        <v>1204</v>
      </c>
      <c r="I6" s="4">
        <v>1004</v>
      </c>
      <c r="J6" s="4">
        <v>573</v>
      </c>
      <c r="K6" s="5">
        <v>174</v>
      </c>
      <c r="L6" s="21"/>
      <c r="M6" s="1" t="s">
        <v>15</v>
      </c>
      <c r="N6" s="91">
        <v>7118</v>
      </c>
      <c r="O6" s="91">
        <v>7192</v>
      </c>
      <c r="P6" s="91">
        <v>7125</v>
      </c>
      <c r="Q6" s="92">
        <v>7158</v>
      </c>
      <c r="R6" s="4"/>
      <c r="S6" s="1" t="s">
        <v>15</v>
      </c>
      <c r="T6" s="91">
        <v>7117.9</v>
      </c>
      <c r="U6" s="91">
        <v>7191.7</v>
      </c>
      <c r="V6" s="91">
        <v>7124.6</v>
      </c>
      <c r="W6" s="92">
        <v>7158.4</v>
      </c>
      <c r="Y6" s="94"/>
    </row>
    <row r="7" spans="1:25" x14ac:dyDescent="0.25">
      <c r="A7" s="1" t="s">
        <v>5</v>
      </c>
      <c r="B7" s="4">
        <v>111</v>
      </c>
      <c r="C7" s="4">
        <v>633</v>
      </c>
      <c r="D7" s="4">
        <v>1224</v>
      </c>
      <c r="E7" s="5">
        <v>1689</v>
      </c>
      <c r="G7" s="1" t="s">
        <v>5</v>
      </c>
      <c r="H7" s="4">
        <v>191</v>
      </c>
      <c r="I7" s="4">
        <v>1088</v>
      </c>
      <c r="J7" s="4">
        <v>2180</v>
      </c>
      <c r="K7" s="5">
        <v>3029</v>
      </c>
      <c r="M7" s="1" t="s">
        <v>8</v>
      </c>
      <c r="N7" s="4">
        <v>2897</v>
      </c>
      <c r="O7" s="4">
        <v>2975</v>
      </c>
      <c r="P7" s="4">
        <v>2997</v>
      </c>
      <c r="Q7" s="5">
        <v>3094</v>
      </c>
      <c r="R7" s="4"/>
      <c r="S7" s="1" t="s">
        <v>8</v>
      </c>
      <c r="T7" s="4">
        <v>2815.1</v>
      </c>
      <c r="U7" s="4">
        <v>2459.6999999999998</v>
      </c>
      <c r="V7" s="4">
        <v>2030.6</v>
      </c>
      <c r="W7" s="5">
        <v>1375</v>
      </c>
      <c r="Y7" s="94"/>
    </row>
    <row r="8" spans="1:25" x14ac:dyDescent="0.25">
      <c r="A8" s="1" t="s">
        <v>6</v>
      </c>
      <c r="B8" s="4">
        <v>13</v>
      </c>
      <c r="C8" s="4">
        <v>96</v>
      </c>
      <c r="D8" s="4">
        <v>334</v>
      </c>
      <c r="E8" s="5">
        <v>697</v>
      </c>
      <c r="G8" s="1" t="s">
        <v>6</v>
      </c>
      <c r="H8" s="4">
        <v>53</v>
      </c>
      <c r="I8" s="4">
        <v>334</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1002</v>
      </c>
      <c r="C9" s="4">
        <v>808</v>
      </c>
      <c r="D9" s="4">
        <v>613</v>
      </c>
      <c r="E9" s="5">
        <v>287</v>
      </c>
      <c r="G9" s="1" t="s">
        <v>7</v>
      </c>
      <c r="H9" s="4">
        <v>981</v>
      </c>
      <c r="I9" s="4">
        <v>699</v>
      </c>
      <c r="J9" s="4">
        <v>426</v>
      </c>
      <c r="K9" s="5">
        <v>0</v>
      </c>
      <c r="L9" s="21"/>
      <c r="M9" s="1" t="s">
        <v>16</v>
      </c>
      <c r="N9" s="4">
        <v>393</v>
      </c>
      <c r="O9" s="4">
        <v>293</v>
      </c>
      <c r="P9" s="4">
        <v>180</v>
      </c>
      <c r="Q9" s="5"/>
      <c r="R9" s="2"/>
      <c r="S9" s="1" t="s">
        <v>16</v>
      </c>
      <c r="T9" s="4">
        <v>392.7</v>
      </c>
      <c r="U9" s="4">
        <v>292.5</v>
      </c>
      <c r="V9" s="4">
        <v>179.6</v>
      </c>
      <c r="W9" s="5">
        <v>0</v>
      </c>
      <c r="Y9" s="23"/>
    </row>
    <row r="10" spans="1:25" x14ac:dyDescent="0.25">
      <c r="A10" s="1" t="s">
        <v>8</v>
      </c>
      <c r="B10" s="4">
        <v>5403</v>
      </c>
      <c r="C10" s="4">
        <v>4364</v>
      </c>
      <c r="D10" s="4">
        <v>3266</v>
      </c>
      <c r="E10" s="5">
        <v>1234</v>
      </c>
      <c r="G10" s="1" t="s">
        <v>8</v>
      </c>
      <c r="H10" s="4">
        <v>5338</v>
      </c>
      <c r="I10" s="4">
        <v>4105</v>
      </c>
      <c r="J10" s="4">
        <v>2899</v>
      </c>
      <c r="K10" s="5">
        <v>1025</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4688</v>
      </c>
      <c r="C11" s="4">
        <v>6084</v>
      </c>
      <c r="D11" s="4">
        <v>7847</v>
      </c>
      <c r="E11" s="5">
        <v>11613</v>
      </c>
      <c r="G11" s="1" t="s">
        <v>9</v>
      </c>
      <c r="H11" s="4">
        <v>4295</v>
      </c>
      <c r="I11" s="4">
        <v>3514</v>
      </c>
      <c r="J11" s="4">
        <v>1942</v>
      </c>
      <c r="K11" s="5">
        <v>279</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10203</v>
      </c>
      <c r="C12" s="4">
        <v>8103</v>
      </c>
      <c r="D12" s="4">
        <v>5387</v>
      </c>
      <c r="E12" s="5">
        <v>1592</v>
      </c>
      <c r="G12" s="1" t="s">
        <v>10</v>
      </c>
      <c r="H12" s="4">
        <v>9989</v>
      </c>
      <c r="I12" s="4">
        <v>7181</v>
      </c>
      <c r="J12" s="4">
        <v>4447</v>
      </c>
      <c r="K12" s="5">
        <v>0</v>
      </c>
      <c r="L12" s="21"/>
    </row>
    <row r="13" spans="1:25" x14ac:dyDescent="0.25">
      <c r="A13" s="1" t="s">
        <v>11</v>
      </c>
      <c r="B13" s="4">
        <v>677</v>
      </c>
      <c r="C13" s="4">
        <v>881</v>
      </c>
      <c r="D13" s="4">
        <v>1068</v>
      </c>
      <c r="E13" s="5">
        <v>1342</v>
      </c>
      <c r="G13" s="1" t="s">
        <v>11</v>
      </c>
      <c r="H13" s="4">
        <v>784</v>
      </c>
      <c r="I13" s="4">
        <v>1425</v>
      </c>
      <c r="J13" s="4">
        <v>1892</v>
      </c>
      <c r="K13" s="5">
        <v>2269</v>
      </c>
      <c r="L13" s="21"/>
      <c r="N13" s="21"/>
      <c r="O13" s="21"/>
      <c r="P13" s="21"/>
      <c r="Q13" s="21"/>
      <c r="T13" s="21"/>
      <c r="U13" s="21"/>
      <c r="V13" s="21"/>
      <c r="W13" s="21"/>
    </row>
    <row r="14" spans="1:25" x14ac:dyDescent="0.25">
      <c r="A14" s="7" t="s">
        <v>12</v>
      </c>
      <c r="B14" s="8">
        <f>SUM(B4:B13)</f>
        <v>30308</v>
      </c>
      <c r="C14" s="8">
        <f>SUM(C4:C13)</f>
        <v>28432</v>
      </c>
      <c r="D14" s="8">
        <f>SUM(D4:D13)</f>
        <v>26479</v>
      </c>
      <c r="E14" s="9">
        <f>SUM(E4:E13)</f>
        <v>24314</v>
      </c>
      <c r="G14" s="7" t="s">
        <v>12</v>
      </c>
      <c r="H14" s="8">
        <f>SUM(H4:H13)</f>
        <v>29960</v>
      </c>
      <c r="I14" s="8">
        <f>SUM(I4:I13)</f>
        <v>26512</v>
      </c>
      <c r="J14" s="8">
        <f>SUM(J4:J13)</f>
        <v>22342</v>
      </c>
      <c r="K14" s="9">
        <f>SUM(K4:K13)</f>
        <v>15898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08" t="s">
        <v>204</v>
      </c>
      <c r="B22" s="209"/>
      <c r="C22" s="209"/>
      <c r="D22" s="209"/>
      <c r="E22" s="210"/>
      <c r="G22" s="208" t="s">
        <v>205</v>
      </c>
      <c r="H22" s="209"/>
      <c r="I22" s="209"/>
      <c r="J22" s="209"/>
      <c r="K22" s="210"/>
      <c r="L22" s="22"/>
      <c r="M22" s="208" t="s">
        <v>35</v>
      </c>
      <c r="N22" s="209"/>
      <c r="O22" s="209"/>
      <c r="P22" s="209"/>
      <c r="Q22" s="210"/>
      <c r="S22" s="208" t="s">
        <v>36</v>
      </c>
      <c r="T22" s="209"/>
      <c r="U22" s="209"/>
      <c r="V22" s="209"/>
      <c r="W22" s="210"/>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c r="C29" s="18"/>
      <c r="D29" s="18"/>
      <c r="E29" s="19"/>
      <c r="G29" s="1" t="s">
        <v>24</v>
      </c>
      <c r="H29" s="4"/>
      <c r="I29" s="4"/>
      <c r="J29" s="4"/>
      <c r="K29" s="5"/>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11" t="s">
        <v>190</v>
      </c>
      <c r="B48" s="17">
        <v>2015</v>
      </c>
      <c r="C48" s="17">
        <v>2025</v>
      </c>
      <c r="D48" s="17">
        <v>2035</v>
      </c>
      <c r="E48" s="17">
        <v>2050</v>
      </c>
    </row>
    <row r="49" spans="1:5" ht="74.25" customHeight="1" x14ac:dyDescent="0.25">
      <c r="A49" s="211"/>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9"/>
  <sheetViews>
    <sheetView zoomScale="70" zoomScaleNormal="70" workbookViewId="0">
      <selection activeCell="G20" sqref="G2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2" spans="1:25" ht="32.25" customHeight="1" x14ac:dyDescent="0.25">
      <c r="A2" s="208" t="s">
        <v>25</v>
      </c>
      <c r="B2" s="209"/>
      <c r="C2" s="209"/>
      <c r="D2" s="209"/>
      <c r="E2" s="210"/>
      <c r="G2" s="208" t="s">
        <v>30</v>
      </c>
      <c r="H2" s="209"/>
      <c r="I2" s="209"/>
      <c r="J2" s="209"/>
      <c r="K2" s="210"/>
      <c r="M2" s="208" t="s">
        <v>31</v>
      </c>
      <c r="N2" s="209"/>
      <c r="O2" s="209"/>
      <c r="P2" s="209"/>
      <c r="Q2" s="210"/>
      <c r="R2" s="10"/>
      <c r="S2" s="208" t="s">
        <v>32</v>
      </c>
      <c r="T2" s="209"/>
      <c r="U2" s="209"/>
      <c r="V2" s="209"/>
      <c r="W2" s="210"/>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res_target_share*'LEAP Statewide'!B4</f>
        <v>0</v>
      </c>
      <c r="C4" s="2">
        <f>res_target_share*'LEAP Statewide'!C4</f>
        <v>0</v>
      </c>
      <c r="D4" s="2">
        <f>res_target_share*'LEAP Statewide'!D4</f>
        <v>0</v>
      </c>
      <c r="E4" s="3">
        <f>res_target_share*'LEAP Statewide'!E4</f>
        <v>0</v>
      </c>
      <c r="G4" s="1" t="s">
        <v>1</v>
      </c>
      <c r="H4" s="4">
        <f>res_target_share*'LEAP Statewide'!H4</f>
        <v>2.1136075535077383</v>
      </c>
      <c r="I4" s="4">
        <f>res_target_share*'LEAP Statewide'!I4</f>
        <v>12.830841148352858</v>
      </c>
      <c r="J4" s="4">
        <f>res_target_share*'LEAP Statewide'!J4</f>
        <v>24.318919850947861</v>
      </c>
      <c r="K4" s="5">
        <f>res_target_share*'LEAP Statewide'!K4</f>
        <v>45.206335673847867</v>
      </c>
      <c r="L4" s="21"/>
      <c r="M4" s="1" t="s">
        <v>13</v>
      </c>
      <c r="N4" s="4">
        <f>com_target_share*'LEAP Statewide'!N4</f>
        <v>0</v>
      </c>
      <c r="O4" s="4">
        <f>com_target_share*'LEAP Statewide'!O4</f>
        <v>0</v>
      </c>
      <c r="P4" s="4">
        <f>com_target_share*'LEAP Statewide'!P4</f>
        <v>0</v>
      </c>
      <c r="Q4" s="5">
        <f>com_target_share*'LEAP Statewide'!Q4</f>
        <v>0</v>
      </c>
      <c r="R4" s="2"/>
      <c r="S4" s="1" t="s">
        <v>13</v>
      </c>
      <c r="T4" s="4">
        <f>com_target_share*'LEAP Statewide'!T4</f>
        <v>1.2408731634703631</v>
      </c>
      <c r="U4" s="4">
        <f>com_target_share*'LEAP Statewide'!U4</f>
        <v>7.7584690997564447</v>
      </c>
      <c r="V4" s="4">
        <f>com_target_share*'LEAP Statewide'!V4</f>
        <v>14.556165046243361</v>
      </c>
      <c r="W4" s="5">
        <f>com_target_share*'LEAP Statewide'!W4</f>
        <v>25.883650405010435</v>
      </c>
      <c r="Y4" s="23"/>
    </row>
    <row r="5" spans="1:25" x14ac:dyDescent="0.25">
      <c r="A5" s="1" t="s">
        <v>3</v>
      </c>
      <c r="B5" s="4">
        <f>res_target_share*'LEAP Statewide'!B5</f>
        <v>174.50938600608598</v>
      </c>
      <c r="C5" s="4">
        <f>res_target_share*'LEAP Statewide'!C5</f>
        <v>161.55421500164442</v>
      </c>
      <c r="D5" s="4">
        <f>res_target_share*'LEAP Statewide'!D5</f>
        <v>151.53322860089597</v>
      </c>
      <c r="E5" s="5">
        <f>res_target_share*'LEAP Statewide'!E5</f>
        <v>139.49809853151075</v>
      </c>
      <c r="G5" s="1" t="s">
        <v>3</v>
      </c>
      <c r="H5" s="4">
        <f>res_target_share*'LEAP Statewide'!H5</f>
        <v>175.05643737287622</v>
      </c>
      <c r="I5" s="4">
        <f>res_target_share*'LEAP Statewide'!I5</f>
        <v>165.25924471308741</v>
      </c>
      <c r="J5" s="4">
        <f>res_target_share*'LEAP Statewide'!J5</f>
        <v>155.36258816842764</v>
      </c>
      <c r="K5" s="5">
        <f>res_target_share*'LEAP Statewide'!K5</f>
        <v>150.38939392488001</v>
      </c>
      <c r="L5" s="21"/>
      <c r="M5" s="1" t="s">
        <v>14</v>
      </c>
      <c r="N5" s="4">
        <f>com_target_share*'LEAP Statewide'!N5</f>
        <v>116.67821930301423</v>
      </c>
      <c r="O5" s="4">
        <f>com_target_share*'LEAP Statewide'!O5</f>
        <v>94.270218486947485</v>
      </c>
      <c r="P5" s="4">
        <f>com_target_share*'LEAP Statewide'!P5</f>
        <v>68.458851955537256</v>
      </c>
      <c r="Q5" s="5">
        <f>com_target_share*'LEAP Statewide'!Q5</f>
        <v>27.949764458749925</v>
      </c>
      <c r="R5" s="2"/>
      <c r="S5" s="1" t="s">
        <v>14</v>
      </c>
      <c r="T5" s="4">
        <f>com_target_share*'LEAP Statewide'!T5</f>
        <v>115.39819237467708</v>
      </c>
      <c r="U5" s="4">
        <f>com_target_share*'LEAP Statewide'!U5</f>
        <v>86.315980562857121</v>
      </c>
      <c r="V5" s="4">
        <f>com_target_share*'LEAP Statewide'!V5</f>
        <v>53.529220229026116</v>
      </c>
      <c r="W5" s="5">
        <f>com_target_share*'LEAP Statewide'!W5</f>
        <v>1.3974882229374961</v>
      </c>
      <c r="Y5" s="94"/>
    </row>
    <row r="6" spans="1:25" x14ac:dyDescent="0.25">
      <c r="A6" s="1" t="s">
        <v>4</v>
      </c>
      <c r="B6" s="4">
        <f>res_target_share*'LEAP Statewide'!B6</f>
        <v>29.665103662761553</v>
      </c>
      <c r="C6" s="4">
        <f>res_target_share*'LEAP Statewide'!C6</f>
        <v>24.020528196335004</v>
      </c>
      <c r="D6" s="4">
        <f>res_target_share*'LEAP Statewide'!D6</f>
        <v>16.063417406658811</v>
      </c>
      <c r="E6" s="5">
        <f>res_target_share*'LEAP Statewide'!E6</f>
        <v>6.2164928044345249</v>
      </c>
      <c r="G6" s="1" t="s">
        <v>4</v>
      </c>
      <c r="H6" s="4">
        <f>res_target_share*'LEAP Statewide'!H6</f>
        <v>29.93862934615667</v>
      </c>
      <c r="I6" s="4">
        <f>res_target_share*'LEAP Statewide'!I6</f>
        <v>24.965435102609053</v>
      </c>
      <c r="J6" s="4">
        <f>res_target_share*'LEAP Statewide'!J6</f>
        <v>14.24820150776393</v>
      </c>
      <c r="K6" s="5">
        <f>res_target_share*'LEAP Statewide'!K6</f>
        <v>4.3266789918864292</v>
      </c>
      <c r="L6" s="21"/>
      <c r="M6" s="1" t="s">
        <v>15</v>
      </c>
      <c r="N6" s="91">
        <f>com_target_share*'LEAP Statewide'!N6</f>
        <v>214.38192178597194</v>
      </c>
      <c r="O6" s="91">
        <f>com_target_share*'LEAP Statewide'!O6</f>
        <v>216.6106745553119</v>
      </c>
      <c r="P6" s="91">
        <f>com_target_share*'LEAP Statewide'!P6</f>
        <v>214.59274975063923</v>
      </c>
      <c r="Q6" s="92">
        <f>com_target_share*'LEAP Statewide'!Q6</f>
        <v>215.58665301264219</v>
      </c>
      <c r="R6" s="4"/>
      <c r="S6" s="1" t="s">
        <v>15</v>
      </c>
      <c r="T6" s="91">
        <f>com_target_share*'LEAP Statewide'!T6</f>
        <v>214.37890995790525</v>
      </c>
      <c r="U6" s="91">
        <f>com_target_share*'LEAP Statewide'!U6</f>
        <v>216.60163907111189</v>
      </c>
      <c r="V6" s="91">
        <f>com_target_share*'LEAP Statewide'!V6</f>
        <v>214.58070243837255</v>
      </c>
      <c r="W6" s="92">
        <f>com_target_share*'LEAP Statewide'!W6</f>
        <v>215.59870032490889</v>
      </c>
      <c r="Y6" s="94"/>
    </row>
    <row r="7" spans="1:25" x14ac:dyDescent="0.25">
      <c r="A7" s="1" t="s">
        <v>5</v>
      </c>
      <c r="B7" s="4">
        <f>res_target_share*'LEAP Statewide'!B7</f>
        <v>2.7601228051689288</v>
      </c>
      <c r="C7" s="4">
        <f>res_target_share*'LEAP Statewide'!C7</f>
        <v>15.740159780828217</v>
      </c>
      <c r="D7" s="4">
        <f>res_target_share*'LEAP Statewide'!D7</f>
        <v>30.435948770511434</v>
      </c>
      <c r="E7" s="5">
        <f>res_target_share*'LEAP Statewide'!E7</f>
        <v>41.998625386759649</v>
      </c>
      <c r="G7" s="1" t="s">
        <v>5</v>
      </c>
      <c r="H7" s="4">
        <f>res_target_share*'LEAP Statewide'!H7</f>
        <v>4.7494005025879771</v>
      </c>
      <c r="I7" s="4">
        <f>res_target_share*'LEAP Statewide'!I7</f>
        <v>27.054176684899051</v>
      </c>
      <c r="J7" s="4">
        <f>res_target_share*'LEAP Statewide'!J7</f>
        <v>54.207817254669052</v>
      </c>
      <c r="K7" s="5">
        <f>res_target_share*'LEAP Statewide'!K7</f>
        <v>75.319026818528698</v>
      </c>
      <c r="M7" s="1" t="s">
        <v>8</v>
      </c>
      <c r="N7" s="4">
        <f>com_target_share*'LEAP Statewide'!N7</f>
        <v>87.252659091593245</v>
      </c>
      <c r="O7" s="4">
        <f>com_target_share*'LEAP Statewide'!O7</f>
        <v>89.601884983600243</v>
      </c>
      <c r="P7" s="4">
        <f>com_target_share*'LEAP Statewide'!P7</f>
        <v>90.264487158268878</v>
      </c>
      <c r="Q7" s="5">
        <f>com_target_share*'LEAP Statewide'!Q7</f>
        <v>93.185960382944245</v>
      </c>
      <c r="R7" s="4"/>
      <c r="S7" s="1" t="s">
        <v>8</v>
      </c>
      <c r="T7" s="4">
        <f>com_target_share*'LEAP Statewide'!T7</f>
        <v>84.7859719049859</v>
      </c>
      <c r="U7" s="4">
        <f>com_target_share*'LEAP Statewide'!U7</f>
        <v>74.081934956020675</v>
      </c>
      <c r="V7" s="4">
        <f>com_target_share*'LEAP Statewide'!V7</f>
        <v>61.158180721915507</v>
      </c>
      <c r="W7" s="5">
        <f>com_target_share*'LEAP Statewide'!W7</f>
        <v>41.41263591679003</v>
      </c>
      <c r="Y7" s="94"/>
    </row>
    <row r="8" spans="1:25" x14ac:dyDescent="0.25">
      <c r="A8" s="1" t="s">
        <v>6</v>
      </c>
      <c r="B8" s="4">
        <f>res_target_share*'LEAP Statewide'!B8</f>
        <v>0.32325762583059531</v>
      </c>
      <c r="C8" s="4">
        <f>res_target_share*'LEAP Statewide'!C8</f>
        <v>2.3871332369028577</v>
      </c>
      <c r="D8" s="4">
        <f>res_target_share*'LEAP Statewide'!D8</f>
        <v>8.3052343867245249</v>
      </c>
      <c r="E8" s="5">
        <f>res_target_share*'LEAP Statewide'!E8</f>
        <v>17.331581938763456</v>
      </c>
      <c r="G8" s="1" t="s">
        <v>6</v>
      </c>
      <c r="H8" s="4">
        <f>res_target_share*'LEAP Statewide'!H8</f>
        <v>1.3178964745401192</v>
      </c>
      <c r="I8" s="4">
        <f>res_target_share*'LEAP Statewide'!I8</f>
        <v>8.3052343867245249</v>
      </c>
      <c r="J8" s="4">
        <f>res_target_share*'LEAP Statewide'!J8</f>
        <v>18.823540211827741</v>
      </c>
      <c r="K8" s="5">
        <f>res_target_share*'LEAP Statewide'!K8</f>
        <v>31.231659849479051</v>
      </c>
      <c r="M8" s="1" t="s">
        <v>9</v>
      </c>
      <c r="N8" s="4">
        <f>com_target_share*'LEAP Statewide'!N8</f>
        <v>84.060121340917064</v>
      </c>
      <c r="O8" s="4">
        <f>com_target_share*'LEAP Statewide'!O8</f>
        <v>102.10097146030414</v>
      </c>
      <c r="P8" s="4">
        <f>com_target_share*'LEAP Statewide'!P8</f>
        <v>119.29850972102203</v>
      </c>
      <c r="Q8" s="5">
        <f>com_target_share*'LEAP Statewide'!Q8</f>
        <v>149.59750007177897</v>
      </c>
      <c r="R8" s="4"/>
      <c r="S8" s="1" t="s">
        <v>9</v>
      </c>
      <c r="T8" s="4">
        <f>com_target_share*'LEAP Statewide'!T8</f>
        <v>77.943098537498841</v>
      </c>
      <c r="U8" s="4">
        <f>com_target_share*'LEAP Statewide'!U8</f>
        <v>63.859790497723566</v>
      </c>
      <c r="V8" s="4">
        <f>com_target_share*'LEAP Statewide'!V8</f>
        <v>47.535682376341597</v>
      </c>
      <c r="W8" s="5">
        <f>com_target_share*'LEAP Statewide'!W8</f>
        <v>21.998392198998861</v>
      </c>
      <c r="Y8" s="23"/>
    </row>
    <row r="9" spans="1:25" x14ac:dyDescent="0.25">
      <c r="A9" s="1" t="s">
        <v>7</v>
      </c>
      <c r="B9" s="4">
        <f>res_target_share*'LEAP Statewide'!B9</f>
        <v>24.915703160173575</v>
      </c>
      <c r="C9" s="4">
        <f>res_target_share*'LEAP Statewide'!C9</f>
        <v>20.091704743932382</v>
      </c>
      <c r="D9" s="4">
        <f>res_target_share*'LEAP Statewide'!D9</f>
        <v>15.242840356473454</v>
      </c>
      <c r="E9" s="5">
        <f>res_target_share*'LEAP Statewide'!E9</f>
        <v>7.1365337394908348</v>
      </c>
      <c r="G9" s="1" t="s">
        <v>7</v>
      </c>
      <c r="H9" s="4">
        <f>res_target_share*'LEAP Statewide'!H9</f>
        <v>24.393517764601075</v>
      </c>
      <c r="I9" s="4">
        <f>res_target_share*'LEAP Statewide'!I9</f>
        <v>17.381313881198931</v>
      </c>
      <c r="J9" s="4">
        <f>res_target_share*'LEAP Statewide'!J9</f>
        <v>10.59290373875643</v>
      </c>
      <c r="K9" s="5">
        <f>res_target_share*'LEAP Statewide'!K9</f>
        <v>0</v>
      </c>
      <c r="L9" s="21"/>
      <c r="M9" s="1" t="s">
        <v>16</v>
      </c>
      <c r="N9" s="4">
        <f>com_target_share*'LEAP Statewide'!N9</f>
        <v>11.836484302035259</v>
      </c>
      <c r="O9" s="4">
        <f>com_target_share*'LEAP Statewide'!O9</f>
        <v>8.8246562353596207</v>
      </c>
      <c r="P9" s="4">
        <f>com_target_share*'LEAP Statewide'!P9</f>
        <v>5.4212905200161492</v>
      </c>
      <c r="Q9" s="5">
        <f>com_target_share*'LEAP Statewide'!Q9</f>
        <v>0</v>
      </c>
      <c r="R9" s="2"/>
      <c r="S9" s="1" t="s">
        <v>16</v>
      </c>
      <c r="T9" s="4">
        <f>com_target_share*'LEAP Statewide'!T9</f>
        <v>11.827448817835231</v>
      </c>
      <c r="U9" s="4">
        <f>com_target_share*'LEAP Statewide'!U9</f>
        <v>8.809597095026243</v>
      </c>
      <c r="V9" s="4">
        <f>com_target_share*'LEAP Statewide'!V9</f>
        <v>5.4092432077494461</v>
      </c>
      <c r="W9" s="5">
        <f>com_target_share*'LEAP Statewide'!W9</f>
        <v>0</v>
      </c>
      <c r="Y9" s="23"/>
    </row>
    <row r="10" spans="1:25" x14ac:dyDescent="0.25">
      <c r="A10" s="1" t="s">
        <v>8</v>
      </c>
      <c r="B10" s="4">
        <f>res_target_share*'LEAP Statewide'!B10</f>
        <v>134.35084248943895</v>
      </c>
      <c r="C10" s="4">
        <f>res_target_share*'LEAP Statewide'!C10</f>
        <v>108.51509839420906</v>
      </c>
      <c r="D10" s="4">
        <f>res_target_share*'LEAP Statewide'!D10</f>
        <v>81.212261997132629</v>
      </c>
      <c r="E10" s="5">
        <f>res_target_share*'LEAP Statewide'!E10</f>
        <v>30.684608482688816</v>
      </c>
      <c r="G10" s="1" t="s">
        <v>8</v>
      </c>
      <c r="H10" s="4">
        <f>res_target_share*'LEAP Statewide'!H10</f>
        <v>132.73455436028598</v>
      </c>
      <c r="I10" s="4">
        <f>res_target_share*'LEAP Statewide'!I10</f>
        <v>102.0748118488149</v>
      </c>
      <c r="J10" s="4">
        <f>res_target_share*'LEAP Statewide'!J10</f>
        <v>72.086450560222744</v>
      </c>
      <c r="K10" s="5">
        <f>res_target_share*'LEAP Statewide'!K10</f>
        <v>25.487620498181553</v>
      </c>
      <c r="L10" s="21"/>
      <c r="M10" s="1" t="s">
        <v>17</v>
      </c>
      <c r="N10" s="4">
        <f>com_target_share*'LEAP Statewide'!N10</f>
        <v>37.677969114112237</v>
      </c>
      <c r="O10" s="4">
        <f>com_target_share*'LEAP Statewide'!O10</f>
        <v>40.087431567452747</v>
      </c>
      <c r="P10" s="4">
        <f>com_target_share*'LEAP Statewide'!P10</f>
        <v>41.86441012679137</v>
      </c>
      <c r="Q10" s="5">
        <f>com_target_share*'LEAP Statewide'!Q10</f>
        <v>45.538840368135652</v>
      </c>
      <c r="R10" s="4"/>
      <c r="S10" s="1" t="s">
        <v>17</v>
      </c>
      <c r="T10" s="4">
        <f>com_target_share*'LEAP Statewide'!T10</f>
        <v>40.448850935453819</v>
      </c>
      <c r="U10" s="4">
        <f>com_target_share*'LEAP Statewide'!U10</f>
        <v>57.465679512171178</v>
      </c>
      <c r="V10" s="4">
        <f>com_target_share*'LEAP Statewide'!V10</f>
        <v>74.458413464355132</v>
      </c>
      <c r="W10" s="5">
        <f>com_target_share*'LEAP Statewide'!W10</f>
        <v>103.52857796390839</v>
      </c>
      <c r="Y10" s="23"/>
    </row>
    <row r="11" spans="1:25" x14ac:dyDescent="0.25">
      <c r="A11" s="1" t="s">
        <v>9</v>
      </c>
      <c r="B11" s="4">
        <f>res_target_share*'LEAP Statewide'!B11</f>
        <v>116.57167306875621</v>
      </c>
      <c r="C11" s="4">
        <f>res_target_share*'LEAP Statewide'!C11</f>
        <v>151.28456888871858</v>
      </c>
      <c r="D11" s="4">
        <f>res_target_share*'LEAP Statewide'!D11</f>
        <v>195.12327614559086</v>
      </c>
      <c r="E11" s="5">
        <f>res_target_share*'LEAP Statewide'!E11</f>
        <v>288.76852375159257</v>
      </c>
      <c r="G11" s="1" t="s">
        <v>9</v>
      </c>
      <c r="H11" s="4">
        <f>res_target_share*'LEAP Statewide'!H11</f>
        <v>106.79934638018514</v>
      </c>
      <c r="I11" s="4">
        <f>res_target_share*'LEAP Statewide'!I11</f>
        <v>87.37902285913168</v>
      </c>
      <c r="J11" s="4">
        <f>res_target_share*'LEAP Statewide'!J11</f>
        <v>48.289716104847386</v>
      </c>
      <c r="K11" s="5">
        <f>res_target_share*'LEAP Statewide'!K11</f>
        <v>6.9376059697489296</v>
      </c>
      <c r="L11" s="21"/>
      <c r="M11" s="7" t="s">
        <v>12</v>
      </c>
      <c r="N11" s="8">
        <f>SUM(N4:N10)</f>
        <v>551.88737493764393</v>
      </c>
      <c r="O11" s="8">
        <f>SUM(O4:O10)</f>
        <v>551.49583728897619</v>
      </c>
      <c r="P11" s="8">
        <f>SUM(P4:P10)</f>
        <v>539.90029923227485</v>
      </c>
      <c r="Q11" s="9">
        <f>SUM(Q4:Q10)</f>
        <v>531.85871829425093</v>
      </c>
      <c r="R11" s="4"/>
      <c r="S11" s="7" t="s">
        <v>12</v>
      </c>
      <c r="T11" s="8">
        <f>SUM(T4:T10)</f>
        <v>546.02334569182642</v>
      </c>
      <c r="U11" s="8">
        <f>SUM(U4:U10)</f>
        <v>514.89309079466716</v>
      </c>
      <c r="V11" s="8">
        <f>SUM(V4:V10)</f>
        <v>471.22760748400373</v>
      </c>
      <c r="W11" s="9">
        <f>SUM(W4:W10)</f>
        <v>409.81944503255414</v>
      </c>
    </row>
    <row r="12" spans="1:25" x14ac:dyDescent="0.25">
      <c r="A12" s="1" t="s">
        <v>10</v>
      </c>
      <c r="B12" s="4">
        <f>res_target_share*'LEAP Statewide'!B12</f>
        <v>253.70750433458181</v>
      </c>
      <c r="C12" s="4">
        <f>res_target_share*'LEAP Statewide'!C12</f>
        <v>201.48896477733183</v>
      </c>
      <c r="D12" s="4">
        <f>res_target_share*'LEAP Statewide'!D12</f>
        <v>133.95298694995515</v>
      </c>
      <c r="E12" s="5">
        <f>res_target_share*'LEAP Statewide'!E12</f>
        <v>39.586626178639051</v>
      </c>
      <c r="G12" s="1" t="s">
        <v>10</v>
      </c>
      <c r="H12" s="4">
        <f>res_target_share*'LEAP Statewide'!H12</f>
        <v>248.38618649398586</v>
      </c>
      <c r="I12" s="4">
        <f>res_target_share*'LEAP Statewide'!I12</f>
        <v>178.56253931457729</v>
      </c>
      <c r="J12" s="4">
        <f>res_target_share*'LEAP Statewide'!J12</f>
        <v>110.57897400528132</v>
      </c>
      <c r="K12" s="5">
        <f>res_target_share*'LEAP Statewide'!K12</f>
        <v>0</v>
      </c>
      <c r="L12" s="21"/>
    </row>
    <row r="13" spans="1:25" x14ac:dyDescent="0.25">
      <c r="A13" s="1" t="s">
        <v>11</v>
      </c>
      <c r="B13" s="4">
        <f>res_target_share*'LEAP Statewide'!B13</f>
        <v>16.834262514408692</v>
      </c>
      <c r="C13" s="4">
        <f>res_target_share*'LEAP Statewide'!C13</f>
        <v>21.906920642827266</v>
      </c>
      <c r="D13" s="4">
        <f>res_target_share*'LEAP Statewide'!D13</f>
        <v>26.556857260544291</v>
      </c>
      <c r="E13" s="5">
        <f>res_target_share*'LEAP Statewide'!E13</f>
        <v>33.370133374204528</v>
      </c>
      <c r="G13" s="1" t="s">
        <v>11</v>
      </c>
      <c r="H13" s="4">
        <f>res_target_share*'LEAP Statewide'!H13</f>
        <v>19.494921434706669</v>
      </c>
      <c r="I13" s="4">
        <f>res_target_share*'LEAP Statewide'!I13</f>
        <v>35.43400898527679</v>
      </c>
      <c r="J13" s="4">
        <f>res_target_share*'LEAP Statewide'!J13</f>
        <v>47.04641754396048</v>
      </c>
      <c r="K13" s="5">
        <f>res_target_share*'LEAP Statewide'!K13</f>
        <v>56.420888693047743</v>
      </c>
      <c r="L13" s="21"/>
      <c r="N13" s="21"/>
      <c r="O13" s="21"/>
      <c r="P13" s="21"/>
      <c r="Q13" s="21"/>
      <c r="T13" s="21"/>
      <c r="U13" s="21"/>
      <c r="V13" s="21"/>
      <c r="W13" s="21"/>
    </row>
    <row r="14" spans="1:25" x14ac:dyDescent="0.25">
      <c r="A14" s="7" t="s">
        <v>12</v>
      </c>
      <c r="B14" s="8">
        <f>SUM(B4:B13)</f>
        <v>753.63785566720628</v>
      </c>
      <c r="C14" s="8">
        <f>SUM(C4:C13)</f>
        <v>706.98929366272955</v>
      </c>
      <c r="D14" s="8">
        <f>SUM(D4:D13)</f>
        <v>658.42605187448703</v>
      </c>
      <c r="E14" s="9">
        <f>SUM(E4:E13)</f>
        <v>604.59122418808431</v>
      </c>
      <c r="G14" s="7" t="s">
        <v>12</v>
      </c>
      <c r="H14" s="8">
        <f>SUM(H4:H13)</f>
        <v>744.98449768343335</v>
      </c>
      <c r="I14" s="8">
        <f>SUM(I4:I13)</f>
        <v>659.24662892467256</v>
      </c>
      <c r="J14" s="8">
        <f>SUM(J4:J13)</f>
        <v>555.5555289467045</v>
      </c>
      <c r="K14" s="9">
        <f>SUM(K4:K13)</f>
        <v>395.31921041960032</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08" t="s">
        <v>482</v>
      </c>
      <c r="B22" s="209"/>
      <c r="C22" s="209"/>
      <c r="D22" s="209"/>
      <c r="E22" s="210"/>
      <c r="G22" s="208" t="s">
        <v>483</v>
      </c>
      <c r="H22" s="209"/>
      <c r="I22" s="209"/>
      <c r="J22" s="209"/>
      <c r="K22" s="210"/>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res_target_share*'LEAP Statewide'!B24*1000</f>
        <v>696.24719409666682</v>
      </c>
      <c r="C24" s="4">
        <f>res_target_share*'LEAP Statewide'!C24*1000</f>
        <v>571.91733800797624</v>
      </c>
      <c r="D24" s="4">
        <f>res_target_share*'LEAP Statewide'!D24*1000</f>
        <v>497.31942435476196</v>
      </c>
      <c r="E24" s="5">
        <f>res_target_share*'LEAP Statewide'!E24*1000</f>
        <v>422.72151070154769</v>
      </c>
      <c r="G24" s="1" t="s">
        <v>21</v>
      </c>
      <c r="H24" s="4">
        <f>res_target_share*'LEAP Statewide'!H24*1000</f>
        <v>696.24719409666682</v>
      </c>
      <c r="I24" s="4">
        <f>res_target_share*'LEAP Statewide'!I24*1000</f>
        <v>497.31942435476196</v>
      </c>
      <c r="J24" s="4">
        <f>res_target_share*'LEAP Statewide'!J24*1000</f>
        <v>273.52568339511907</v>
      </c>
      <c r="K24" s="5">
        <f>res_target_share*'LEAP Statewide'!K24*1000</f>
        <v>24.8659712177381</v>
      </c>
    </row>
    <row r="25" spans="1:16" x14ac:dyDescent="0.25">
      <c r="A25" s="1" t="s">
        <v>22</v>
      </c>
      <c r="B25" s="4">
        <f>res_target_share*'LEAP Statewide'!B25*1000</f>
        <v>99.463884870952398</v>
      </c>
      <c r="C25" s="4">
        <f>res_target_share*'LEAP Statewide'!C25*1000</f>
        <v>74.597913653214306</v>
      </c>
      <c r="D25" s="4">
        <f>res_target_share*'LEAP Statewide'!D25*1000</f>
        <v>74.597913653214306</v>
      </c>
      <c r="E25" s="5">
        <f>res_target_share*'LEAP Statewide'!E25*1000</f>
        <v>49.731942435476199</v>
      </c>
      <c r="G25" s="1" t="s">
        <v>22</v>
      </c>
      <c r="H25" s="4">
        <f>res_target_share*'LEAP Statewide'!H25*1000</f>
        <v>99.463884870952398</v>
      </c>
      <c r="I25" s="4">
        <f>res_target_share*'LEAP Statewide'!I25*1000</f>
        <v>74.597913653214306</v>
      </c>
      <c r="J25" s="4">
        <f>res_target_share*'LEAP Statewide'!J25*1000</f>
        <v>24.8659712177381</v>
      </c>
      <c r="K25" s="5">
        <f>res_target_share*'LEAP Statewide'!K25*1000</f>
        <v>0</v>
      </c>
    </row>
    <row r="26" spans="1:16" x14ac:dyDescent="0.25">
      <c r="A26" s="1" t="s">
        <v>23</v>
      </c>
      <c r="B26" s="4">
        <f>res_target_share*'LEAP Statewide'!B26*1000</f>
        <v>0</v>
      </c>
      <c r="C26" s="4">
        <f>res_target_share*'LEAP Statewide'!C26*1000</f>
        <v>0</v>
      </c>
      <c r="D26" s="4">
        <f>res_target_share*'LEAP Statewide'!D26*1000</f>
        <v>0</v>
      </c>
      <c r="E26" s="5">
        <f>res_target_share*'LEAP Statewide'!E26*1000</f>
        <v>0</v>
      </c>
      <c r="G26" s="1" t="s">
        <v>23</v>
      </c>
      <c r="H26" s="4">
        <f>res_target_share*'LEAP Statewide'!H26*1000</f>
        <v>0</v>
      </c>
      <c r="I26" s="4">
        <f>res_target_share*'LEAP Statewide'!I26*1000</f>
        <v>24.8659712177381</v>
      </c>
      <c r="J26" s="4">
        <f>res_target_share*'LEAP Statewide'!J26*1000</f>
        <v>49.731942435476199</v>
      </c>
      <c r="K26" s="5">
        <f>res_target_share*'LEAP Statewide'!K26*1000</f>
        <v>124.32985608869049</v>
      </c>
    </row>
    <row r="27" spans="1:16" x14ac:dyDescent="0.25">
      <c r="A27" s="1" t="s">
        <v>20</v>
      </c>
      <c r="B27" s="4">
        <f>res_target_share*'LEAP Statewide'!B27*1000</f>
        <v>24.8659712177381</v>
      </c>
      <c r="C27" s="4">
        <f>res_target_share*'LEAP Statewide'!C27*1000</f>
        <v>24.8659712177381</v>
      </c>
      <c r="D27" s="4">
        <f>res_target_share*'LEAP Statewide'!D27*1000</f>
        <v>24.8659712177381</v>
      </c>
      <c r="E27" s="5">
        <f>res_target_share*'LEAP Statewide'!E27*1000</f>
        <v>24.8659712177381</v>
      </c>
      <c r="G27" s="1" t="s">
        <v>20</v>
      </c>
      <c r="H27" s="4">
        <f>res_target_share*'LEAP Statewide'!H27*1000</f>
        <v>24.8659712177381</v>
      </c>
      <c r="I27" s="4">
        <f>res_target_share*'LEAP Statewide'!I27*1000</f>
        <v>24.8659712177381</v>
      </c>
      <c r="J27" s="4">
        <f>res_target_share*'LEAP Statewide'!J27*1000</f>
        <v>0</v>
      </c>
      <c r="K27" s="5">
        <f>res_target_share*'LEAP Statewide'!K27*1000</f>
        <v>0</v>
      </c>
    </row>
    <row r="28" spans="1:16" x14ac:dyDescent="0.25">
      <c r="A28" s="1" t="s">
        <v>18</v>
      </c>
      <c r="B28" s="4">
        <f>res_target_share*'LEAP Statewide'!B28*1000</f>
        <v>0</v>
      </c>
      <c r="C28" s="4">
        <f>res_target_share*'LEAP Statewide'!C28*1000</f>
        <v>0</v>
      </c>
      <c r="D28" s="4">
        <f>res_target_share*'LEAP Statewide'!D28*1000</f>
        <v>0</v>
      </c>
      <c r="E28" s="5">
        <f>res_target_share*'LEAP Statewide'!E28*1000</f>
        <v>0</v>
      </c>
      <c r="G28" s="1" t="s">
        <v>18</v>
      </c>
      <c r="H28" s="4">
        <f>res_target_share*'LEAP Statewide'!H28*1000</f>
        <v>0</v>
      </c>
      <c r="I28" s="4">
        <f>res_target_share*'LEAP Statewide'!I28*1000</f>
        <v>0</v>
      </c>
      <c r="J28" s="4">
        <f>res_target_share*'LEAP Statewide'!J28*1000</f>
        <v>24.8659712177381</v>
      </c>
      <c r="K28" s="5">
        <f>res_target_share*'LEAP Statewide'!K28*1000</f>
        <v>24.8659712177381</v>
      </c>
    </row>
    <row r="29" spans="1:16" x14ac:dyDescent="0.25">
      <c r="A29" s="6" t="s">
        <v>24</v>
      </c>
      <c r="B29" s="18">
        <f>res_target_share*'LEAP Statewide'!B29*1000</f>
        <v>0</v>
      </c>
      <c r="C29" s="18">
        <f>res_target_share*'LEAP Statewide'!C29*1000</f>
        <v>0</v>
      </c>
      <c r="D29" s="18">
        <f>res_target_share*'LEAP Statewide'!D29*1000</f>
        <v>0</v>
      </c>
      <c r="E29" s="19">
        <f>res_target_share*'LEAP Statewide'!E29*1000</f>
        <v>0</v>
      </c>
      <c r="G29" s="1" t="s">
        <v>24</v>
      </c>
      <c r="H29" s="4">
        <f>res_target_share*'LEAP Statewide'!H29*1000</f>
        <v>0</v>
      </c>
      <c r="I29" s="4">
        <f>res_target_share*'LEAP Statewide'!I29*1000</f>
        <v>0</v>
      </c>
      <c r="J29" s="4">
        <f>res_target_share*'LEAP Statewide'!J29*1000</f>
        <v>0</v>
      </c>
      <c r="K29" s="5">
        <f>res_target_share*'LEAP Statewide'!K29*1000</f>
        <v>0</v>
      </c>
    </row>
    <row r="30" spans="1:16" x14ac:dyDescent="0.25">
      <c r="A30" s="7" t="s">
        <v>12</v>
      </c>
      <c r="B30" s="8">
        <f>SUM(B24:B29)</f>
        <v>820.57705018535728</v>
      </c>
      <c r="C30" s="8">
        <f>SUM(C24:C29)</f>
        <v>671.38122287892861</v>
      </c>
      <c r="D30" s="8">
        <f>SUM(D24:D29)</f>
        <v>596.78330922571433</v>
      </c>
      <c r="E30" s="9">
        <f>SUM(E24:E29)</f>
        <v>497.31942435476196</v>
      </c>
      <c r="G30" s="7" t="s">
        <v>12</v>
      </c>
      <c r="H30" s="8">
        <f>SUM(H24:H29)</f>
        <v>820.57705018535728</v>
      </c>
      <c r="I30" s="8">
        <f>SUM(I24:I29)</f>
        <v>621.64928044345243</v>
      </c>
      <c r="J30" s="8">
        <f>SUM(J24:J29)</f>
        <v>372.98956826607144</v>
      </c>
      <c r="K30" s="9">
        <f>SUM(K24:K29)</f>
        <v>174.06179852416668</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11" t="s">
        <v>190</v>
      </c>
      <c r="B48" s="17">
        <v>2015</v>
      </c>
      <c r="C48" s="17">
        <v>2025</v>
      </c>
      <c r="D48" s="17">
        <v>2035</v>
      </c>
      <c r="E48" s="17">
        <v>2050</v>
      </c>
    </row>
    <row r="49" spans="1:5" ht="89.25" customHeight="1" x14ac:dyDescent="0.25">
      <c r="A49" s="211"/>
      <c r="B49" s="20">
        <f>res_target_share*'LEAP Statewide'!B49</f>
        <v>2.5611950354270241</v>
      </c>
      <c r="C49" s="20">
        <f>res_target_share*'LEAP Statewide'!C49</f>
        <v>12.258923810344882</v>
      </c>
      <c r="D49" s="20">
        <f>res_target_share*'LEAP Statewide'!D49</f>
        <v>21.260405391166074</v>
      </c>
      <c r="E49" s="20">
        <f>res_target_share*'LEAP Statewide'!E49</f>
        <v>35.061019417010719</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Formatting</vt:lpstr>
      <vt:lpstr>Instructions</vt:lpstr>
      <vt:lpstr>1.Current Trans</vt:lpstr>
      <vt:lpstr>1.Current Heat</vt:lpstr>
      <vt:lpstr>2.Heat Targets</vt:lpstr>
      <vt:lpstr>2.Trans Targets</vt:lpstr>
      <vt:lpstr>2.Electric Targets</vt:lpstr>
      <vt:lpstr>LEAP Statewide</vt:lpstr>
      <vt:lpstr>LEAP Scenario</vt:lpstr>
      <vt:lpstr>Exchange Example</vt:lpstr>
      <vt:lpstr>Population</vt:lpstr>
      <vt:lpstr>com_target_share</vt:lpstr>
      <vt:lpstr>res_target_share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Public Service Department</cp:lastModifiedBy>
  <dcterms:created xsi:type="dcterms:W3CDTF">2016-10-03T13:03:02Z</dcterms:created>
  <dcterms:modified xsi:type="dcterms:W3CDTF">2017-03-30T15:59:43Z</dcterms:modified>
</cp:coreProperties>
</file>