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ohn.woodward\Desktop\transfer\rpc\"/>
    </mc:Choice>
  </mc:AlternateContent>
  <bookViews>
    <workbookView xWindow="0" yWindow="0" windowWidth="19200" windowHeight="7035" tabRatio="946"/>
  </bookViews>
  <sheets>
    <sheet name="Instructions" sheetId="4" r:id="rId1"/>
    <sheet name="Population" sheetId="71" state="hidden" r:id="rId2"/>
    <sheet name="Establishments" sheetId="70" state="hidden" r:id="rId3"/>
    <sheet name="Vehicles" sheetId="72" state="hidden" r:id="rId4"/>
    <sheet name="1.Current Trans (Region)" sheetId="50" r:id="rId5"/>
    <sheet name="1.Current Heat (Region)" sheetId="69" r:id="rId6"/>
    <sheet name="BeginTrans" sheetId="74" r:id="rId7"/>
    <sheet name="1.Current Trans (1)" sheetId="2" r:id="rId8"/>
    <sheet name="1.Current Trans (2)" sheetId="78" r:id="rId9"/>
    <sheet name="1.Current Trans (3)" sheetId="79" r:id="rId10"/>
    <sheet name="1.Current Trans (4)" sheetId="80" r:id="rId11"/>
    <sheet name="1.Current Trans (5)" sheetId="81" r:id="rId12"/>
    <sheet name="1.Current Trans (6)" sheetId="82" r:id="rId13"/>
    <sheet name="1.Current Trans (7)" sheetId="83" r:id="rId14"/>
    <sheet name="1.Current Trans (8)" sheetId="84" r:id="rId15"/>
    <sheet name="1.Current Trans (9)" sheetId="86" r:id="rId16"/>
    <sheet name="1.Current Trans (10)" sheetId="87" r:id="rId17"/>
    <sheet name="EndTrans" sheetId="75" r:id="rId18"/>
    <sheet name="BeginHeat" sheetId="77" r:id="rId19"/>
    <sheet name="1.Current Heat (1)" sheetId="22" r:id="rId20"/>
    <sheet name="1.Current Heat (2)" sheetId="88" r:id="rId21"/>
    <sheet name="1.Current Heat (3)" sheetId="89" r:id="rId22"/>
    <sheet name="1.Current Heat (4)" sheetId="90" r:id="rId23"/>
    <sheet name="1.Current Heat (5)" sheetId="91" r:id="rId24"/>
    <sheet name="1.Current Heat (6)" sheetId="92" r:id="rId25"/>
    <sheet name="1.Current Heat (7)" sheetId="93" r:id="rId26"/>
    <sheet name="1.Current Heat (8)" sheetId="94" r:id="rId27"/>
    <sheet name="1.Current Heat (9)" sheetId="95" r:id="rId28"/>
    <sheet name="1.Current Heat (10)" sheetId="96" r:id="rId29"/>
    <sheet name="EndHeat" sheetId="76" r:id="rId30"/>
  </sheets>
  <externalReferences>
    <externalReference r:id="rId31"/>
  </externalReferences>
  <definedNames>
    <definedName name="_xlnm._FilterDatabase" localSheetId="3" hidden="1">Vehicles!$A$1:$C$256</definedName>
    <definedName name="COP">2.5</definedName>
    <definedName name="fossilBtu">(0.95*120400)+(0.05*137570)</definedName>
    <definedName name="regional_com_bldgs">'1.Current Heat (Region)'!$B$15</definedName>
    <definedName name="regional_com_heat_mmbtu">BeginHeat!$A$3</definedName>
    <definedName name="regional_ev_count">'1.Current Trans (Region)'!$B$24</definedName>
    <definedName name="regional_gsl_gallons">'1.Current Trans (Region)'!$B$12</definedName>
    <definedName name="regional_ldv_count">'1.Current Trans (Region)'!$B$9</definedName>
    <definedName name="regional_ldv_mmbtu">BeginTrans!$A$2</definedName>
    <definedName name="regional_res_bldgs">'1.Current Heat (Region)'!$B$9</definedName>
    <definedName name="regional_res_heat_mmbtu">BeginHeat!$A$2</definedName>
    <definedName name="VTpopulation2013">627129</definedName>
    <definedName name="VTpopulation2014">626767</definedName>
    <definedName name="VTpopulation2015">626042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50" l="1"/>
  <c r="B9" i="69"/>
  <c r="O11" i="94" s="1"/>
  <c r="O13" i="94" s="1"/>
  <c r="G43" i="96"/>
  <c r="E43" i="96"/>
  <c r="K42" i="96"/>
  <c r="H42" i="96"/>
  <c r="I42" i="96" s="1"/>
  <c r="J42" i="96" s="1"/>
  <c r="F42" i="96"/>
  <c r="K41" i="96"/>
  <c r="I41" i="96"/>
  <c r="J41" i="96" s="1"/>
  <c r="H41" i="96"/>
  <c r="F41" i="96"/>
  <c r="K40" i="96"/>
  <c r="H40" i="96"/>
  <c r="I40" i="96" s="1"/>
  <c r="J40" i="96" s="1"/>
  <c r="F40" i="96"/>
  <c r="K39" i="96"/>
  <c r="I39" i="96"/>
  <c r="J39" i="96" s="1"/>
  <c r="H39" i="96"/>
  <c r="F39" i="96"/>
  <c r="K38" i="96"/>
  <c r="H38" i="96"/>
  <c r="I38" i="96" s="1"/>
  <c r="J38" i="96" s="1"/>
  <c r="F38" i="96"/>
  <c r="K37" i="96"/>
  <c r="I37" i="96"/>
  <c r="J37" i="96" s="1"/>
  <c r="H37" i="96"/>
  <c r="F37" i="96"/>
  <c r="K36" i="96"/>
  <c r="H36" i="96"/>
  <c r="I36" i="96" s="1"/>
  <c r="J36" i="96" s="1"/>
  <c r="F36" i="96"/>
  <c r="K35" i="96"/>
  <c r="I35" i="96"/>
  <c r="J35" i="96" s="1"/>
  <c r="H35" i="96"/>
  <c r="F35" i="96"/>
  <c r="K34" i="96"/>
  <c r="H34" i="96"/>
  <c r="I34" i="96" s="1"/>
  <c r="J34" i="96" s="1"/>
  <c r="F34" i="96"/>
  <c r="K33" i="96"/>
  <c r="I33" i="96"/>
  <c r="J33" i="96" s="1"/>
  <c r="H33" i="96"/>
  <c r="F33" i="96"/>
  <c r="K32" i="96"/>
  <c r="H32" i="96"/>
  <c r="I32" i="96" s="1"/>
  <c r="J32" i="96" s="1"/>
  <c r="F32" i="96"/>
  <c r="K31" i="96"/>
  <c r="I31" i="96"/>
  <c r="J31" i="96" s="1"/>
  <c r="H31" i="96"/>
  <c r="F31" i="96"/>
  <c r="K30" i="96"/>
  <c r="H30" i="96"/>
  <c r="I30" i="96" s="1"/>
  <c r="J30" i="96" s="1"/>
  <c r="F30" i="96"/>
  <c r="K29" i="96"/>
  <c r="I29" i="96"/>
  <c r="J29" i="96" s="1"/>
  <c r="H29" i="96"/>
  <c r="F29" i="96"/>
  <c r="B20" i="96"/>
  <c r="D19" i="96"/>
  <c r="G43" i="95"/>
  <c r="E43" i="95"/>
  <c r="F42" i="95" s="1"/>
  <c r="K42" i="95"/>
  <c r="I42" i="95"/>
  <c r="J42" i="95" s="1"/>
  <c r="H42" i="95"/>
  <c r="K41" i="95"/>
  <c r="I41" i="95"/>
  <c r="J41" i="95" s="1"/>
  <c r="H41" i="95"/>
  <c r="F41" i="95"/>
  <c r="K40" i="95"/>
  <c r="I40" i="95"/>
  <c r="J40" i="95" s="1"/>
  <c r="H40" i="95"/>
  <c r="K39" i="95"/>
  <c r="I39" i="95"/>
  <c r="J39" i="95" s="1"/>
  <c r="H39" i="95"/>
  <c r="F39" i="95"/>
  <c r="K38" i="95"/>
  <c r="I38" i="95"/>
  <c r="J38" i="95" s="1"/>
  <c r="H38" i="95"/>
  <c r="K37" i="95"/>
  <c r="I37" i="95"/>
  <c r="J37" i="95" s="1"/>
  <c r="H37" i="95"/>
  <c r="F37" i="95"/>
  <c r="K36" i="95"/>
  <c r="I36" i="95"/>
  <c r="J36" i="95" s="1"/>
  <c r="H36" i="95"/>
  <c r="K35" i="95"/>
  <c r="I35" i="95"/>
  <c r="J35" i="95" s="1"/>
  <c r="H35" i="95"/>
  <c r="F35" i="95"/>
  <c r="K34" i="95"/>
  <c r="I34" i="95"/>
  <c r="J34" i="95" s="1"/>
  <c r="H34" i="95"/>
  <c r="K33" i="95"/>
  <c r="I33" i="95"/>
  <c r="J33" i="95" s="1"/>
  <c r="H33" i="95"/>
  <c r="F33" i="95"/>
  <c r="K32" i="95"/>
  <c r="I32" i="95"/>
  <c r="J32" i="95" s="1"/>
  <c r="H32" i="95"/>
  <c r="F32" i="95"/>
  <c r="K31" i="95"/>
  <c r="I31" i="95"/>
  <c r="J31" i="95" s="1"/>
  <c r="H31" i="95"/>
  <c r="F31" i="95"/>
  <c r="K30" i="95"/>
  <c r="I30" i="95"/>
  <c r="J30" i="95" s="1"/>
  <c r="H30" i="95"/>
  <c r="F30" i="95"/>
  <c r="K29" i="95"/>
  <c r="I29" i="95"/>
  <c r="J29" i="95" s="1"/>
  <c r="H29" i="95"/>
  <c r="F29" i="95"/>
  <c r="B20" i="95"/>
  <c r="D19" i="95"/>
  <c r="G43" i="94"/>
  <c r="E43" i="94"/>
  <c r="F42" i="94" s="1"/>
  <c r="K42" i="94"/>
  <c r="I42" i="94"/>
  <c r="J42" i="94" s="1"/>
  <c r="H42" i="94"/>
  <c r="K41" i="94"/>
  <c r="I41" i="94"/>
  <c r="J41" i="94" s="1"/>
  <c r="H41" i="94"/>
  <c r="F41" i="94"/>
  <c r="K40" i="94"/>
  <c r="I40" i="94"/>
  <c r="J40" i="94" s="1"/>
  <c r="H40" i="94"/>
  <c r="K39" i="94"/>
  <c r="I39" i="94"/>
  <c r="J39" i="94" s="1"/>
  <c r="H39" i="94"/>
  <c r="F39" i="94"/>
  <c r="K38" i="94"/>
  <c r="I38" i="94"/>
  <c r="J38" i="94" s="1"/>
  <c r="H38" i="94"/>
  <c r="K37" i="94"/>
  <c r="I37" i="94"/>
  <c r="J37" i="94" s="1"/>
  <c r="H37" i="94"/>
  <c r="F37" i="94"/>
  <c r="K36" i="94"/>
  <c r="I36" i="94"/>
  <c r="J36" i="94" s="1"/>
  <c r="H36" i="94"/>
  <c r="K35" i="94"/>
  <c r="I35" i="94"/>
  <c r="J35" i="94" s="1"/>
  <c r="H35" i="94"/>
  <c r="F35" i="94"/>
  <c r="K34" i="94"/>
  <c r="I34" i="94"/>
  <c r="J34" i="94" s="1"/>
  <c r="H34" i="94"/>
  <c r="K33" i="94"/>
  <c r="I33" i="94"/>
  <c r="J33" i="94" s="1"/>
  <c r="H33" i="94"/>
  <c r="F33" i="94"/>
  <c r="K32" i="94"/>
  <c r="I32" i="94"/>
  <c r="J32" i="94" s="1"/>
  <c r="H32" i="94"/>
  <c r="K31" i="94"/>
  <c r="I31" i="94"/>
  <c r="J31" i="94" s="1"/>
  <c r="H31" i="94"/>
  <c r="F31" i="94"/>
  <c r="K30" i="94"/>
  <c r="I30" i="94"/>
  <c r="J30" i="94" s="1"/>
  <c r="H30" i="94"/>
  <c r="K29" i="94"/>
  <c r="I29" i="94"/>
  <c r="J29" i="94" s="1"/>
  <c r="H29" i="94"/>
  <c r="F29" i="94"/>
  <c r="B20" i="94"/>
  <c r="D19" i="94"/>
  <c r="G43" i="93"/>
  <c r="E43" i="93"/>
  <c r="F42" i="93" s="1"/>
  <c r="K42" i="93"/>
  <c r="H42" i="93"/>
  <c r="I42" i="93" s="1"/>
  <c r="J42" i="93" s="1"/>
  <c r="K41" i="93"/>
  <c r="H41" i="93"/>
  <c r="F41" i="93"/>
  <c r="K40" i="93"/>
  <c r="H40" i="93"/>
  <c r="I40" i="93" s="1"/>
  <c r="J40" i="93" s="1"/>
  <c r="K39" i="93"/>
  <c r="H39" i="93"/>
  <c r="F39" i="93"/>
  <c r="K38" i="93"/>
  <c r="H38" i="93"/>
  <c r="I38" i="93" s="1"/>
  <c r="J38" i="93" s="1"/>
  <c r="K37" i="93"/>
  <c r="H37" i="93"/>
  <c r="F37" i="93"/>
  <c r="K36" i="93"/>
  <c r="H36" i="93"/>
  <c r="I36" i="93" s="1"/>
  <c r="J36" i="93" s="1"/>
  <c r="K35" i="93"/>
  <c r="H35" i="93"/>
  <c r="F35" i="93"/>
  <c r="K34" i="93"/>
  <c r="H34" i="93"/>
  <c r="I34" i="93" s="1"/>
  <c r="J34" i="93" s="1"/>
  <c r="K33" i="93"/>
  <c r="H33" i="93"/>
  <c r="F33" i="93"/>
  <c r="K32" i="93"/>
  <c r="H32" i="93"/>
  <c r="I32" i="93" s="1"/>
  <c r="J32" i="93" s="1"/>
  <c r="K31" i="93"/>
  <c r="H31" i="93"/>
  <c r="F31" i="93"/>
  <c r="K30" i="93"/>
  <c r="H30" i="93"/>
  <c r="I30" i="93" s="1"/>
  <c r="J30" i="93" s="1"/>
  <c r="K29" i="93"/>
  <c r="H29" i="93"/>
  <c r="F29" i="93"/>
  <c r="B20" i="93"/>
  <c r="D19" i="93"/>
  <c r="G43" i="92"/>
  <c r="E43" i="92"/>
  <c r="K42" i="92"/>
  <c r="H42" i="92"/>
  <c r="I42" i="92" s="1"/>
  <c r="J42" i="92" s="1"/>
  <c r="F42" i="92"/>
  <c r="K41" i="92"/>
  <c r="I41" i="92"/>
  <c r="J41" i="92" s="1"/>
  <c r="H41" i="92"/>
  <c r="F41" i="92"/>
  <c r="K40" i="92"/>
  <c r="H40" i="92"/>
  <c r="I40" i="92" s="1"/>
  <c r="J40" i="92" s="1"/>
  <c r="F40" i="92"/>
  <c r="K39" i="92"/>
  <c r="I39" i="92"/>
  <c r="J39" i="92" s="1"/>
  <c r="H39" i="92"/>
  <c r="F39" i="92"/>
  <c r="K38" i="92"/>
  <c r="H38" i="92"/>
  <c r="I38" i="92" s="1"/>
  <c r="J38" i="92" s="1"/>
  <c r="F38" i="92"/>
  <c r="K37" i="92"/>
  <c r="I37" i="92"/>
  <c r="J37" i="92" s="1"/>
  <c r="H37" i="92"/>
  <c r="F37" i="92"/>
  <c r="K36" i="92"/>
  <c r="H36" i="92"/>
  <c r="I36" i="92" s="1"/>
  <c r="J36" i="92" s="1"/>
  <c r="F36" i="92"/>
  <c r="K35" i="92"/>
  <c r="I35" i="92"/>
  <c r="J35" i="92" s="1"/>
  <c r="H35" i="92"/>
  <c r="F35" i="92"/>
  <c r="K34" i="92"/>
  <c r="H34" i="92"/>
  <c r="I34" i="92" s="1"/>
  <c r="J34" i="92" s="1"/>
  <c r="F34" i="92"/>
  <c r="K33" i="92"/>
  <c r="I33" i="92"/>
  <c r="J33" i="92" s="1"/>
  <c r="H33" i="92"/>
  <c r="F33" i="92"/>
  <c r="K32" i="92"/>
  <c r="H32" i="92"/>
  <c r="I32" i="92" s="1"/>
  <c r="J32" i="92" s="1"/>
  <c r="F32" i="92"/>
  <c r="K31" i="92"/>
  <c r="I31" i="92"/>
  <c r="J31" i="92" s="1"/>
  <c r="H31" i="92"/>
  <c r="F31" i="92"/>
  <c r="K30" i="92"/>
  <c r="H30" i="92"/>
  <c r="I30" i="92" s="1"/>
  <c r="J30" i="92" s="1"/>
  <c r="F30" i="92"/>
  <c r="K29" i="92"/>
  <c r="I29" i="92"/>
  <c r="J29" i="92" s="1"/>
  <c r="H29" i="92"/>
  <c r="F29" i="92"/>
  <c r="B20" i="92"/>
  <c r="D19" i="92"/>
  <c r="G43" i="91"/>
  <c r="E43" i="91"/>
  <c r="K42" i="91"/>
  <c r="H42" i="91"/>
  <c r="I42" i="91" s="1"/>
  <c r="J42" i="91" s="1"/>
  <c r="F42" i="91"/>
  <c r="K41" i="91"/>
  <c r="H41" i="91"/>
  <c r="I41" i="91" s="1"/>
  <c r="J41" i="91" s="1"/>
  <c r="F41" i="91"/>
  <c r="K40" i="91"/>
  <c r="H40" i="91"/>
  <c r="I40" i="91" s="1"/>
  <c r="J40" i="91" s="1"/>
  <c r="F40" i="91"/>
  <c r="K39" i="91"/>
  <c r="H39" i="91"/>
  <c r="I39" i="91" s="1"/>
  <c r="J39" i="91" s="1"/>
  <c r="F39" i="91"/>
  <c r="K38" i="91"/>
  <c r="H38" i="91"/>
  <c r="I38" i="91" s="1"/>
  <c r="J38" i="91" s="1"/>
  <c r="F38" i="91"/>
  <c r="K37" i="91"/>
  <c r="H37" i="91"/>
  <c r="I37" i="91" s="1"/>
  <c r="J37" i="91" s="1"/>
  <c r="F37" i="91"/>
  <c r="K36" i="91"/>
  <c r="H36" i="91"/>
  <c r="I36" i="91" s="1"/>
  <c r="J36" i="91" s="1"/>
  <c r="F36" i="91"/>
  <c r="K35" i="91"/>
  <c r="H35" i="91"/>
  <c r="I35" i="91" s="1"/>
  <c r="J35" i="91" s="1"/>
  <c r="F35" i="91"/>
  <c r="K34" i="91"/>
  <c r="H34" i="91"/>
  <c r="I34" i="91" s="1"/>
  <c r="J34" i="91" s="1"/>
  <c r="F34" i="91"/>
  <c r="K33" i="91"/>
  <c r="H33" i="91"/>
  <c r="I33" i="91" s="1"/>
  <c r="J33" i="91" s="1"/>
  <c r="F33" i="91"/>
  <c r="K32" i="91"/>
  <c r="H32" i="91"/>
  <c r="I32" i="91" s="1"/>
  <c r="J32" i="91" s="1"/>
  <c r="F32" i="91"/>
  <c r="K31" i="91"/>
  <c r="H31" i="91"/>
  <c r="I31" i="91" s="1"/>
  <c r="J31" i="91" s="1"/>
  <c r="F31" i="91"/>
  <c r="K30" i="91"/>
  <c r="H30" i="91"/>
  <c r="I30" i="91" s="1"/>
  <c r="J30" i="91" s="1"/>
  <c r="F30" i="91"/>
  <c r="K29" i="91"/>
  <c r="H29" i="91"/>
  <c r="I29" i="91" s="1"/>
  <c r="J29" i="91" s="1"/>
  <c r="F29" i="91"/>
  <c r="B20" i="91"/>
  <c r="D19" i="91"/>
  <c r="G43" i="90"/>
  <c r="E43" i="90"/>
  <c r="F42" i="90" s="1"/>
  <c r="K42" i="90"/>
  <c r="I42" i="90"/>
  <c r="J42" i="90" s="1"/>
  <c r="H42" i="90"/>
  <c r="K41" i="90"/>
  <c r="I41" i="90"/>
  <c r="J41" i="90" s="1"/>
  <c r="H41" i="90"/>
  <c r="F41" i="90"/>
  <c r="K40" i="90"/>
  <c r="I40" i="90"/>
  <c r="J40" i="90" s="1"/>
  <c r="H40" i="90"/>
  <c r="K39" i="90"/>
  <c r="I39" i="90"/>
  <c r="J39" i="90" s="1"/>
  <c r="H39" i="90"/>
  <c r="F39" i="90"/>
  <c r="K38" i="90"/>
  <c r="I38" i="90"/>
  <c r="J38" i="90" s="1"/>
  <c r="H38" i="90"/>
  <c r="K37" i="90"/>
  <c r="I37" i="90"/>
  <c r="J37" i="90" s="1"/>
  <c r="H37" i="90"/>
  <c r="F37" i="90"/>
  <c r="K36" i="90"/>
  <c r="I36" i="90"/>
  <c r="J36" i="90" s="1"/>
  <c r="H36" i="90"/>
  <c r="F36" i="90"/>
  <c r="K35" i="90"/>
  <c r="I35" i="90"/>
  <c r="J35" i="90" s="1"/>
  <c r="H35" i="90"/>
  <c r="F35" i="90"/>
  <c r="K34" i="90"/>
  <c r="I34" i="90"/>
  <c r="J34" i="90" s="1"/>
  <c r="H34" i="90"/>
  <c r="F34" i="90"/>
  <c r="K33" i="90"/>
  <c r="I33" i="90"/>
  <c r="J33" i="90" s="1"/>
  <c r="H33" i="90"/>
  <c r="F33" i="90"/>
  <c r="K32" i="90"/>
  <c r="I32" i="90"/>
  <c r="J32" i="90" s="1"/>
  <c r="H32" i="90"/>
  <c r="F32" i="90"/>
  <c r="K31" i="90"/>
  <c r="I31" i="90"/>
  <c r="J31" i="90" s="1"/>
  <c r="H31" i="90"/>
  <c r="F31" i="90"/>
  <c r="K30" i="90"/>
  <c r="I30" i="90"/>
  <c r="J30" i="90" s="1"/>
  <c r="H30" i="90"/>
  <c r="F30" i="90"/>
  <c r="K29" i="90"/>
  <c r="I29" i="90"/>
  <c r="J29" i="90" s="1"/>
  <c r="H29" i="90"/>
  <c r="F29" i="90"/>
  <c r="B20" i="90"/>
  <c r="D19" i="90"/>
  <c r="G43" i="89"/>
  <c r="E43" i="89"/>
  <c r="K42" i="89"/>
  <c r="H42" i="89"/>
  <c r="I42" i="89" s="1"/>
  <c r="J42" i="89" s="1"/>
  <c r="F42" i="89"/>
  <c r="K41" i="89"/>
  <c r="I41" i="89"/>
  <c r="J41" i="89" s="1"/>
  <c r="H41" i="89"/>
  <c r="F41" i="89"/>
  <c r="K40" i="89"/>
  <c r="H40" i="89"/>
  <c r="I40" i="89" s="1"/>
  <c r="J40" i="89" s="1"/>
  <c r="F40" i="89"/>
  <c r="K39" i="89"/>
  <c r="I39" i="89"/>
  <c r="J39" i="89" s="1"/>
  <c r="H39" i="89"/>
  <c r="F39" i="89"/>
  <c r="K38" i="89"/>
  <c r="H38" i="89"/>
  <c r="I38" i="89" s="1"/>
  <c r="J38" i="89" s="1"/>
  <c r="F38" i="89"/>
  <c r="K37" i="89"/>
  <c r="I37" i="89"/>
  <c r="J37" i="89" s="1"/>
  <c r="H37" i="89"/>
  <c r="F37" i="89"/>
  <c r="K36" i="89"/>
  <c r="H36" i="89"/>
  <c r="I36" i="89" s="1"/>
  <c r="J36" i="89" s="1"/>
  <c r="F36" i="89"/>
  <c r="K35" i="89"/>
  <c r="I35" i="89"/>
  <c r="J35" i="89" s="1"/>
  <c r="H35" i="89"/>
  <c r="F35" i="89"/>
  <c r="K34" i="89"/>
  <c r="H34" i="89"/>
  <c r="I34" i="89" s="1"/>
  <c r="J34" i="89" s="1"/>
  <c r="F34" i="89"/>
  <c r="K33" i="89"/>
  <c r="I33" i="89"/>
  <c r="J33" i="89" s="1"/>
  <c r="H33" i="89"/>
  <c r="F33" i="89"/>
  <c r="K32" i="89"/>
  <c r="H32" i="89"/>
  <c r="I32" i="89" s="1"/>
  <c r="J32" i="89" s="1"/>
  <c r="F32" i="89"/>
  <c r="K31" i="89"/>
  <c r="I31" i="89"/>
  <c r="J31" i="89" s="1"/>
  <c r="H31" i="89"/>
  <c r="F31" i="89"/>
  <c r="K30" i="89"/>
  <c r="H30" i="89"/>
  <c r="I30" i="89" s="1"/>
  <c r="J30" i="89" s="1"/>
  <c r="F30" i="89"/>
  <c r="K29" i="89"/>
  <c r="I29" i="89"/>
  <c r="J29" i="89" s="1"/>
  <c r="H29" i="89"/>
  <c r="F29" i="89"/>
  <c r="B20" i="89"/>
  <c r="D19" i="89"/>
  <c r="G43" i="88"/>
  <c r="E43" i="88"/>
  <c r="K42" i="88"/>
  <c r="H42" i="88"/>
  <c r="I42" i="88" s="1"/>
  <c r="J42" i="88" s="1"/>
  <c r="F42" i="88"/>
  <c r="K41" i="88"/>
  <c r="I41" i="88"/>
  <c r="J41" i="88" s="1"/>
  <c r="H41" i="88"/>
  <c r="F41" i="88"/>
  <c r="K40" i="88"/>
  <c r="H40" i="88"/>
  <c r="I40" i="88" s="1"/>
  <c r="J40" i="88" s="1"/>
  <c r="F40" i="88"/>
  <c r="K39" i="88"/>
  <c r="I39" i="88"/>
  <c r="J39" i="88" s="1"/>
  <c r="H39" i="88"/>
  <c r="F39" i="88"/>
  <c r="K38" i="88"/>
  <c r="H38" i="88"/>
  <c r="I38" i="88" s="1"/>
  <c r="J38" i="88" s="1"/>
  <c r="F38" i="88"/>
  <c r="K37" i="88"/>
  <c r="I37" i="88"/>
  <c r="J37" i="88" s="1"/>
  <c r="H37" i="88"/>
  <c r="F37" i="88"/>
  <c r="K36" i="88"/>
  <c r="H36" i="88"/>
  <c r="I36" i="88" s="1"/>
  <c r="J36" i="88" s="1"/>
  <c r="F36" i="88"/>
  <c r="K35" i="88"/>
  <c r="I35" i="88"/>
  <c r="J35" i="88" s="1"/>
  <c r="H35" i="88"/>
  <c r="F35" i="88"/>
  <c r="K34" i="88"/>
  <c r="H34" i="88"/>
  <c r="I34" i="88" s="1"/>
  <c r="J34" i="88" s="1"/>
  <c r="F34" i="88"/>
  <c r="K33" i="88"/>
  <c r="I33" i="88"/>
  <c r="J33" i="88" s="1"/>
  <c r="H33" i="88"/>
  <c r="F33" i="88"/>
  <c r="K32" i="88"/>
  <c r="H32" i="88"/>
  <c r="I32" i="88" s="1"/>
  <c r="J32" i="88" s="1"/>
  <c r="F32" i="88"/>
  <c r="K31" i="88"/>
  <c r="I31" i="88"/>
  <c r="J31" i="88" s="1"/>
  <c r="H31" i="88"/>
  <c r="F31" i="88"/>
  <c r="K30" i="88"/>
  <c r="H30" i="88"/>
  <c r="I30" i="88" s="1"/>
  <c r="J30" i="88" s="1"/>
  <c r="F30" i="88"/>
  <c r="K29" i="88"/>
  <c r="I29" i="88"/>
  <c r="J29" i="88" s="1"/>
  <c r="H29" i="88"/>
  <c r="F29" i="88"/>
  <c r="B20" i="88"/>
  <c r="D19" i="88"/>
  <c r="B38" i="87"/>
  <c r="B40" i="87" s="1"/>
  <c r="B23" i="87"/>
  <c r="D18" i="87"/>
  <c r="B11" i="87"/>
  <c r="B20" i="87" s="1"/>
  <c r="B38" i="86"/>
  <c r="B40" i="86" s="1"/>
  <c r="B23" i="86"/>
  <c r="D18" i="86"/>
  <c r="B11" i="86"/>
  <c r="B20" i="86" s="1"/>
  <c r="B38" i="84"/>
  <c r="B40" i="84" s="1"/>
  <c r="B23" i="84"/>
  <c r="D18" i="84"/>
  <c r="B11" i="84"/>
  <c r="B20" i="84" s="1"/>
  <c r="B38" i="83"/>
  <c r="B40" i="83" s="1"/>
  <c r="B23" i="83"/>
  <c r="D18" i="83"/>
  <c r="B11" i="83"/>
  <c r="B20" i="83" s="1"/>
  <c r="B38" i="82"/>
  <c r="B40" i="82" s="1"/>
  <c r="B23" i="82"/>
  <c r="D18" i="82"/>
  <c r="B11" i="82"/>
  <c r="B20" i="82" s="1"/>
  <c r="B38" i="81"/>
  <c r="B40" i="81" s="1"/>
  <c r="B23" i="81"/>
  <c r="D18" i="81"/>
  <c r="B11" i="81"/>
  <c r="B20" i="81" s="1"/>
  <c r="B38" i="80"/>
  <c r="B40" i="80" s="1"/>
  <c r="B23" i="80"/>
  <c r="D18" i="80"/>
  <c r="B11" i="80"/>
  <c r="B20" i="80" s="1"/>
  <c r="B38" i="79"/>
  <c r="B40" i="79" s="1"/>
  <c r="B23" i="79"/>
  <c r="D18" i="79"/>
  <c r="B11" i="79"/>
  <c r="B20" i="79" s="1"/>
  <c r="B38" i="78"/>
  <c r="B40" i="78" s="1"/>
  <c r="B23" i="78"/>
  <c r="D18" i="78"/>
  <c r="B11" i="78"/>
  <c r="B20" i="78" s="1"/>
  <c r="B11" i="2"/>
  <c r="B9" i="50" l="1"/>
  <c r="O11" i="90"/>
  <c r="O13" i="90" s="1"/>
  <c r="O11" i="88"/>
  <c r="O13" i="88" s="1"/>
  <c r="O11" i="92"/>
  <c r="O13" i="92" s="1"/>
  <c r="O11" i="95"/>
  <c r="O13" i="95" s="1"/>
  <c r="O11" i="89"/>
  <c r="O13" i="89" s="1"/>
  <c r="O11" i="91"/>
  <c r="O13" i="91" s="1"/>
  <c r="O11" i="96"/>
  <c r="O13" i="96" s="1"/>
  <c r="O11" i="93"/>
  <c r="O13" i="93" s="1"/>
  <c r="K43" i="91"/>
  <c r="B24" i="91" s="1"/>
  <c r="K43" i="96"/>
  <c r="B24" i="96" s="1"/>
  <c r="F34" i="95"/>
  <c r="F36" i="95"/>
  <c r="F38" i="95"/>
  <c r="F40" i="95"/>
  <c r="K43" i="95"/>
  <c r="B24" i="95" s="1"/>
  <c r="F30" i="94"/>
  <c r="F32" i="94"/>
  <c r="F34" i="94"/>
  <c r="F36" i="94"/>
  <c r="F38" i="94"/>
  <c r="F40" i="94"/>
  <c r="K43" i="94"/>
  <c r="B24" i="94" s="1"/>
  <c r="I29" i="93"/>
  <c r="J29" i="93" s="1"/>
  <c r="F30" i="93"/>
  <c r="I31" i="93"/>
  <c r="J31" i="93" s="1"/>
  <c r="F32" i="93"/>
  <c r="I33" i="93"/>
  <c r="J33" i="93" s="1"/>
  <c r="F34" i="93"/>
  <c r="I35" i="93"/>
  <c r="J35" i="93" s="1"/>
  <c r="F36" i="93"/>
  <c r="I37" i="93"/>
  <c r="J37" i="93" s="1"/>
  <c r="F38" i="93"/>
  <c r="I39" i="93"/>
  <c r="J39" i="93" s="1"/>
  <c r="F40" i="93"/>
  <c r="I41" i="93"/>
  <c r="J41" i="93" s="1"/>
  <c r="K43" i="93"/>
  <c r="B24" i="93" s="1"/>
  <c r="K43" i="92"/>
  <c r="B24" i="92" s="1"/>
  <c r="F38" i="90"/>
  <c r="F40" i="90"/>
  <c r="K43" i="90"/>
  <c r="B24" i="90" s="1"/>
  <c r="K43" i="89"/>
  <c r="B24" i="89" s="1"/>
  <c r="K43" i="88"/>
  <c r="B24" i="88" s="1"/>
  <c r="A2" i="77"/>
  <c r="B22" i="87"/>
  <c r="B24" i="87" s="1"/>
  <c r="B25" i="87"/>
  <c r="B27" i="87" s="1"/>
  <c r="B22" i="86"/>
  <c r="B24" i="86" s="1"/>
  <c r="B22" i="84"/>
  <c r="B24" i="84" s="1"/>
  <c r="B22" i="83"/>
  <c r="B24" i="83" s="1"/>
  <c r="B22" i="82"/>
  <c r="B24" i="82" s="1"/>
  <c r="B22" i="81"/>
  <c r="B24" i="81" s="1"/>
  <c r="B22" i="80"/>
  <c r="B24" i="80" s="1"/>
  <c r="B22" i="79"/>
  <c r="B24" i="79" s="1"/>
  <c r="B22" i="78"/>
  <c r="B24" i="78" s="1"/>
  <c r="B25" i="83" l="1"/>
  <c r="B27" i="83" s="1"/>
  <c r="B25" i="84"/>
  <c r="B27" i="84" s="1"/>
  <c r="B25" i="82"/>
  <c r="B27" i="82" s="1"/>
  <c r="B25" i="80"/>
  <c r="B27" i="80" s="1"/>
  <c r="B28" i="80" s="1"/>
  <c r="B7" i="80" s="1"/>
  <c r="B25" i="78"/>
  <c r="B27" i="78" s="1"/>
  <c r="B28" i="78" s="1"/>
  <c r="B7" i="78" s="1"/>
  <c r="L31" i="96"/>
  <c r="L41" i="96"/>
  <c r="L30" i="96"/>
  <c r="L40" i="96"/>
  <c r="L34" i="96"/>
  <c r="L39" i="96"/>
  <c r="L35" i="96"/>
  <c r="L33" i="96"/>
  <c r="L37" i="96"/>
  <c r="L42" i="96"/>
  <c r="L38" i="96"/>
  <c r="L36" i="96"/>
  <c r="L32" i="96"/>
  <c r="L29" i="96"/>
  <c r="L32" i="95"/>
  <c r="L34" i="95"/>
  <c r="L38" i="95"/>
  <c r="L37" i="95"/>
  <c r="L41" i="95"/>
  <c r="L31" i="95"/>
  <c r="L42" i="95"/>
  <c r="L36" i="95"/>
  <c r="L40" i="95"/>
  <c r="L30" i="95"/>
  <c r="L35" i="95"/>
  <c r="L39" i="95"/>
  <c r="L33" i="95"/>
  <c r="L29" i="95"/>
  <c r="L30" i="91"/>
  <c r="L32" i="94"/>
  <c r="L35" i="94"/>
  <c r="L41" i="94"/>
  <c r="L38" i="94"/>
  <c r="L32" i="91"/>
  <c r="L33" i="94"/>
  <c r="L36" i="94"/>
  <c r="L30" i="94"/>
  <c r="L39" i="94"/>
  <c r="L39" i="91"/>
  <c r="L42" i="94"/>
  <c r="L37" i="94"/>
  <c r="L36" i="91"/>
  <c r="L40" i="94"/>
  <c r="L34" i="94"/>
  <c r="L31" i="94"/>
  <c r="L29" i="94"/>
  <c r="L38" i="91"/>
  <c r="L40" i="91"/>
  <c r="L33" i="91"/>
  <c r="L32" i="93"/>
  <c r="L31" i="93"/>
  <c r="L37" i="93"/>
  <c r="L38" i="93"/>
  <c r="L41" i="93"/>
  <c r="L34" i="93"/>
  <c r="L40" i="93"/>
  <c r="L39" i="93"/>
  <c r="L30" i="93"/>
  <c r="L29" i="93"/>
  <c r="L42" i="91"/>
  <c r="L35" i="91"/>
  <c r="L37" i="91"/>
  <c r="L35" i="93"/>
  <c r="L36" i="93"/>
  <c r="L42" i="93"/>
  <c r="L33" i="93"/>
  <c r="L36" i="90"/>
  <c r="L41" i="90"/>
  <c r="L40" i="92"/>
  <c r="L35" i="92"/>
  <c r="L29" i="92"/>
  <c r="L30" i="92"/>
  <c r="L34" i="90"/>
  <c r="L33" i="92"/>
  <c r="L34" i="92"/>
  <c r="L39" i="92"/>
  <c r="L32" i="90"/>
  <c r="L32" i="92"/>
  <c r="L37" i="92"/>
  <c r="L38" i="92"/>
  <c r="L29" i="91"/>
  <c r="L39" i="90"/>
  <c r="L34" i="91"/>
  <c r="L31" i="91"/>
  <c r="L41" i="91"/>
  <c r="L41" i="92"/>
  <c r="L42" i="92"/>
  <c r="L36" i="92"/>
  <c r="L31" i="92"/>
  <c r="L42" i="90"/>
  <c r="L30" i="90"/>
  <c r="L31" i="89"/>
  <c r="L34" i="89"/>
  <c r="L30" i="89"/>
  <c r="L37" i="89"/>
  <c r="L35" i="90"/>
  <c r="L31" i="90"/>
  <c r="L38" i="90"/>
  <c r="L33" i="89"/>
  <c r="L32" i="89"/>
  <c r="L37" i="90"/>
  <c r="L33" i="90"/>
  <c r="L29" i="90"/>
  <c r="L40" i="90"/>
  <c r="L34" i="88"/>
  <c r="L41" i="88"/>
  <c r="L37" i="88"/>
  <c r="L40" i="88"/>
  <c r="L39" i="88"/>
  <c r="L39" i="89"/>
  <c r="L41" i="89"/>
  <c r="L42" i="89"/>
  <c r="L36" i="89"/>
  <c r="L38" i="88"/>
  <c r="L38" i="89"/>
  <c r="L40" i="89"/>
  <c r="L35" i="89"/>
  <c r="L29" i="89"/>
  <c r="L42" i="88"/>
  <c r="L36" i="88"/>
  <c r="L31" i="88"/>
  <c r="L33" i="88"/>
  <c r="L35" i="88"/>
  <c r="L29" i="88"/>
  <c r="L30" i="88"/>
  <c r="L32" i="88"/>
  <c r="B28" i="87"/>
  <c r="B7" i="87" s="1"/>
  <c r="B25" i="86"/>
  <c r="B27" i="86" s="1"/>
  <c r="B28" i="86" s="1"/>
  <c r="B7" i="86" s="1"/>
  <c r="B28" i="84"/>
  <c r="B7" i="84" s="1"/>
  <c r="B28" i="83"/>
  <c r="B7" i="83" s="1"/>
  <c r="B28" i="82"/>
  <c r="B7" i="82" s="1"/>
  <c r="B25" i="81"/>
  <c r="B27" i="81" s="1"/>
  <c r="B28" i="81" s="1"/>
  <c r="B7" i="81" s="1"/>
  <c r="B25" i="79"/>
  <c r="B27" i="79" s="1"/>
  <c r="B28" i="79" s="1"/>
  <c r="B7" i="79" s="1"/>
  <c r="L43" i="96" l="1"/>
  <c r="B26" i="96" s="1"/>
  <c r="B45" i="96" s="1"/>
  <c r="B7" i="96" s="1"/>
  <c r="L43" i="95"/>
  <c r="B26" i="95" s="1"/>
  <c r="B45" i="95" s="1"/>
  <c r="B7" i="95" s="1"/>
  <c r="L43" i="93"/>
  <c r="B26" i="93" s="1"/>
  <c r="B45" i="93" s="1"/>
  <c r="B7" i="93" s="1"/>
  <c r="L43" i="94"/>
  <c r="B26" i="94" s="1"/>
  <c r="B45" i="94" s="1"/>
  <c r="B7" i="94" s="1"/>
  <c r="L43" i="91"/>
  <c r="B26" i="91" s="1"/>
  <c r="B45" i="91" s="1"/>
  <c r="B7" i="91" s="1"/>
  <c r="L43" i="92"/>
  <c r="B26" i="92" s="1"/>
  <c r="B45" i="92" s="1"/>
  <c r="B7" i="92" s="1"/>
  <c r="L43" i="90"/>
  <c r="B26" i="90" s="1"/>
  <c r="B45" i="90" s="1"/>
  <c r="B7" i="90" s="1"/>
  <c r="L43" i="89"/>
  <c r="B26" i="89" s="1"/>
  <c r="B45" i="89" s="1"/>
  <c r="B7" i="89" s="1"/>
  <c r="L43" i="88"/>
  <c r="B26" i="88" s="1"/>
  <c r="B45" i="88" s="1"/>
  <c r="B7" i="88" s="1"/>
  <c r="F42" i="22" l="1"/>
  <c r="F41" i="22"/>
  <c r="F40" i="22"/>
  <c r="F39" i="22"/>
  <c r="F38" i="22"/>
  <c r="F37" i="22"/>
  <c r="F36" i="22"/>
  <c r="F35" i="22"/>
  <c r="F34" i="22"/>
  <c r="F33" i="22"/>
  <c r="F32" i="22"/>
  <c r="F31" i="22"/>
  <c r="F30" i="22"/>
  <c r="F29" i="22"/>
  <c r="I42" i="22"/>
  <c r="I41" i="22"/>
  <c r="I40" i="22"/>
  <c r="I39" i="22"/>
  <c r="I38" i="22"/>
  <c r="I37" i="22"/>
  <c r="I36" i="22"/>
  <c r="I35" i="22"/>
  <c r="I34" i="22"/>
  <c r="I33" i="22"/>
  <c r="I32" i="22"/>
  <c r="I31" i="22"/>
  <c r="I30" i="22"/>
  <c r="I29" i="22"/>
  <c r="K42" i="22" l="1"/>
  <c r="K41" i="22"/>
  <c r="K40" i="22"/>
  <c r="K39" i="22"/>
  <c r="K38" i="22"/>
  <c r="K37" i="22"/>
  <c r="K36" i="22"/>
  <c r="K35" i="22"/>
  <c r="K34" i="22"/>
  <c r="K33" i="22"/>
  <c r="K32" i="22"/>
  <c r="K31" i="22"/>
  <c r="K30" i="22"/>
  <c r="K29" i="22"/>
  <c r="D256" i="72"/>
  <c r="D255" i="72"/>
  <c r="D254" i="72"/>
  <c r="D253" i="72"/>
  <c r="D252" i="72"/>
  <c r="D251" i="72"/>
  <c r="D250" i="72"/>
  <c r="D249" i="72"/>
  <c r="D248" i="72"/>
  <c r="D247" i="72"/>
  <c r="D246" i="72"/>
  <c r="D245" i="72"/>
  <c r="D244" i="72"/>
  <c r="D243" i="72"/>
  <c r="D242" i="72"/>
  <c r="D241" i="72"/>
  <c r="D240" i="72"/>
  <c r="D239" i="72"/>
  <c r="D238" i="72"/>
  <c r="D237" i="72"/>
  <c r="D236" i="72"/>
  <c r="D235" i="72"/>
  <c r="D234" i="72"/>
  <c r="D233" i="72"/>
  <c r="D232" i="72"/>
  <c r="D231" i="72"/>
  <c r="D230" i="72"/>
  <c r="D229" i="72"/>
  <c r="D228" i="72"/>
  <c r="D227" i="72"/>
  <c r="D226" i="72"/>
  <c r="D225" i="72"/>
  <c r="D224" i="72"/>
  <c r="D223" i="72"/>
  <c r="D222" i="72"/>
  <c r="D221" i="72"/>
  <c r="D220" i="72"/>
  <c r="D219" i="72"/>
  <c r="D218" i="72"/>
  <c r="D217" i="72"/>
  <c r="D216" i="72"/>
  <c r="D215" i="72"/>
  <c r="D214" i="72"/>
  <c r="D213" i="72"/>
  <c r="D212" i="72"/>
  <c r="D211" i="72"/>
  <c r="D210" i="72"/>
  <c r="D209" i="72"/>
  <c r="D208" i="72"/>
  <c r="D207" i="72"/>
  <c r="D206" i="72"/>
  <c r="D205" i="72"/>
  <c r="D204" i="72"/>
  <c r="D203" i="72"/>
  <c r="D202" i="72"/>
  <c r="D201" i="72"/>
  <c r="D200" i="72"/>
  <c r="D199" i="72"/>
  <c r="D198" i="72"/>
  <c r="D197" i="72"/>
  <c r="D196" i="72"/>
  <c r="D195" i="72"/>
  <c r="D194" i="72"/>
  <c r="D193" i="72"/>
  <c r="D192" i="72"/>
  <c r="D191" i="72"/>
  <c r="D190" i="72"/>
  <c r="D189" i="72"/>
  <c r="D188" i="72"/>
  <c r="D187" i="72"/>
  <c r="D186" i="72"/>
  <c r="D185" i="72"/>
  <c r="D184" i="72"/>
  <c r="D183" i="72"/>
  <c r="D182" i="72"/>
  <c r="D181" i="72"/>
  <c r="D180" i="72"/>
  <c r="D179" i="72"/>
  <c r="D178" i="72"/>
  <c r="D177" i="72"/>
  <c r="D176" i="72"/>
  <c r="D175" i="72"/>
  <c r="D174" i="72"/>
  <c r="D173" i="72"/>
  <c r="D172" i="72"/>
  <c r="D171" i="72"/>
  <c r="D170" i="72"/>
  <c r="D169" i="72"/>
  <c r="D168" i="72"/>
  <c r="D167" i="72"/>
  <c r="D166" i="72"/>
  <c r="D165" i="72"/>
  <c r="D164" i="72"/>
  <c r="D163" i="72"/>
  <c r="D162" i="72"/>
  <c r="D161" i="72"/>
  <c r="D160" i="72"/>
  <c r="D159" i="72"/>
  <c r="D158" i="72"/>
  <c r="D157" i="72"/>
  <c r="D156" i="72"/>
  <c r="D155" i="72"/>
  <c r="D154" i="72"/>
  <c r="D153" i="72"/>
  <c r="D152" i="72"/>
  <c r="D151" i="72"/>
  <c r="D150" i="72"/>
  <c r="D149" i="72"/>
  <c r="D148" i="72"/>
  <c r="D147" i="72"/>
  <c r="D146" i="72"/>
  <c r="D145" i="72"/>
  <c r="D144" i="72"/>
  <c r="D143" i="72"/>
  <c r="D142" i="72"/>
  <c r="D141" i="72"/>
  <c r="D140" i="72"/>
  <c r="D139" i="72"/>
  <c r="D138" i="72"/>
  <c r="D137" i="72"/>
  <c r="D136" i="72"/>
  <c r="D135" i="72"/>
  <c r="D134" i="72"/>
  <c r="D133" i="72"/>
  <c r="D132" i="72"/>
  <c r="D131" i="72"/>
  <c r="D130" i="72"/>
  <c r="D129" i="72"/>
  <c r="D128" i="72"/>
  <c r="D127" i="72"/>
  <c r="D126" i="72"/>
  <c r="D125" i="72"/>
  <c r="D124" i="72"/>
  <c r="D123" i="72"/>
  <c r="D122" i="72"/>
  <c r="D121" i="72"/>
  <c r="D120" i="72"/>
  <c r="D119" i="72"/>
  <c r="D118" i="72"/>
  <c r="D117" i="72"/>
  <c r="D116" i="72"/>
  <c r="D115" i="72"/>
  <c r="D114" i="72"/>
  <c r="D113" i="72"/>
  <c r="D112" i="72"/>
  <c r="D111" i="72"/>
  <c r="D110" i="72"/>
  <c r="D109" i="72"/>
  <c r="D108" i="72"/>
  <c r="D107" i="72"/>
  <c r="D106" i="72"/>
  <c r="D105" i="72"/>
  <c r="D104" i="72"/>
  <c r="D103" i="72"/>
  <c r="D102" i="72"/>
  <c r="D101" i="72"/>
  <c r="D100" i="72"/>
  <c r="D99" i="72"/>
  <c r="D98" i="72"/>
  <c r="D97" i="72"/>
  <c r="D96" i="72"/>
  <c r="D95" i="72"/>
  <c r="D94" i="72"/>
  <c r="D93" i="72"/>
  <c r="D92" i="72"/>
  <c r="D91" i="72"/>
  <c r="D90" i="72"/>
  <c r="D89" i="72"/>
  <c r="D88" i="72"/>
  <c r="D87" i="72"/>
  <c r="D86" i="72"/>
  <c r="D85" i="72"/>
  <c r="D84" i="72"/>
  <c r="D83" i="72"/>
  <c r="D82" i="72"/>
  <c r="D81" i="72"/>
  <c r="D80" i="72"/>
  <c r="D79" i="72"/>
  <c r="D78" i="72"/>
  <c r="D77" i="72"/>
  <c r="D76" i="72"/>
  <c r="D75" i="72"/>
  <c r="D74" i="72"/>
  <c r="D73" i="72"/>
  <c r="D72" i="72"/>
  <c r="D71" i="72"/>
  <c r="D70" i="72"/>
  <c r="D69" i="72"/>
  <c r="D68" i="72"/>
  <c r="E68" i="72" s="1"/>
  <c r="D67" i="72"/>
  <c r="D66" i="72"/>
  <c r="D65" i="72"/>
  <c r="D64" i="72"/>
  <c r="D63" i="72"/>
  <c r="D62" i="72"/>
  <c r="D61" i="72"/>
  <c r="D60" i="72"/>
  <c r="D59" i="72"/>
  <c r="D58" i="72"/>
  <c r="D57" i="72"/>
  <c r="D56" i="72"/>
  <c r="D55" i="72"/>
  <c r="D54" i="72"/>
  <c r="D53" i="72"/>
  <c r="D52" i="72"/>
  <c r="D51" i="72"/>
  <c r="D50" i="72"/>
  <c r="D49" i="72"/>
  <c r="D48" i="72"/>
  <c r="D47" i="72"/>
  <c r="D46" i="72"/>
  <c r="D45" i="72"/>
  <c r="D44" i="72"/>
  <c r="D43" i="72"/>
  <c r="D42" i="72"/>
  <c r="D41" i="72"/>
  <c r="D40" i="72"/>
  <c r="D39" i="72"/>
  <c r="D38" i="72"/>
  <c r="D37" i="72"/>
  <c r="D36" i="72"/>
  <c r="D35" i="72"/>
  <c r="D34" i="72"/>
  <c r="D33" i="72"/>
  <c r="D32" i="72"/>
  <c r="D31" i="72"/>
  <c r="D30" i="72"/>
  <c r="D29" i="72"/>
  <c r="D28" i="72"/>
  <c r="D27" i="72"/>
  <c r="D26" i="72"/>
  <c r="D25" i="72"/>
  <c r="D24" i="72"/>
  <c r="D23" i="72"/>
  <c r="D22" i="72"/>
  <c r="D21" i="72"/>
  <c r="D20" i="72"/>
  <c r="D19" i="72"/>
  <c r="D18" i="72"/>
  <c r="E17" i="72"/>
  <c r="D17" i="72"/>
  <c r="H6" i="72" s="1"/>
  <c r="D16" i="72"/>
  <c r="D15" i="72"/>
  <c r="D14" i="72"/>
  <c r="D13" i="72"/>
  <c r="D12" i="72"/>
  <c r="D11" i="72"/>
  <c r="D10" i="72"/>
  <c r="D9" i="72"/>
  <c r="D8" i="72"/>
  <c r="D7" i="72"/>
  <c r="D6" i="72"/>
  <c r="D5" i="72"/>
  <c r="H10" i="72" s="1"/>
  <c r="E49" i="72" s="1"/>
  <c r="D4" i="72"/>
  <c r="D3" i="72"/>
  <c r="H2" i="72"/>
  <c r="D2" i="72"/>
  <c r="D256" i="71"/>
  <c r="D255" i="71"/>
  <c r="D254" i="71"/>
  <c r="D253" i="71"/>
  <c r="D252" i="71"/>
  <c r="D251" i="71"/>
  <c r="D250" i="71"/>
  <c r="D249" i="71"/>
  <c r="D248" i="71"/>
  <c r="D247" i="71"/>
  <c r="D246" i="71"/>
  <c r="D245" i="71"/>
  <c r="D244" i="71"/>
  <c r="D243" i="71"/>
  <c r="D242" i="71"/>
  <c r="D241" i="71"/>
  <c r="D240" i="71"/>
  <c r="D239" i="71"/>
  <c r="D238" i="71"/>
  <c r="D237" i="71"/>
  <c r="D236" i="71"/>
  <c r="D235" i="71"/>
  <c r="D234" i="71"/>
  <c r="D233" i="71"/>
  <c r="D232" i="71"/>
  <c r="D231" i="71"/>
  <c r="D230" i="71"/>
  <c r="D229" i="71"/>
  <c r="D228" i="71"/>
  <c r="D227" i="71"/>
  <c r="D226" i="71"/>
  <c r="D225" i="71"/>
  <c r="D224" i="71"/>
  <c r="D223" i="71"/>
  <c r="D222" i="71"/>
  <c r="D221" i="71"/>
  <c r="D220" i="71"/>
  <c r="D219" i="71"/>
  <c r="D218" i="71"/>
  <c r="D217" i="71"/>
  <c r="D216" i="71"/>
  <c r="D215" i="71"/>
  <c r="D214" i="71"/>
  <c r="D213" i="71"/>
  <c r="D212" i="71"/>
  <c r="D211" i="71"/>
  <c r="D210" i="71"/>
  <c r="D209" i="71"/>
  <c r="D208" i="71"/>
  <c r="D207" i="71"/>
  <c r="D206" i="71"/>
  <c r="D205" i="71"/>
  <c r="D204" i="71"/>
  <c r="D203" i="71"/>
  <c r="D202" i="71"/>
  <c r="D201" i="71"/>
  <c r="D200" i="71"/>
  <c r="D199" i="71"/>
  <c r="D198" i="71"/>
  <c r="D197" i="71"/>
  <c r="D196" i="71"/>
  <c r="D195" i="71"/>
  <c r="D194" i="71"/>
  <c r="D193" i="71"/>
  <c r="D192" i="71"/>
  <c r="D191" i="71"/>
  <c r="D190" i="71"/>
  <c r="D189" i="71"/>
  <c r="D188" i="71"/>
  <c r="D187" i="71"/>
  <c r="D186" i="71"/>
  <c r="D185" i="71"/>
  <c r="D184" i="71"/>
  <c r="D183" i="71"/>
  <c r="D182" i="71"/>
  <c r="D181" i="71"/>
  <c r="D180" i="71"/>
  <c r="D179" i="71"/>
  <c r="D178" i="71"/>
  <c r="D177" i="71"/>
  <c r="D176" i="71"/>
  <c r="D175" i="71"/>
  <c r="D174" i="71"/>
  <c r="D173" i="71"/>
  <c r="D172" i="71"/>
  <c r="D171" i="71"/>
  <c r="D170" i="71"/>
  <c r="D169" i="71"/>
  <c r="D168" i="71"/>
  <c r="D167" i="71"/>
  <c r="D166" i="71"/>
  <c r="D165" i="71"/>
  <c r="D164" i="71"/>
  <c r="D163" i="71"/>
  <c r="D162" i="71"/>
  <c r="D161" i="71"/>
  <c r="D160" i="71"/>
  <c r="D159" i="71"/>
  <c r="D158" i="71"/>
  <c r="D157" i="71"/>
  <c r="D156" i="71"/>
  <c r="D155" i="71"/>
  <c r="D154" i="71"/>
  <c r="D153" i="71"/>
  <c r="D152" i="71"/>
  <c r="D151" i="71"/>
  <c r="D150" i="71"/>
  <c r="D149" i="71"/>
  <c r="D148" i="71"/>
  <c r="D147" i="71"/>
  <c r="D146" i="71"/>
  <c r="D145" i="71"/>
  <c r="D144" i="71"/>
  <c r="D143" i="71"/>
  <c r="D142" i="71"/>
  <c r="D141" i="71"/>
  <c r="D140" i="71"/>
  <c r="D139" i="71"/>
  <c r="D138" i="71"/>
  <c r="D137" i="71"/>
  <c r="D136" i="71"/>
  <c r="D135" i="71"/>
  <c r="D134" i="71"/>
  <c r="D133" i="71"/>
  <c r="D132" i="71"/>
  <c r="D131" i="71"/>
  <c r="D130" i="71"/>
  <c r="D129" i="71"/>
  <c r="D128" i="71"/>
  <c r="D127" i="71"/>
  <c r="D126" i="71"/>
  <c r="D125" i="71"/>
  <c r="D124" i="71"/>
  <c r="D123" i="71"/>
  <c r="D122" i="71"/>
  <c r="D121" i="71"/>
  <c r="D120" i="71"/>
  <c r="D119" i="71"/>
  <c r="D118" i="71"/>
  <c r="D117" i="71"/>
  <c r="D116" i="71"/>
  <c r="D115" i="71"/>
  <c r="D114" i="71"/>
  <c r="D113" i="71"/>
  <c r="D112" i="71"/>
  <c r="D111" i="71"/>
  <c r="D110" i="71"/>
  <c r="D109" i="71"/>
  <c r="D108" i="71"/>
  <c r="D107" i="71"/>
  <c r="D106" i="71"/>
  <c r="D105" i="71"/>
  <c r="D104" i="71"/>
  <c r="D103" i="71"/>
  <c r="D102" i="71"/>
  <c r="D101" i="71"/>
  <c r="D100" i="71"/>
  <c r="D99" i="71"/>
  <c r="D98" i="71"/>
  <c r="D97" i="71"/>
  <c r="D96" i="71"/>
  <c r="D95" i="71"/>
  <c r="D94" i="71"/>
  <c r="D93" i="71"/>
  <c r="D92" i="71"/>
  <c r="D91" i="71"/>
  <c r="D90" i="71"/>
  <c r="D89" i="71"/>
  <c r="D88" i="71"/>
  <c r="D87" i="71"/>
  <c r="D86" i="71"/>
  <c r="D85" i="71"/>
  <c r="D84" i="71"/>
  <c r="D83" i="71"/>
  <c r="D82" i="71"/>
  <c r="D81" i="71"/>
  <c r="D80" i="71"/>
  <c r="D79" i="71"/>
  <c r="D78" i="71"/>
  <c r="D77" i="71"/>
  <c r="D76" i="71"/>
  <c r="D75" i="71"/>
  <c r="D74" i="71"/>
  <c r="D73" i="71"/>
  <c r="D72" i="71"/>
  <c r="D71" i="71"/>
  <c r="D70" i="71"/>
  <c r="D69" i="71"/>
  <c r="D68" i="71"/>
  <c r="D67" i="71"/>
  <c r="D66" i="71"/>
  <c r="D65" i="71"/>
  <c r="D64" i="71"/>
  <c r="D63" i="71"/>
  <c r="D62" i="71"/>
  <c r="D61" i="71"/>
  <c r="D60" i="71"/>
  <c r="D59" i="71"/>
  <c r="D58" i="71"/>
  <c r="D57" i="71"/>
  <c r="D56" i="71"/>
  <c r="D55" i="71"/>
  <c r="D54" i="71"/>
  <c r="D53" i="71"/>
  <c r="D52" i="71"/>
  <c r="D51" i="71"/>
  <c r="D50" i="71"/>
  <c r="D49" i="71"/>
  <c r="D48" i="71"/>
  <c r="D47" i="71"/>
  <c r="D46" i="71"/>
  <c r="D45" i="71"/>
  <c r="D44" i="71"/>
  <c r="D43" i="71"/>
  <c r="D42" i="71"/>
  <c r="D41" i="71"/>
  <c r="D40" i="71"/>
  <c r="D39" i="71"/>
  <c r="D38" i="71"/>
  <c r="D37" i="71"/>
  <c r="D36" i="71"/>
  <c r="D35" i="71"/>
  <c r="D34" i="71"/>
  <c r="D33" i="71"/>
  <c r="D32" i="71"/>
  <c r="D31" i="71"/>
  <c r="D30" i="71"/>
  <c r="D29" i="71"/>
  <c r="D28" i="71"/>
  <c r="D27" i="71"/>
  <c r="D26" i="71"/>
  <c r="D25" i="71"/>
  <c r="D24" i="71"/>
  <c r="D23" i="71"/>
  <c r="D22" i="71"/>
  <c r="D21" i="71"/>
  <c r="H4" i="71" s="1"/>
  <c r="E75" i="71" s="1"/>
  <c r="D20" i="71"/>
  <c r="D19" i="71"/>
  <c r="D18" i="71"/>
  <c r="D17" i="71"/>
  <c r="D16" i="71"/>
  <c r="D15" i="71"/>
  <c r="D14" i="71"/>
  <c r="D13" i="71"/>
  <c r="D12" i="71"/>
  <c r="D11" i="71"/>
  <c r="D10" i="71"/>
  <c r="D9" i="71"/>
  <c r="D8" i="71"/>
  <c r="D7" i="71"/>
  <c r="D6" i="71"/>
  <c r="D5" i="71"/>
  <c r="H10" i="71" s="1"/>
  <c r="D4" i="71"/>
  <c r="D3" i="71"/>
  <c r="D2" i="71"/>
  <c r="G43" i="22"/>
  <c r="E43" i="22"/>
  <c r="H42" i="22"/>
  <c r="H41" i="22"/>
  <c r="H40" i="22"/>
  <c r="H39" i="22"/>
  <c r="H38" i="22"/>
  <c r="H37" i="22"/>
  <c r="H36" i="22"/>
  <c r="H35" i="22"/>
  <c r="H34" i="22"/>
  <c r="H33" i="22"/>
  <c r="H32" i="22"/>
  <c r="H31" i="22"/>
  <c r="H30" i="22"/>
  <c r="H29" i="22"/>
  <c r="P250" i="70"/>
  <c r="O250" i="70"/>
  <c r="N250" i="70"/>
  <c r="M250" i="70"/>
  <c r="L250" i="70"/>
  <c r="K250" i="70"/>
  <c r="J250" i="70"/>
  <c r="I250" i="70"/>
  <c r="H250" i="70"/>
  <c r="G250" i="70"/>
  <c r="F250" i="70"/>
  <c r="E250" i="70"/>
  <c r="D250" i="70"/>
  <c r="Q250" i="70" s="1"/>
  <c r="C250" i="70"/>
  <c r="B250" i="70"/>
  <c r="AD249" i="70"/>
  <c r="Q249" i="70"/>
  <c r="B249" i="70"/>
  <c r="AC248" i="70"/>
  <c r="AB248" i="70"/>
  <c r="X248" i="70"/>
  <c r="U248" i="70"/>
  <c r="T248" i="70"/>
  <c r="Q248" i="70"/>
  <c r="B248" i="70"/>
  <c r="AF247" i="70"/>
  <c r="AE247" i="70"/>
  <c r="AB247" i="70"/>
  <c r="AA247" i="70"/>
  <c r="X247" i="70"/>
  <c r="W247" i="70"/>
  <c r="T247" i="70"/>
  <c r="S247" i="70"/>
  <c r="Q247" i="70"/>
  <c r="AC247" i="70" s="1"/>
  <c r="B247" i="70"/>
  <c r="AE246" i="70"/>
  <c r="AD246" i="70"/>
  <c r="AA246" i="70"/>
  <c r="Z246" i="70"/>
  <c r="W246" i="70"/>
  <c r="V246" i="70"/>
  <c r="T246" i="70"/>
  <c r="S246" i="70"/>
  <c r="R246" i="70"/>
  <c r="Q246" i="70"/>
  <c r="B246" i="70"/>
  <c r="AD245" i="70"/>
  <c r="AC245" i="70"/>
  <c r="V245" i="70"/>
  <c r="U245" i="70"/>
  <c r="Q245" i="70"/>
  <c r="Z245" i="70" s="1"/>
  <c r="B245" i="70"/>
  <c r="AB244" i="70"/>
  <c r="Q244" i="70"/>
  <c r="B244" i="70"/>
  <c r="AE243" i="70"/>
  <c r="AD243" i="70"/>
  <c r="AB243" i="70"/>
  <c r="AA243" i="70"/>
  <c r="Z243" i="70"/>
  <c r="X243" i="70"/>
  <c r="W243" i="70"/>
  <c r="V243" i="70"/>
  <c r="T243" i="70"/>
  <c r="S243" i="70"/>
  <c r="R243" i="70"/>
  <c r="Q243" i="70"/>
  <c r="AC243" i="70" s="1"/>
  <c r="B243" i="70"/>
  <c r="AE242" i="70"/>
  <c r="AD242" i="70"/>
  <c r="Z242" i="70"/>
  <c r="Y242" i="70"/>
  <c r="U242" i="70"/>
  <c r="S242" i="70"/>
  <c r="Q242" i="70"/>
  <c r="AC242" i="70" s="1"/>
  <c r="B242" i="70"/>
  <c r="AD241" i="70"/>
  <c r="AC241" i="70"/>
  <c r="Z241" i="70"/>
  <c r="Y241" i="70"/>
  <c r="X241" i="70"/>
  <c r="U241" i="70"/>
  <c r="T241" i="70"/>
  <c r="R241" i="70"/>
  <c r="Q241" i="70"/>
  <c r="B241" i="70"/>
  <c r="Q240" i="70"/>
  <c r="AB240" i="70" s="1"/>
  <c r="B240" i="70"/>
  <c r="AE239" i="70"/>
  <c r="AD239" i="70"/>
  <c r="AB239" i="70"/>
  <c r="AA239" i="70"/>
  <c r="Z239" i="70"/>
  <c r="X239" i="70"/>
  <c r="W239" i="70"/>
  <c r="V239" i="70"/>
  <c r="T239" i="70"/>
  <c r="S239" i="70"/>
  <c r="R239" i="70"/>
  <c r="Q239" i="70"/>
  <c r="AC239" i="70" s="1"/>
  <c r="B239" i="70"/>
  <c r="AE238" i="70"/>
  <c r="AD238" i="70"/>
  <c r="AC238" i="70"/>
  <c r="Z238" i="70"/>
  <c r="Y238" i="70"/>
  <c r="W238" i="70"/>
  <c r="U238" i="70"/>
  <c r="S238" i="70"/>
  <c r="R238" i="70"/>
  <c r="Q238" i="70"/>
  <c r="B238" i="70"/>
  <c r="AC237" i="70"/>
  <c r="X237" i="70"/>
  <c r="V237" i="70"/>
  <c r="R237" i="70"/>
  <c r="Q237" i="70"/>
  <c r="B237" i="70"/>
  <c r="AE236" i="70"/>
  <c r="AA236" i="70"/>
  <c r="Y236" i="70"/>
  <c r="U236" i="70"/>
  <c r="T236" i="70"/>
  <c r="Q236" i="70"/>
  <c r="AC236" i="70" s="1"/>
  <c r="B236" i="70"/>
  <c r="AE235" i="70"/>
  <c r="AD235" i="70"/>
  <c r="AB235" i="70"/>
  <c r="AA235" i="70"/>
  <c r="Z235" i="70"/>
  <c r="X235" i="70"/>
  <c r="W235" i="70"/>
  <c r="V235" i="70"/>
  <c r="T235" i="70"/>
  <c r="S235" i="70"/>
  <c r="R235" i="70"/>
  <c r="Q235" i="70"/>
  <c r="AC235" i="70" s="1"/>
  <c r="B235" i="70"/>
  <c r="AC234" i="70"/>
  <c r="V234" i="70"/>
  <c r="R234" i="70"/>
  <c r="Q234" i="70"/>
  <c r="B234" i="70"/>
  <c r="AF233" i="70"/>
  <c r="V233" i="70"/>
  <c r="U233" i="70"/>
  <c r="Q233" i="70"/>
  <c r="B233" i="70"/>
  <c r="AE232" i="70"/>
  <c r="AC232" i="70"/>
  <c r="AA232" i="70"/>
  <c r="Y232" i="70"/>
  <c r="X232" i="70"/>
  <c r="U232" i="70"/>
  <c r="T232" i="70"/>
  <c r="S232" i="70"/>
  <c r="Q232" i="70"/>
  <c r="B232" i="70"/>
  <c r="Q231" i="70"/>
  <c r="AA231" i="70" s="1"/>
  <c r="B231" i="70"/>
  <c r="AF230" i="70"/>
  <c r="AC230" i="70"/>
  <c r="X230" i="70"/>
  <c r="U230" i="70"/>
  <c r="Q230" i="70"/>
  <c r="AB230" i="70" s="1"/>
  <c r="B230" i="70"/>
  <c r="AF229" i="70"/>
  <c r="AE229" i="70"/>
  <c r="AB229" i="70"/>
  <c r="AA229" i="70"/>
  <c r="X229" i="70"/>
  <c r="W229" i="70"/>
  <c r="T229" i="70"/>
  <c r="S229" i="70"/>
  <c r="Q229" i="70"/>
  <c r="AC229" i="70" s="1"/>
  <c r="B229" i="70"/>
  <c r="AF228" i="70"/>
  <c r="AE228" i="70"/>
  <c r="AD228" i="70"/>
  <c r="AB228" i="70"/>
  <c r="AA228" i="70"/>
  <c r="Z228" i="70"/>
  <c r="X228" i="70"/>
  <c r="W228" i="70"/>
  <c r="V228" i="70"/>
  <c r="T228" i="70"/>
  <c r="S228" i="70"/>
  <c r="R228" i="70"/>
  <c r="Q228" i="70"/>
  <c r="AC228" i="70" s="1"/>
  <c r="B228" i="70"/>
  <c r="AE227" i="70"/>
  <c r="AD227" i="70"/>
  <c r="Z227" i="70"/>
  <c r="Y227" i="70"/>
  <c r="U227" i="70"/>
  <c r="S227" i="70"/>
  <c r="Q227" i="70"/>
  <c r="AC227" i="70" s="1"/>
  <c r="B227" i="70"/>
  <c r="AD226" i="70"/>
  <c r="AC226" i="70"/>
  <c r="Y226" i="70"/>
  <c r="X226" i="70"/>
  <c r="T226" i="70"/>
  <c r="R226" i="70"/>
  <c r="Q226" i="70"/>
  <c r="B226" i="70"/>
  <c r="AF225" i="70"/>
  <c r="AA225" i="70"/>
  <c r="U225" i="70"/>
  <c r="Q225" i="70"/>
  <c r="B225" i="70"/>
  <c r="AE224" i="70"/>
  <c r="AD224" i="70"/>
  <c r="AB224" i="70"/>
  <c r="AA224" i="70"/>
  <c r="Z224" i="70"/>
  <c r="X224" i="70"/>
  <c r="W224" i="70"/>
  <c r="V224" i="70"/>
  <c r="T224" i="70"/>
  <c r="S224" i="70"/>
  <c r="R224" i="70"/>
  <c r="Q224" i="70"/>
  <c r="AC224" i="70" s="1"/>
  <c r="B224" i="70"/>
  <c r="AE223" i="70"/>
  <c r="AD223" i="70"/>
  <c r="AC223" i="70"/>
  <c r="Z223" i="70"/>
  <c r="Y223" i="70"/>
  <c r="W223" i="70"/>
  <c r="U223" i="70"/>
  <c r="S223" i="70"/>
  <c r="R223" i="70"/>
  <c r="Q223" i="70"/>
  <c r="B223" i="70"/>
  <c r="AC222" i="70"/>
  <c r="X222" i="70"/>
  <c r="V222" i="70"/>
  <c r="R222" i="70"/>
  <c r="Q222" i="70"/>
  <c r="B222" i="70"/>
  <c r="AE221" i="70"/>
  <c r="AA221" i="70"/>
  <c r="Z221" i="70"/>
  <c r="W221" i="70"/>
  <c r="V221" i="70"/>
  <c r="S221" i="70"/>
  <c r="R221" i="70"/>
  <c r="Q221" i="70"/>
  <c r="AD221" i="70" s="1"/>
  <c r="B221" i="70"/>
  <c r="Q220" i="70"/>
  <c r="B220" i="70"/>
  <c r="Y219" i="70"/>
  <c r="U219" i="70"/>
  <c r="Q219" i="70"/>
  <c r="B219" i="70"/>
  <c r="AF218" i="70"/>
  <c r="AE218" i="70"/>
  <c r="AD218" i="70"/>
  <c r="AB218" i="70"/>
  <c r="AA218" i="70"/>
  <c r="Z218" i="70"/>
  <c r="X218" i="70"/>
  <c r="W218" i="70"/>
  <c r="V218" i="70"/>
  <c r="T218" i="70"/>
  <c r="S218" i="70"/>
  <c r="R218" i="70"/>
  <c r="Q218" i="70"/>
  <c r="AC218" i="70" s="1"/>
  <c r="B218" i="70"/>
  <c r="AE217" i="70"/>
  <c r="AD217" i="70"/>
  <c r="AA217" i="70"/>
  <c r="Z217" i="70"/>
  <c r="W217" i="70"/>
  <c r="V217" i="70"/>
  <c r="S217" i="70"/>
  <c r="R217" i="70"/>
  <c r="Q217" i="70"/>
  <c r="B217" i="70"/>
  <c r="Q216" i="70"/>
  <c r="B216" i="70"/>
  <c r="AC215" i="70"/>
  <c r="Y215" i="70"/>
  <c r="U215" i="70"/>
  <c r="Q215" i="70"/>
  <c r="B215" i="70"/>
  <c r="AF214" i="70"/>
  <c r="AE214" i="70"/>
  <c r="AD214" i="70"/>
  <c r="AB214" i="70"/>
  <c r="AA214" i="70"/>
  <c r="Z214" i="70"/>
  <c r="X214" i="70"/>
  <c r="W214" i="70"/>
  <c r="V214" i="70"/>
  <c r="T214" i="70"/>
  <c r="S214" i="70"/>
  <c r="R214" i="70"/>
  <c r="Q214" i="70"/>
  <c r="AC214" i="70" s="1"/>
  <c r="B214" i="70"/>
  <c r="AE213" i="70"/>
  <c r="AD213" i="70"/>
  <c r="AA213" i="70"/>
  <c r="Z213" i="70"/>
  <c r="W213" i="70"/>
  <c r="V213" i="70"/>
  <c r="S213" i="70"/>
  <c r="R213" i="70"/>
  <c r="Q213" i="70"/>
  <c r="B213" i="70"/>
  <c r="Y212" i="70"/>
  <c r="U212" i="70"/>
  <c r="Q212" i="70"/>
  <c r="B212" i="70"/>
  <c r="Q211" i="70"/>
  <c r="AC211" i="70" s="1"/>
  <c r="B211" i="70"/>
  <c r="AF210" i="70"/>
  <c r="AE210" i="70"/>
  <c r="AD210" i="70"/>
  <c r="AB210" i="70"/>
  <c r="AA210" i="70"/>
  <c r="Z210" i="70"/>
  <c r="X210" i="70"/>
  <c r="W210" i="70"/>
  <c r="V210" i="70"/>
  <c r="T210" i="70"/>
  <c r="S210" i="70"/>
  <c r="R210" i="70"/>
  <c r="Q210" i="70"/>
  <c r="AC210" i="70" s="1"/>
  <c r="B210" i="70"/>
  <c r="AE209" i="70"/>
  <c r="AD209" i="70"/>
  <c r="AA209" i="70"/>
  <c r="Z209" i="70"/>
  <c r="W209" i="70"/>
  <c r="V209" i="70"/>
  <c r="S209" i="70"/>
  <c r="R209" i="70"/>
  <c r="Q209" i="70"/>
  <c r="B209" i="70"/>
  <c r="AC208" i="70"/>
  <c r="Y208" i="70"/>
  <c r="U208" i="70"/>
  <c r="Q208" i="70"/>
  <c r="B208" i="70"/>
  <c r="Q207" i="70"/>
  <c r="U207" i="70" s="1"/>
  <c r="B207" i="70"/>
  <c r="AF206" i="70"/>
  <c r="AE206" i="70"/>
  <c r="AD206" i="70"/>
  <c r="AB206" i="70"/>
  <c r="AA206" i="70"/>
  <c r="Z206" i="70"/>
  <c r="X206" i="70"/>
  <c r="W206" i="70"/>
  <c r="V206" i="70"/>
  <c r="T206" i="70"/>
  <c r="S206" i="70"/>
  <c r="R206" i="70"/>
  <c r="Q206" i="70"/>
  <c r="AC206" i="70" s="1"/>
  <c r="B206" i="70"/>
  <c r="AE205" i="70"/>
  <c r="AD205" i="70"/>
  <c r="AA205" i="70"/>
  <c r="Z205" i="70"/>
  <c r="W205" i="70"/>
  <c r="V205" i="70"/>
  <c r="S205" i="70"/>
  <c r="R205" i="70"/>
  <c r="Q205" i="70"/>
  <c r="B205" i="70"/>
  <c r="Q204" i="70"/>
  <c r="B204" i="70"/>
  <c r="Y203" i="70"/>
  <c r="U203" i="70"/>
  <c r="Q203" i="70"/>
  <c r="B203" i="70"/>
  <c r="AF202" i="70"/>
  <c r="AE202" i="70"/>
  <c r="AD202" i="70"/>
  <c r="AB202" i="70"/>
  <c r="AA202" i="70"/>
  <c r="Z202" i="70"/>
  <c r="X202" i="70"/>
  <c r="W202" i="70"/>
  <c r="V202" i="70"/>
  <c r="T202" i="70"/>
  <c r="S202" i="70"/>
  <c r="R202" i="70"/>
  <c r="Q202" i="70"/>
  <c r="AC202" i="70" s="1"/>
  <c r="B202" i="70"/>
  <c r="AE201" i="70"/>
  <c r="AD201" i="70"/>
  <c r="AA201" i="70"/>
  <c r="Z201" i="70"/>
  <c r="W201" i="70"/>
  <c r="V201" i="70"/>
  <c r="S201" i="70"/>
  <c r="R201" i="70"/>
  <c r="Q201" i="70"/>
  <c r="B201" i="70"/>
  <c r="Q200" i="70"/>
  <c r="B200" i="70"/>
  <c r="AC199" i="70"/>
  <c r="Y199" i="70"/>
  <c r="U199" i="70"/>
  <c r="Q199" i="70"/>
  <c r="B199" i="70"/>
  <c r="AF198" i="70"/>
  <c r="AE198" i="70"/>
  <c r="AD198" i="70"/>
  <c r="AB198" i="70"/>
  <c r="AA198" i="70"/>
  <c r="Z198" i="70"/>
  <c r="X198" i="70"/>
  <c r="W198" i="70"/>
  <c r="V198" i="70"/>
  <c r="T198" i="70"/>
  <c r="S198" i="70"/>
  <c r="R198" i="70"/>
  <c r="Q198" i="70"/>
  <c r="AC198" i="70" s="1"/>
  <c r="B198" i="70"/>
  <c r="AE197" i="70"/>
  <c r="AD197" i="70"/>
  <c r="AA197" i="70"/>
  <c r="Z197" i="70"/>
  <c r="W197" i="70"/>
  <c r="V197" i="70"/>
  <c r="S197" i="70"/>
  <c r="R197" i="70"/>
  <c r="Q197" i="70"/>
  <c r="B197" i="70"/>
  <c r="Y196" i="70"/>
  <c r="U196" i="70"/>
  <c r="Q196" i="70"/>
  <c r="B196" i="70"/>
  <c r="Q195" i="70"/>
  <c r="B195" i="70"/>
  <c r="AF194" i="70"/>
  <c r="AE194" i="70"/>
  <c r="AD194" i="70"/>
  <c r="AB194" i="70"/>
  <c r="AA194" i="70"/>
  <c r="Z194" i="70"/>
  <c r="X194" i="70"/>
  <c r="W194" i="70"/>
  <c r="V194" i="70"/>
  <c r="T194" i="70"/>
  <c r="S194" i="70"/>
  <c r="R194" i="70"/>
  <c r="Q194" i="70"/>
  <c r="AC194" i="70" s="1"/>
  <c r="B194" i="70"/>
  <c r="AE193" i="70"/>
  <c r="AD193" i="70"/>
  <c r="AA193" i="70"/>
  <c r="Z193" i="70"/>
  <c r="W193" i="70"/>
  <c r="V193" i="70"/>
  <c r="S193" i="70"/>
  <c r="R193" i="70"/>
  <c r="Q193" i="70"/>
  <c r="B193" i="70"/>
  <c r="AC192" i="70"/>
  <c r="Y192" i="70"/>
  <c r="U192" i="70"/>
  <c r="Q192" i="70"/>
  <c r="B192" i="70"/>
  <c r="AE191" i="70"/>
  <c r="Y191" i="70"/>
  <c r="W191" i="70"/>
  <c r="T191" i="70"/>
  <c r="Q191" i="70"/>
  <c r="B191" i="70"/>
  <c r="AE190" i="70"/>
  <c r="AD190" i="70"/>
  <c r="AB190" i="70"/>
  <c r="AA190" i="70"/>
  <c r="Z190" i="70"/>
  <c r="X190" i="70"/>
  <c r="W190" i="70"/>
  <c r="V190" i="70"/>
  <c r="T190" i="70"/>
  <c r="S190" i="70"/>
  <c r="R190" i="70"/>
  <c r="Q190" i="70"/>
  <c r="AC190" i="70" s="1"/>
  <c r="B190" i="70"/>
  <c r="S189" i="70"/>
  <c r="Q189" i="70"/>
  <c r="B189" i="70"/>
  <c r="AF188" i="70"/>
  <c r="AC188" i="70"/>
  <c r="AB188" i="70"/>
  <c r="Z188" i="70"/>
  <c r="X188" i="70"/>
  <c r="W188" i="70"/>
  <c r="V188" i="70"/>
  <c r="T188" i="70"/>
  <c r="S188" i="70"/>
  <c r="R188" i="70"/>
  <c r="Q188" i="70"/>
  <c r="B188" i="70"/>
  <c r="AE187" i="70"/>
  <c r="Y187" i="70"/>
  <c r="Q187" i="70"/>
  <c r="W187" i="70" s="1"/>
  <c r="B187" i="70"/>
  <c r="AF186" i="70"/>
  <c r="AD186" i="70"/>
  <c r="AB186" i="70"/>
  <c r="Z186" i="70"/>
  <c r="X186" i="70"/>
  <c r="V186" i="70"/>
  <c r="T186" i="70"/>
  <c r="R186" i="70"/>
  <c r="Q186" i="70"/>
  <c r="AE186" i="70" s="1"/>
  <c r="B186" i="70"/>
  <c r="AA185" i="70"/>
  <c r="Y185" i="70"/>
  <c r="S185" i="70"/>
  <c r="Q185" i="70"/>
  <c r="B185" i="70"/>
  <c r="AF184" i="70"/>
  <c r="AE184" i="70"/>
  <c r="AD184" i="70"/>
  <c r="AB184" i="70"/>
  <c r="AA184" i="70"/>
  <c r="Z184" i="70"/>
  <c r="X184" i="70"/>
  <c r="W184" i="70"/>
  <c r="V184" i="70"/>
  <c r="T184" i="70"/>
  <c r="S184" i="70"/>
  <c r="R184" i="70"/>
  <c r="Q184" i="70"/>
  <c r="AC184" i="70" s="1"/>
  <c r="B184" i="70"/>
  <c r="AC183" i="70"/>
  <c r="AA183" i="70"/>
  <c r="U183" i="70"/>
  <c r="S183" i="70"/>
  <c r="Q183" i="70"/>
  <c r="B183" i="70"/>
  <c r="AF182" i="70"/>
  <c r="AD182" i="70"/>
  <c r="AB182" i="70"/>
  <c r="Z182" i="70"/>
  <c r="X182" i="70"/>
  <c r="V182" i="70"/>
  <c r="T182" i="70"/>
  <c r="R182" i="70"/>
  <c r="Q182" i="70"/>
  <c r="AE182" i="70" s="1"/>
  <c r="B182" i="70"/>
  <c r="AE181" i="70"/>
  <c r="AC181" i="70"/>
  <c r="AA181" i="70"/>
  <c r="W181" i="70"/>
  <c r="U181" i="70"/>
  <c r="S181" i="70"/>
  <c r="Q181" i="70"/>
  <c r="B181" i="70"/>
  <c r="AF180" i="70"/>
  <c r="AE180" i="70"/>
  <c r="AD180" i="70"/>
  <c r="AB180" i="70"/>
  <c r="AA180" i="70"/>
  <c r="Z180" i="70"/>
  <c r="X180" i="70"/>
  <c r="W180" i="70"/>
  <c r="V180" i="70"/>
  <c r="T180" i="70"/>
  <c r="S180" i="70"/>
  <c r="R180" i="70"/>
  <c r="Q180" i="70"/>
  <c r="AC180" i="70" s="1"/>
  <c r="B180" i="70"/>
  <c r="AE179" i="70"/>
  <c r="Y179" i="70"/>
  <c r="W179" i="70"/>
  <c r="Q179" i="70"/>
  <c r="B179" i="70"/>
  <c r="AF178" i="70"/>
  <c r="AD178" i="70"/>
  <c r="AC178" i="70"/>
  <c r="Z178" i="70"/>
  <c r="Y178" i="70"/>
  <c r="X178" i="70"/>
  <c r="U178" i="70"/>
  <c r="T178" i="70"/>
  <c r="R178" i="70"/>
  <c r="Q178" i="70"/>
  <c r="B178" i="70"/>
  <c r="AC177" i="70"/>
  <c r="X177" i="70"/>
  <c r="W177" i="70"/>
  <c r="S177" i="70"/>
  <c r="Q177" i="70"/>
  <c r="B177" i="70"/>
  <c r="AF176" i="70"/>
  <c r="AE176" i="70"/>
  <c r="AD176" i="70"/>
  <c r="AB176" i="70"/>
  <c r="AA176" i="70"/>
  <c r="Z176" i="70"/>
  <c r="X176" i="70"/>
  <c r="W176" i="70"/>
  <c r="V176" i="70"/>
  <c r="T176" i="70"/>
  <c r="S176" i="70"/>
  <c r="R176" i="70"/>
  <c r="Q176" i="70"/>
  <c r="AC176" i="70" s="1"/>
  <c r="B176" i="70"/>
  <c r="AE175" i="70"/>
  <c r="AD175" i="70"/>
  <c r="AC175" i="70"/>
  <c r="Z175" i="70"/>
  <c r="Y175" i="70"/>
  <c r="W175" i="70"/>
  <c r="U175" i="70"/>
  <c r="S175" i="70"/>
  <c r="R175" i="70"/>
  <c r="Q175" i="70"/>
  <c r="B175" i="70"/>
  <c r="AE174" i="70"/>
  <c r="AD174" i="70"/>
  <c r="AA174" i="70"/>
  <c r="Z174" i="70"/>
  <c r="W174" i="70"/>
  <c r="V174" i="70"/>
  <c r="S174" i="70"/>
  <c r="R174" i="70"/>
  <c r="Q174" i="70"/>
  <c r="AF174" i="70" s="1"/>
  <c r="B174" i="70"/>
  <c r="Q173" i="70"/>
  <c r="Z173" i="70" s="1"/>
  <c r="B173" i="70"/>
  <c r="AF172" i="70"/>
  <c r="AC172" i="70"/>
  <c r="X172" i="70"/>
  <c r="U172" i="70"/>
  <c r="Q172" i="70"/>
  <c r="AB172" i="70" s="1"/>
  <c r="B172" i="70"/>
  <c r="AF171" i="70"/>
  <c r="AE171" i="70"/>
  <c r="AD171" i="70"/>
  <c r="AB171" i="70"/>
  <c r="AA171" i="70"/>
  <c r="Z171" i="70"/>
  <c r="X171" i="70"/>
  <c r="W171" i="70"/>
  <c r="V171" i="70"/>
  <c r="T171" i="70"/>
  <c r="S171" i="70"/>
  <c r="R171" i="70"/>
  <c r="Q171" i="70"/>
  <c r="AC171" i="70" s="1"/>
  <c r="B171" i="70"/>
  <c r="AE170" i="70"/>
  <c r="AD170" i="70"/>
  <c r="AA170" i="70"/>
  <c r="Z170" i="70"/>
  <c r="W170" i="70"/>
  <c r="V170" i="70"/>
  <c r="S170" i="70"/>
  <c r="R170" i="70"/>
  <c r="Q170" i="70"/>
  <c r="AF170" i="70" s="1"/>
  <c r="B170" i="70"/>
  <c r="AD169" i="70"/>
  <c r="AC169" i="70"/>
  <c r="V169" i="70"/>
  <c r="U169" i="70"/>
  <c r="Q169" i="70"/>
  <c r="Z169" i="70" s="1"/>
  <c r="B169" i="70"/>
  <c r="AB168" i="70"/>
  <c r="Y168" i="70"/>
  <c r="Q168" i="70"/>
  <c r="T168" i="70" s="1"/>
  <c r="B168" i="70"/>
  <c r="AF167" i="70"/>
  <c r="AE167" i="70"/>
  <c r="AD167" i="70"/>
  <c r="AB167" i="70"/>
  <c r="AA167" i="70"/>
  <c r="Z167" i="70"/>
  <c r="X167" i="70"/>
  <c r="W167" i="70"/>
  <c r="V167" i="70"/>
  <c r="T167" i="70"/>
  <c r="S167" i="70"/>
  <c r="R167" i="70"/>
  <c r="Q167" i="70"/>
  <c r="AC167" i="70" s="1"/>
  <c r="B167" i="70"/>
  <c r="AE166" i="70"/>
  <c r="AD166" i="70"/>
  <c r="AA166" i="70"/>
  <c r="Z166" i="70"/>
  <c r="W166" i="70"/>
  <c r="V166" i="70"/>
  <c r="S166" i="70"/>
  <c r="R166" i="70"/>
  <c r="Q166" i="70"/>
  <c r="AF166" i="70" s="1"/>
  <c r="B166" i="70"/>
  <c r="Z165" i="70"/>
  <c r="Y165" i="70"/>
  <c r="R165" i="70"/>
  <c r="Q165" i="70"/>
  <c r="B165" i="70"/>
  <c r="AF164" i="70"/>
  <c r="AC164" i="70"/>
  <c r="AB164" i="70"/>
  <c r="X164" i="70"/>
  <c r="U164" i="70"/>
  <c r="T164" i="70"/>
  <c r="Q164" i="70"/>
  <c r="B164" i="70"/>
  <c r="AF163" i="70"/>
  <c r="AE163" i="70"/>
  <c r="AD163" i="70"/>
  <c r="AB163" i="70"/>
  <c r="AA163" i="70"/>
  <c r="Z163" i="70"/>
  <c r="X163" i="70"/>
  <c r="W163" i="70"/>
  <c r="V163" i="70"/>
  <c r="T163" i="70"/>
  <c r="S163" i="70"/>
  <c r="R163" i="70"/>
  <c r="Q163" i="70"/>
  <c r="AC163" i="70" s="1"/>
  <c r="B163" i="70"/>
  <c r="AE162" i="70"/>
  <c r="AD162" i="70"/>
  <c r="AA162" i="70"/>
  <c r="Z162" i="70"/>
  <c r="W162" i="70"/>
  <c r="V162" i="70"/>
  <c r="S162" i="70"/>
  <c r="R162" i="70"/>
  <c r="Q162" i="70"/>
  <c r="AF162" i="70" s="1"/>
  <c r="B162" i="70"/>
  <c r="AD161" i="70"/>
  <c r="AC161" i="70"/>
  <c r="Z161" i="70"/>
  <c r="V161" i="70"/>
  <c r="U161" i="70"/>
  <c r="R161" i="70"/>
  <c r="Q161" i="70"/>
  <c r="B161" i="70"/>
  <c r="Q160" i="70"/>
  <c r="AB160" i="70" s="1"/>
  <c r="B160" i="70"/>
  <c r="AF159" i="70"/>
  <c r="AE159" i="70"/>
  <c r="AD159" i="70"/>
  <c r="AB159" i="70"/>
  <c r="AA159" i="70"/>
  <c r="Z159" i="70"/>
  <c r="X159" i="70"/>
  <c r="W159" i="70"/>
  <c r="V159" i="70"/>
  <c r="T159" i="70"/>
  <c r="S159" i="70"/>
  <c r="R159" i="70"/>
  <c r="Q159" i="70"/>
  <c r="AC159" i="70" s="1"/>
  <c r="B159" i="70"/>
  <c r="AE158" i="70"/>
  <c r="AD158" i="70"/>
  <c r="AA158" i="70"/>
  <c r="Z158" i="70"/>
  <c r="W158" i="70"/>
  <c r="V158" i="70"/>
  <c r="S158" i="70"/>
  <c r="R158" i="70"/>
  <c r="Q158" i="70"/>
  <c r="AF158" i="70" s="1"/>
  <c r="B158" i="70"/>
  <c r="Q157" i="70"/>
  <c r="Z157" i="70" s="1"/>
  <c r="B157" i="70"/>
  <c r="AF156" i="70"/>
  <c r="AC156" i="70"/>
  <c r="AB156" i="70"/>
  <c r="X156" i="70"/>
  <c r="U156" i="70"/>
  <c r="T156" i="70"/>
  <c r="Q156" i="70"/>
  <c r="B156" i="70"/>
  <c r="AF155" i="70"/>
  <c r="AE155" i="70"/>
  <c r="AD155" i="70"/>
  <c r="AB155" i="70"/>
  <c r="AA155" i="70"/>
  <c r="Z155" i="70"/>
  <c r="X155" i="70"/>
  <c r="W155" i="70"/>
  <c r="V155" i="70"/>
  <c r="T155" i="70"/>
  <c r="S155" i="70"/>
  <c r="R155" i="70"/>
  <c r="Q155" i="70"/>
  <c r="AC155" i="70" s="1"/>
  <c r="B155" i="70"/>
  <c r="AE154" i="70"/>
  <c r="AD154" i="70"/>
  <c r="AA154" i="70"/>
  <c r="Z154" i="70"/>
  <c r="W154" i="70"/>
  <c r="V154" i="70"/>
  <c r="S154" i="70"/>
  <c r="R154" i="70"/>
  <c r="Q154" i="70"/>
  <c r="AF154" i="70" s="1"/>
  <c r="B154" i="70"/>
  <c r="AD153" i="70"/>
  <c r="AC153" i="70"/>
  <c r="Z153" i="70"/>
  <c r="V153" i="70"/>
  <c r="U153" i="70"/>
  <c r="R153" i="70"/>
  <c r="Q153" i="70"/>
  <c r="B153" i="70"/>
  <c r="AB152" i="70"/>
  <c r="Y152" i="70"/>
  <c r="T152" i="70"/>
  <c r="Q152" i="70"/>
  <c r="B152" i="70"/>
  <c r="AF151" i="70"/>
  <c r="AE151" i="70"/>
  <c r="AD151" i="70"/>
  <c r="AB151" i="70"/>
  <c r="AA151" i="70"/>
  <c r="Z151" i="70"/>
  <c r="X151" i="70"/>
  <c r="W151" i="70"/>
  <c r="V151" i="70"/>
  <c r="T151" i="70"/>
  <c r="S151" i="70"/>
  <c r="R151" i="70"/>
  <c r="Q151" i="70"/>
  <c r="AC151" i="70" s="1"/>
  <c r="B151" i="70"/>
  <c r="AE150" i="70"/>
  <c r="AD150" i="70"/>
  <c r="AA150" i="70"/>
  <c r="Z150" i="70"/>
  <c r="W150" i="70"/>
  <c r="V150" i="70"/>
  <c r="S150" i="70"/>
  <c r="R150" i="70"/>
  <c r="Q150" i="70"/>
  <c r="AF150" i="70" s="1"/>
  <c r="B150" i="70"/>
  <c r="Z149" i="70"/>
  <c r="Y149" i="70"/>
  <c r="R149" i="70"/>
  <c r="Q149" i="70"/>
  <c r="B149" i="70"/>
  <c r="AF148" i="70"/>
  <c r="AC148" i="70"/>
  <c r="AB148" i="70"/>
  <c r="X148" i="70"/>
  <c r="U148" i="70"/>
  <c r="T148" i="70"/>
  <c r="Q148" i="70"/>
  <c r="B148" i="70"/>
  <c r="AF147" i="70"/>
  <c r="AE147" i="70"/>
  <c r="AD147" i="70"/>
  <c r="AB147" i="70"/>
  <c r="AA147" i="70"/>
  <c r="Z147" i="70"/>
  <c r="X147" i="70"/>
  <c r="W147" i="70"/>
  <c r="V147" i="70"/>
  <c r="T147" i="70"/>
  <c r="S147" i="70"/>
  <c r="R147" i="70"/>
  <c r="Q147" i="70"/>
  <c r="AC147" i="70" s="1"/>
  <c r="B147" i="70"/>
  <c r="AE146" i="70"/>
  <c r="AD146" i="70"/>
  <c r="AA146" i="70"/>
  <c r="Z146" i="70"/>
  <c r="W146" i="70"/>
  <c r="V146" i="70"/>
  <c r="S146" i="70"/>
  <c r="R146" i="70"/>
  <c r="Q146" i="70"/>
  <c r="AF146" i="70" s="1"/>
  <c r="B146" i="70"/>
  <c r="AD145" i="70"/>
  <c r="AC145" i="70"/>
  <c r="Z145" i="70"/>
  <c r="V145" i="70"/>
  <c r="U145" i="70"/>
  <c r="R145" i="70"/>
  <c r="Q145" i="70"/>
  <c r="B145" i="70"/>
  <c r="Q144" i="70"/>
  <c r="AB144" i="70" s="1"/>
  <c r="B144" i="70"/>
  <c r="AF143" i="70"/>
  <c r="AE143" i="70"/>
  <c r="AD143" i="70"/>
  <c r="AB143" i="70"/>
  <c r="AA143" i="70"/>
  <c r="Z143" i="70"/>
  <c r="X143" i="70"/>
  <c r="W143" i="70"/>
  <c r="V143" i="70"/>
  <c r="T143" i="70"/>
  <c r="S143" i="70"/>
  <c r="R143" i="70"/>
  <c r="Q143" i="70"/>
  <c r="AC143" i="70" s="1"/>
  <c r="B143" i="70"/>
  <c r="AE142" i="70"/>
  <c r="AD142" i="70"/>
  <c r="AA142" i="70"/>
  <c r="Z142" i="70"/>
  <c r="W142" i="70"/>
  <c r="V142" i="70"/>
  <c r="S142" i="70"/>
  <c r="R142" i="70"/>
  <c r="Q142" i="70"/>
  <c r="AF142" i="70" s="1"/>
  <c r="B142" i="70"/>
  <c r="Q141" i="70"/>
  <c r="Z141" i="70" s="1"/>
  <c r="B141" i="70"/>
  <c r="AF140" i="70"/>
  <c r="AC140" i="70"/>
  <c r="AB140" i="70"/>
  <c r="X140" i="70"/>
  <c r="U140" i="70"/>
  <c r="T140" i="70"/>
  <c r="Q140" i="70"/>
  <c r="B140" i="70"/>
  <c r="AF139" i="70"/>
  <c r="AE139" i="70"/>
  <c r="AD139" i="70"/>
  <c r="AB139" i="70"/>
  <c r="AA139" i="70"/>
  <c r="Z139" i="70"/>
  <c r="X139" i="70"/>
  <c r="W139" i="70"/>
  <c r="V139" i="70"/>
  <c r="T139" i="70"/>
  <c r="S139" i="70"/>
  <c r="R139" i="70"/>
  <c r="Q139" i="70"/>
  <c r="AC139" i="70" s="1"/>
  <c r="B139" i="70"/>
  <c r="AE138" i="70"/>
  <c r="AD138" i="70"/>
  <c r="AA138" i="70"/>
  <c r="Z138" i="70"/>
  <c r="W138" i="70"/>
  <c r="V138" i="70"/>
  <c r="S138" i="70"/>
  <c r="R138" i="70"/>
  <c r="Q138" i="70"/>
  <c r="AF138" i="70" s="1"/>
  <c r="B138" i="70"/>
  <c r="AD137" i="70"/>
  <c r="AC137" i="70"/>
  <c r="Z137" i="70"/>
  <c r="V137" i="70"/>
  <c r="U137" i="70"/>
  <c r="R137" i="70"/>
  <c r="Q137" i="70"/>
  <c r="B137" i="70"/>
  <c r="AB136" i="70"/>
  <c r="Y136" i="70"/>
  <c r="T136" i="70"/>
  <c r="Q136" i="70"/>
  <c r="B136" i="70"/>
  <c r="AF135" i="70"/>
  <c r="AE135" i="70"/>
  <c r="AD135" i="70"/>
  <c r="AB135" i="70"/>
  <c r="AA135" i="70"/>
  <c r="Z135" i="70"/>
  <c r="X135" i="70"/>
  <c r="W135" i="70"/>
  <c r="V135" i="70"/>
  <c r="T135" i="70"/>
  <c r="S135" i="70"/>
  <c r="R135" i="70"/>
  <c r="Q135" i="70"/>
  <c r="AC135" i="70" s="1"/>
  <c r="B135" i="70"/>
  <c r="AE134" i="70"/>
  <c r="AD134" i="70"/>
  <c r="AA134" i="70"/>
  <c r="Z134" i="70"/>
  <c r="W134" i="70"/>
  <c r="V134" i="70"/>
  <c r="S134" i="70"/>
  <c r="R134" i="70"/>
  <c r="Q134" i="70"/>
  <c r="AF134" i="70" s="1"/>
  <c r="B134" i="70"/>
  <c r="Z133" i="70"/>
  <c r="Y133" i="70"/>
  <c r="R133" i="70"/>
  <c r="Q133" i="70"/>
  <c r="B133" i="70"/>
  <c r="AF132" i="70"/>
  <c r="W132" i="70"/>
  <c r="S132" i="70"/>
  <c r="Q132" i="70"/>
  <c r="B132" i="70"/>
  <c r="AF131" i="70"/>
  <c r="AE131" i="70"/>
  <c r="AD131" i="70"/>
  <c r="AB131" i="70"/>
  <c r="AA131" i="70"/>
  <c r="Z131" i="70"/>
  <c r="X131" i="70"/>
  <c r="W131" i="70"/>
  <c r="V131" i="70"/>
  <c r="T131" i="70"/>
  <c r="S131" i="70"/>
  <c r="R131" i="70"/>
  <c r="Q131" i="70"/>
  <c r="AC131" i="70" s="1"/>
  <c r="B131" i="70"/>
  <c r="AE130" i="70"/>
  <c r="AD130" i="70"/>
  <c r="AA130" i="70"/>
  <c r="Z130" i="70"/>
  <c r="W130" i="70"/>
  <c r="V130" i="70"/>
  <c r="S130" i="70"/>
  <c r="R130" i="70"/>
  <c r="Q130" i="70"/>
  <c r="AF130" i="70" s="1"/>
  <c r="B130" i="70"/>
  <c r="Q129" i="70"/>
  <c r="AD129" i="70" s="1"/>
  <c r="B129" i="70"/>
  <c r="AF128" i="70"/>
  <c r="AC128" i="70"/>
  <c r="AB128" i="70"/>
  <c r="X128" i="70"/>
  <c r="U128" i="70"/>
  <c r="T128" i="70"/>
  <c r="Q128" i="70"/>
  <c r="B128" i="70"/>
  <c r="AF127" i="70"/>
  <c r="AE127" i="70"/>
  <c r="AD127" i="70"/>
  <c r="AB127" i="70"/>
  <c r="AA127" i="70"/>
  <c r="Z127" i="70"/>
  <c r="X127" i="70"/>
  <c r="W127" i="70"/>
  <c r="V127" i="70"/>
  <c r="T127" i="70"/>
  <c r="S127" i="70"/>
  <c r="R127" i="70"/>
  <c r="Q127" i="70"/>
  <c r="AC127" i="70" s="1"/>
  <c r="B127" i="70"/>
  <c r="AE126" i="70"/>
  <c r="AD126" i="70"/>
  <c r="AA126" i="70"/>
  <c r="Z126" i="70"/>
  <c r="W126" i="70"/>
  <c r="V126" i="70"/>
  <c r="S126" i="70"/>
  <c r="R126" i="70"/>
  <c r="Q126" i="70"/>
  <c r="AF126" i="70" s="1"/>
  <c r="B126" i="70"/>
  <c r="AD125" i="70"/>
  <c r="AC125" i="70"/>
  <c r="Z125" i="70"/>
  <c r="V125" i="70"/>
  <c r="U125" i="70"/>
  <c r="R125" i="70"/>
  <c r="Q125" i="70"/>
  <c r="B125" i="70"/>
  <c r="Q124" i="70"/>
  <c r="AF124" i="70" s="1"/>
  <c r="B124" i="70"/>
  <c r="AF123" i="70"/>
  <c r="AE123" i="70"/>
  <c r="AD123" i="70"/>
  <c r="AB123" i="70"/>
  <c r="AA123" i="70"/>
  <c r="Z123" i="70"/>
  <c r="X123" i="70"/>
  <c r="W123" i="70"/>
  <c r="V123" i="70"/>
  <c r="T123" i="70"/>
  <c r="S123" i="70"/>
  <c r="R123" i="70"/>
  <c r="Q123" i="70"/>
  <c r="AC123" i="70" s="1"/>
  <c r="B123" i="70"/>
  <c r="AE122" i="70"/>
  <c r="AD122" i="70"/>
  <c r="AA122" i="70"/>
  <c r="Z122" i="70"/>
  <c r="W122" i="70"/>
  <c r="V122" i="70"/>
  <c r="S122" i="70"/>
  <c r="R122" i="70"/>
  <c r="Q122" i="70"/>
  <c r="AF122" i="70" s="1"/>
  <c r="B122" i="70"/>
  <c r="Q121" i="70"/>
  <c r="AD121" i="70" s="1"/>
  <c r="B121" i="70"/>
  <c r="AF120" i="70"/>
  <c r="AC120" i="70"/>
  <c r="AB120" i="70"/>
  <c r="X120" i="70"/>
  <c r="U120" i="70"/>
  <c r="T120" i="70"/>
  <c r="Q120" i="70"/>
  <c r="B120" i="70"/>
  <c r="AF119" i="70"/>
  <c r="AE119" i="70"/>
  <c r="AD119" i="70"/>
  <c r="AB119" i="70"/>
  <c r="AA119" i="70"/>
  <c r="Z119" i="70"/>
  <c r="X119" i="70"/>
  <c r="W119" i="70"/>
  <c r="V119" i="70"/>
  <c r="T119" i="70"/>
  <c r="S119" i="70"/>
  <c r="R119" i="70"/>
  <c r="Q119" i="70"/>
  <c r="AC119" i="70" s="1"/>
  <c r="B119" i="70"/>
  <c r="AE118" i="70"/>
  <c r="AD118" i="70"/>
  <c r="AA118" i="70"/>
  <c r="Z118" i="70"/>
  <c r="W118" i="70"/>
  <c r="V118" i="70"/>
  <c r="S118" i="70"/>
  <c r="R118" i="70"/>
  <c r="Q118" i="70"/>
  <c r="AF118" i="70" s="1"/>
  <c r="B118" i="70"/>
  <c r="AD117" i="70"/>
  <c r="AC117" i="70"/>
  <c r="Z117" i="70"/>
  <c r="V117" i="70"/>
  <c r="U117" i="70"/>
  <c r="R117" i="70"/>
  <c r="Q117" i="70"/>
  <c r="B117" i="70"/>
  <c r="Q116" i="70"/>
  <c r="AF116" i="70" s="1"/>
  <c r="B116" i="70"/>
  <c r="AF115" i="70"/>
  <c r="AE115" i="70"/>
  <c r="AD115" i="70"/>
  <c r="AB115" i="70"/>
  <c r="AA115" i="70"/>
  <c r="Z115" i="70"/>
  <c r="X115" i="70"/>
  <c r="W115" i="70"/>
  <c r="V115" i="70"/>
  <c r="T115" i="70"/>
  <c r="S115" i="70"/>
  <c r="R115" i="70"/>
  <c r="Q115" i="70"/>
  <c r="AC115" i="70" s="1"/>
  <c r="B115" i="70"/>
  <c r="AE114" i="70"/>
  <c r="AD114" i="70"/>
  <c r="AA114" i="70"/>
  <c r="Z114" i="70"/>
  <c r="W114" i="70"/>
  <c r="V114" i="70"/>
  <c r="S114" i="70"/>
  <c r="R114" i="70"/>
  <c r="Q114" i="70"/>
  <c r="AF114" i="70" s="1"/>
  <c r="B114" i="70"/>
  <c r="Q113" i="70"/>
  <c r="AD113" i="70" s="1"/>
  <c r="B113" i="70"/>
  <c r="AF112" i="70"/>
  <c r="AC112" i="70"/>
  <c r="AB112" i="70"/>
  <c r="X112" i="70"/>
  <c r="U112" i="70"/>
  <c r="T112" i="70"/>
  <c r="Q112" i="70"/>
  <c r="B112" i="70"/>
  <c r="AF111" i="70"/>
  <c r="AE111" i="70"/>
  <c r="AD111" i="70"/>
  <c r="AB111" i="70"/>
  <c r="AA111" i="70"/>
  <c r="Z111" i="70"/>
  <c r="X111" i="70"/>
  <c r="W111" i="70"/>
  <c r="V111" i="70"/>
  <c r="T111" i="70"/>
  <c r="S111" i="70"/>
  <c r="R111" i="70"/>
  <c r="Q111" i="70"/>
  <c r="AC111" i="70" s="1"/>
  <c r="B111" i="70"/>
  <c r="AE110" i="70"/>
  <c r="AD110" i="70"/>
  <c r="AA110" i="70"/>
  <c r="Z110" i="70"/>
  <c r="W110" i="70"/>
  <c r="V110" i="70"/>
  <c r="S110" i="70"/>
  <c r="R110" i="70"/>
  <c r="Q110" i="70"/>
  <c r="AF110" i="70" s="1"/>
  <c r="B110" i="70"/>
  <c r="AD109" i="70"/>
  <c r="AC109" i="70"/>
  <c r="Z109" i="70"/>
  <c r="V109" i="70"/>
  <c r="U109" i="70"/>
  <c r="R109" i="70"/>
  <c r="Q109" i="70"/>
  <c r="B109" i="70"/>
  <c r="Q108" i="70"/>
  <c r="AF108" i="70" s="1"/>
  <c r="B108" i="70"/>
  <c r="AF107" i="70"/>
  <c r="AE107" i="70"/>
  <c r="AD107" i="70"/>
  <c r="AB107" i="70"/>
  <c r="AA107" i="70"/>
  <c r="Z107" i="70"/>
  <c r="X107" i="70"/>
  <c r="W107" i="70"/>
  <c r="V107" i="70"/>
  <c r="T107" i="70"/>
  <c r="S107" i="70"/>
  <c r="R107" i="70"/>
  <c r="Q107" i="70"/>
  <c r="AC107" i="70" s="1"/>
  <c r="B107" i="70"/>
  <c r="AE106" i="70"/>
  <c r="AD106" i="70"/>
  <c r="AA106" i="70"/>
  <c r="Z106" i="70"/>
  <c r="W106" i="70"/>
  <c r="V106" i="70"/>
  <c r="S106" i="70"/>
  <c r="R106" i="70"/>
  <c r="Q106" i="70"/>
  <c r="AF106" i="70" s="1"/>
  <c r="B106" i="70"/>
  <c r="Q105" i="70"/>
  <c r="AD105" i="70" s="1"/>
  <c r="B105" i="70"/>
  <c r="AF104" i="70"/>
  <c r="AC104" i="70"/>
  <c r="AB104" i="70"/>
  <c r="X104" i="70"/>
  <c r="U104" i="70"/>
  <c r="T104" i="70"/>
  <c r="Q104" i="70"/>
  <c r="B104" i="70"/>
  <c r="AF103" i="70"/>
  <c r="AE103" i="70"/>
  <c r="AD103" i="70"/>
  <c r="AB103" i="70"/>
  <c r="AA103" i="70"/>
  <c r="Z103" i="70"/>
  <c r="X103" i="70"/>
  <c r="W103" i="70"/>
  <c r="V103" i="70"/>
  <c r="T103" i="70"/>
  <c r="S103" i="70"/>
  <c r="R103" i="70"/>
  <c r="Q103" i="70"/>
  <c r="AC103" i="70" s="1"/>
  <c r="B103" i="70"/>
  <c r="AE102" i="70"/>
  <c r="AD102" i="70"/>
  <c r="AA102" i="70"/>
  <c r="Z102" i="70"/>
  <c r="W102" i="70"/>
  <c r="V102" i="70"/>
  <c r="S102" i="70"/>
  <c r="R102" i="70"/>
  <c r="Q102" i="70"/>
  <c r="AF102" i="70" s="1"/>
  <c r="B102" i="70"/>
  <c r="AD101" i="70"/>
  <c r="AC101" i="70"/>
  <c r="Z101" i="70"/>
  <c r="V101" i="70"/>
  <c r="U101" i="70"/>
  <c r="R101" i="70"/>
  <c r="Q101" i="70"/>
  <c r="B101" i="70"/>
  <c r="Q100" i="70"/>
  <c r="AF100" i="70" s="1"/>
  <c r="B100" i="70"/>
  <c r="AF99" i="70"/>
  <c r="AE99" i="70"/>
  <c r="AD99" i="70"/>
  <c r="AB99" i="70"/>
  <c r="AA99" i="70"/>
  <c r="Z99" i="70"/>
  <c r="X99" i="70"/>
  <c r="W99" i="70"/>
  <c r="V99" i="70"/>
  <c r="T99" i="70"/>
  <c r="S99" i="70"/>
  <c r="R99" i="70"/>
  <c r="Q99" i="70"/>
  <c r="AC99" i="70" s="1"/>
  <c r="B99" i="70"/>
  <c r="AE98" i="70"/>
  <c r="AD98" i="70"/>
  <c r="AA98" i="70"/>
  <c r="Z98" i="70"/>
  <c r="W98" i="70"/>
  <c r="V98" i="70"/>
  <c r="S98" i="70"/>
  <c r="R98" i="70"/>
  <c r="Q98" i="70"/>
  <c r="AF98" i="70" s="1"/>
  <c r="B98" i="70"/>
  <c r="Q97" i="70"/>
  <c r="AD97" i="70" s="1"/>
  <c r="B97" i="70"/>
  <c r="AF96" i="70"/>
  <c r="AC96" i="70"/>
  <c r="AB96" i="70"/>
  <c r="X96" i="70"/>
  <c r="U96" i="70"/>
  <c r="T96" i="70"/>
  <c r="Q96" i="70"/>
  <c r="B96" i="70"/>
  <c r="AF95" i="70"/>
  <c r="AE95" i="70"/>
  <c r="AD95" i="70"/>
  <c r="AB95" i="70"/>
  <c r="AA95" i="70"/>
  <c r="Z95" i="70"/>
  <c r="X95" i="70"/>
  <c r="W95" i="70"/>
  <c r="V95" i="70"/>
  <c r="T95" i="70"/>
  <c r="S95" i="70"/>
  <c r="R95" i="70"/>
  <c r="Q95" i="70"/>
  <c r="AC95" i="70" s="1"/>
  <c r="B95" i="70"/>
  <c r="AE94" i="70"/>
  <c r="AD94" i="70"/>
  <c r="AA94" i="70"/>
  <c r="Z94" i="70"/>
  <c r="W94" i="70"/>
  <c r="V94" i="70"/>
  <c r="S94" i="70"/>
  <c r="R94" i="70"/>
  <c r="Q94" i="70"/>
  <c r="AF94" i="70" s="1"/>
  <c r="B94" i="70"/>
  <c r="AD93" i="70"/>
  <c r="AC93" i="70"/>
  <c r="Z93" i="70"/>
  <c r="V93" i="70"/>
  <c r="U93" i="70"/>
  <c r="R93" i="70"/>
  <c r="Q93" i="70"/>
  <c r="B93" i="70"/>
  <c r="Q92" i="70"/>
  <c r="AF92" i="70" s="1"/>
  <c r="B92" i="70"/>
  <c r="AF91" i="70"/>
  <c r="AE91" i="70"/>
  <c r="AD91" i="70"/>
  <c r="AB91" i="70"/>
  <c r="AA91" i="70"/>
  <c r="Z91" i="70"/>
  <c r="X91" i="70"/>
  <c r="W91" i="70"/>
  <c r="V91" i="70"/>
  <c r="T91" i="70"/>
  <c r="S91" i="70"/>
  <c r="R91" i="70"/>
  <c r="Q91" i="70"/>
  <c r="AC91" i="70" s="1"/>
  <c r="B91" i="70"/>
  <c r="AE90" i="70"/>
  <c r="AD90" i="70"/>
  <c r="AA90" i="70"/>
  <c r="Z90" i="70"/>
  <c r="W90" i="70"/>
  <c r="V90" i="70"/>
  <c r="S90" i="70"/>
  <c r="R90" i="70"/>
  <c r="Q90" i="70"/>
  <c r="AF90" i="70" s="1"/>
  <c r="B90" i="70"/>
  <c r="Q89" i="70"/>
  <c r="AD89" i="70" s="1"/>
  <c r="B89" i="70"/>
  <c r="AF88" i="70"/>
  <c r="AC88" i="70"/>
  <c r="AB88" i="70"/>
  <c r="X88" i="70"/>
  <c r="U88" i="70"/>
  <c r="T88" i="70"/>
  <c r="Q88" i="70"/>
  <c r="B88" i="70"/>
  <c r="AF87" i="70"/>
  <c r="AE87" i="70"/>
  <c r="AD87" i="70"/>
  <c r="AB87" i="70"/>
  <c r="AA87" i="70"/>
  <c r="Z87" i="70"/>
  <c r="X87" i="70"/>
  <c r="W87" i="70"/>
  <c r="V87" i="70"/>
  <c r="T87" i="70"/>
  <c r="S87" i="70"/>
  <c r="R87" i="70"/>
  <c r="Q87" i="70"/>
  <c r="AC87" i="70" s="1"/>
  <c r="B87" i="70"/>
  <c r="AE86" i="70"/>
  <c r="AD86" i="70"/>
  <c r="AA86" i="70"/>
  <c r="Z86" i="70"/>
  <c r="W86" i="70"/>
  <c r="V86" i="70"/>
  <c r="S86" i="70"/>
  <c r="R86" i="70"/>
  <c r="Q86" i="70"/>
  <c r="AF86" i="70" s="1"/>
  <c r="B86" i="70"/>
  <c r="AD85" i="70"/>
  <c r="AC85" i="70"/>
  <c r="Z85" i="70"/>
  <c r="V85" i="70"/>
  <c r="U85" i="70"/>
  <c r="R85" i="70"/>
  <c r="Q85" i="70"/>
  <c r="B85" i="70"/>
  <c r="Q84" i="70"/>
  <c r="AF84" i="70" s="1"/>
  <c r="B84" i="70"/>
  <c r="AF83" i="70"/>
  <c r="AE83" i="70"/>
  <c r="AD83" i="70"/>
  <c r="AB83" i="70"/>
  <c r="AA83" i="70"/>
  <c r="Z83" i="70"/>
  <c r="X83" i="70"/>
  <c r="W83" i="70"/>
  <c r="V83" i="70"/>
  <c r="T83" i="70"/>
  <c r="S83" i="70"/>
  <c r="R83" i="70"/>
  <c r="Q83" i="70"/>
  <c r="AC83" i="70" s="1"/>
  <c r="B83" i="70"/>
  <c r="AE82" i="70"/>
  <c r="AD82" i="70"/>
  <c r="AA82" i="70"/>
  <c r="Z82" i="70"/>
  <c r="W82" i="70"/>
  <c r="V82" i="70"/>
  <c r="S82" i="70"/>
  <c r="R82" i="70"/>
  <c r="Q82" i="70"/>
  <c r="AF82" i="70" s="1"/>
  <c r="B82" i="70"/>
  <c r="Q81" i="70"/>
  <c r="AD81" i="70" s="1"/>
  <c r="B81" i="70"/>
  <c r="AF80" i="70"/>
  <c r="AC80" i="70"/>
  <c r="AB80" i="70"/>
  <c r="X80" i="70"/>
  <c r="U80" i="70"/>
  <c r="T80" i="70"/>
  <c r="Q80" i="70"/>
  <c r="B80" i="70"/>
  <c r="AF79" i="70"/>
  <c r="AE79" i="70"/>
  <c r="AD79" i="70"/>
  <c r="AB79" i="70"/>
  <c r="AA79" i="70"/>
  <c r="Z79" i="70"/>
  <c r="X79" i="70"/>
  <c r="W79" i="70"/>
  <c r="V79" i="70"/>
  <c r="T79" i="70"/>
  <c r="S79" i="70"/>
  <c r="R79" i="70"/>
  <c r="Q79" i="70"/>
  <c r="AC79" i="70" s="1"/>
  <c r="B79" i="70"/>
  <c r="AE78" i="70"/>
  <c r="AD78" i="70"/>
  <c r="AA78" i="70"/>
  <c r="Z78" i="70"/>
  <c r="W78" i="70"/>
  <c r="V78" i="70"/>
  <c r="S78" i="70"/>
  <c r="R78" i="70"/>
  <c r="Q78" i="70"/>
  <c r="AF78" i="70" s="1"/>
  <c r="B78" i="70"/>
  <c r="AD77" i="70"/>
  <c r="AC77" i="70"/>
  <c r="Z77" i="70"/>
  <c r="V77" i="70"/>
  <c r="U77" i="70"/>
  <c r="R77" i="70"/>
  <c r="Q77" i="70"/>
  <c r="B77" i="70"/>
  <c r="Q76" i="70"/>
  <c r="AF76" i="70" s="1"/>
  <c r="B76" i="70"/>
  <c r="AF75" i="70"/>
  <c r="AE75" i="70"/>
  <c r="AD75" i="70"/>
  <c r="AB75" i="70"/>
  <c r="AA75" i="70"/>
  <c r="Z75" i="70"/>
  <c r="X75" i="70"/>
  <c r="W75" i="70"/>
  <c r="V75" i="70"/>
  <c r="T75" i="70"/>
  <c r="S75" i="70"/>
  <c r="R75" i="70"/>
  <c r="Q75" i="70"/>
  <c r="AC75" i="70" s="1"/>
  <c r="B75" i="70"/>
  <c r="AD74" i="70"/>
  <c r="AC74" i="70"/>
  <c r="Y74" i="70"/>
  <c r="W74" i="70"/>
  <c r="S74" i="70"/>
  <c r="R74" i="70"/>
  <c r="Q74" i="70"/>
  <c r="B74" i="70"/>
  <c r="AC73" i="70"/>
  <c r="X73" i="70"/>
  <c r="R73" i="70"/>
  <c r="Q73" i="70"/>
  <c r="AF73" i="70" s="1"/>
  <c r="B73" i="70"/>
  <c r="AF72" i="70"/>
  <c r="AE72" i="70"/>
  <c r="AC72" i="70"/>
  <c r="AA72" i="70"/>
  <c r="Y72" i="70"/>
  <c r="X72" i="70"/>
  <c r="U72" i="70"/>
  <c r="T72" i="70"/>
  <c r="S72" i="70"/>
  <c r="Q72" i="70"/>
  <c r="B72" i="70"/>
  <c r="AF71" i="70"/>
  <c r="AE71" i="70"/>
  <c r="AD71" i="70"/>
  <c r="AB71" i="70"/>
  <c r="AA71" i="70"/>
  <c r="Z71" i="70"/>
  <c r="X71" i="70"/>
  <c r="W71" i="70"/>
  <c r="V71" i="70"/>
  <c r="T71" i="70"/>
  <c r="S71" i="70"/>
  <c r="R71" i="70"/>
  <c r="Q71" i="70"/>
  <c r="AC71" i="70" s="1"/>
  <c r="B71" i="70"/>
  <c r="AC70" i="70"/>
  <c r="W70" i="70"/>
  <c r="R70" i="70"/>
  <c r="Q70" i="70"/>
  <c r="AE70" i="70" s="1"/>
  <c r="B70" i="70"/>
  <c r="Q69" i="70"/>
  <c r="AF69" i="70" s="1"/>
  <c r="B69" i="70"/>
  <c r="AE68" i="70"/>
  <c r="AC68" i="70"/>
  <c r="Y68" i="70"/>
  <c r="X68" i="70"/>
  <c r="T68" i="70"/>
  <c r="S68" i="70"/>
  <c r="Q68" i="70"/>
  <c r="B68" i="70"/>
  <c r="AB67" i="70"/>
  <c r="W67" i="70"/>
  <c r="R67" i="70"/>
  <c r="Q67" i="70"/>
  <c r="AE67" i="70" s="1"/>
  <c r="B67" i="70"/>
  <c r="Q66" i="70"/>
  <c r="AD66" i="70" s="1"/>
  <c r="B66" i="70"/>
  <c r="AF65" i="70"/>
  <c r="AE65" i="70"/>
  <c r="AD65" i="70"/>
  <c r="AB65" i="70"/>
  <c r="AA65" i="70"/>
  <c r="Z65" i="70"/>
  <c r="X65" i="70"/>
  <c r="W65" i="70"/>
  <c r="V65" i="70"/>
  <c r="T65" i="70"/>
  <c r="S65" i="70"/>
  <c r="R65" i="70"/>
  <c r="Q65" i="70"/>
  <c r="AC65" i="70" s="1"/>
  <c r="B65" i="70"/>
  <c r="AE64" i="70"/>
  <c r="AD64" i="70"/>
  <c r="AA64" i="70"/>
  <c r="Z64" i="70"/>
  <c r="W64" i="70"/>
  <c r="V64" i="70"/>
  <c r="S64" i="70"/>
  <c r="R64" i="70"/>
  <c r="Q64" i="70"/>
  <c r="AF64" i="70" s="1"/>
  <c r="B64" i="70"/>
  <c r="AD63" i="70"/>
  <c r="Z63" i="70"/>
  <c r="V63" i="70"/>
  <c r="R63" i="70"/>
  <c r="Q63" i="70"/>
  <c r="AE63" i="70" s="1"/>
  <c r="B63" i="70"/>
  <c r="Q62" i="70"/>
  <c r="AD62" i="70" s="1"/>
  <c r="B62" i="70"/>
  <c r="AF61" i="70"/>
  <c r="AE61" i="70"/>
  <c r="AD61" i="70"/>
  <c r="AB61" i="70"/>
  <c r="AA61" i="70"/>
  <c r="Z61" i="70"/>
  <c r="X61" i="70"/>
  <c r="W61" i="70"/>
  <c r="V61" i="70"/>
  <c r="T61" i="70"/>
  <c r="S61" i="70"/>
  <c r="R61" i="70"/>
  <c r="Q61" i="70"/>
  <c r="AC61" i="70" s="1"/>
  <c r="B61" i="70"/>
  <c r="AE60" i="70"/>
  <c r="AD60" i="70"/>
  <c r="AA60" i="70"/>
  <c r="Z60" i="70"/>
  <c r="W60" i="70"/>
  <c r="V60" i="70"/>
  <c r="S60" i="70"/>
  <c r="R60" i="70"/>
  <c r="Q60" i="70"/>
  <c r="AF60" i="70" s="1"/>
  <c r="B60" i="70"/>
  <c r="AD59" i="70"/>
  <c r="Z59" i="70"/>
  <c r="V59" i="70"/>
  <c r="R59" i="70"/>
  <c r="Q59" i="70"/>
  <c r="AE59" i="70" s="1"/>
  <c r="B59" i="70"/>
  <c r="Q58" i="70"/>
  <c r="AD58" i="70" s="1"/>
  <c r="B58" i="70"/>
  <c r="AF57" i="70"/>
  <c r="AE57" i="70"/>
  <c r="AD57" i="70"/>
  <c r="AB57" i="70"/>
  <c r="AA57" i="70"/>
  <c r="Z57" i="70"/>
  <c r="X57" i="70"/>
  <c r="W57" i="70"/>
  <c r="V57" i="70"/>
  <c r="T57" i="70"/>
  <c r="S57" i="70"/>
  <c r="R57" i="70"/>
  <c r="Q57" i="70"/>
  <c r="AC57" i="70" s="1"/>
  <c r="B57" i="70"/>
  <c r="AE56" i="70"/>
  <c r="AD56" i="70"/>
  <c r="AA56" i="70"/>
  <c r="Z56" i="70"/>
  <c r="W56" i="70"/>
  <c r="V56" i="70"/>
  <c r="S56" i="70"/>
  <c r="R56" i="70"/>
  <c r="Q56" i="70"/>
  <c r="AF56" i="70" s="1"/>
  <c r="B56" i="70"/>
  <c r="AD55" i="70"/>
  <c r="Z55" i="70"/>
  <c r="V55" i="70"/>
  <c r="R55" i="70"/>
  <c r="Q55" i="70"/>
  <c r="AE55" i="70" s="1"/>
  <c r="B55" i="70"/>
  <c r="Q54" i="70"/>
  <c r="AD54" i="70" s="1"/>
  <c r="B54" i="70"/>
  <c r="AF53" i="70"/>
  <c r="AE53" i="70"/>
  <c r="AD53" i="70"/>
  <c r="AB53" i="70"/>
  <c r="AA53" i="70"/>
  <c r="Z53" i="70"/>
  <c r="X53" i="70"/>
  <c r="W53" i="70"/>
  <c r="V53" i="70"/>
  <c r="T53" i="70"/>
  <c r="S53" i="70"/>
  <c r="R53" i="70"/>
  <c r="Q53" i="70"/>
  <c r="AC53" i="70" s="1"/>
  <c r="B53" i="70"/>
  <c r="AE52" i="70"/>
  <c r="AD52" i="70"/>
  <c r="AA52" i="70"/>
  <c r="Z52" i="70"/>
  <c r="W52" i="70"/>
  <c r="V52" i="70"/>
  <c r="S52" i="70"/>
  <c r="R52" i="70"/>
  <c r="Q52" i="70"/>
  <c r="AF52" i="70" s="1"/>
  <c r="B52" i="70"/>
  <c r="Q51" i="70"/>
  <c r="AE51" i="70" s="1"/>
  <c r="B51" i="70"/>
  <c r="AF50" i="70"/>
  <c r="AB50" i="70"/>
  <c r="X50" i="70"/>
  <c r="T50" i="70"/>
  <c r="Q50" i="70"/>
  <c r="AD50" i="70" s="1"/>
  <c r="B50" i="70"/>
  <c r="AF49" i="70"/>
  <c r="AE49" i="70"/>
  <c r="AD49" i="70"/>
  <c r="AB49" i="70"/>
  <c r="AA49" i="70"/>
  <c r="Z49" i="70"/>
  <c r="X49" i="70"/>
  <c r="W49" i="70"/>
  <c r="V49" i="70"/>
  <c r="T49" i="70"/>
  <c r="S49" i="70"/>
  <c r="R49" i="70"/>
  <c r="Q49" i="70"/>
  <c r="AC49" i="70" s="1"/>
  <c r="B49" i="70"/>
  <c r="AE48" i="70"/>
  <c r="AD48" i="70"/>
  <c r="AA48" i="70"/>
  <c r="Z48" i="70"/>
  <c r="W48" i="70"/>
  <c r="V48" i="70"/>
  <c r="S48" i="70"/>
  <c r="R48" i="70"/>
  <c r="Q48" i="70"/>
  <c r="AF48" i="70" s="1"/>
  <c r="B48" i="70"/>
  <c r="Q47" i="70"/>
  <c r="AE47" i="70" s="1"/>
  <c r="B47" i="70"/>
  <c r="AF46" i="70"/>
  <c r="AB46" i="70"/>
  <c r="X46" i="70"/>
  <c r="T46" i="70"/>
  <c r="Q46" i="70"/>
  <c r="AD46" i="70" s="1"/>
  <c r="B46" i="70"/>
  <c r="AF45" i="70"/>
  <c r="AE45" i="70"/>
  <c r="AD45" i="70"/>
  <c r="AB45" i="70"/>
  <c r="AA45" i="70"/>
  <c r="Z45" i="70"/>
  <c r="X45" i="70"/>
  <c r="W45" i="70"/>
  <c r="V45" i="70"/>
  <c r="T45" i="70"/>
  <c r="S45" i="70"/>
  <c r="R45" i="70"/>
  <c r="Q45" i="70"/>
  <c r="AC45" i="70" s="1"/>
  <c r="B45" i="70"/>
  <c r="AE44" i="70"/>
  <c r="AD44" i="70"/>
  <c r="AA44" i="70"/>
  <c r="Z44" i="70"/>
  <c r="W44" i="70"/>
  <c r="V44" i="70"/>
  <c r="S44" i="70"/>
  <c r="R44" i="70"/>
  <c r="Q44" i="70"/>
  <c r="AF44" i="70" s="1"/>
  <c r="B44" i="70"/>
  <c r="Q43" i="70"/>
  <c r="AE43" i="70" s="1"/>
  <c r="B43" i="70"/>
  <c r="AF42" i="70"/>
  <c r="AB42" i="70"/>
  <c r="X42" i="70"/>
  <c r="T42" i="70"/>
  <c r="Q42" i="70"/>
  <c r="AD42" i="70" s="1"/>
  <c r="B42" i="70"/>
  <c r="AF41" i="70"/>
  <c r="AE41" i="70"/>
  <c r="AD41" i="70"/>
  <c r="AB41" i="70"/>
  <c r="AA41" i="70"/>
  <c r="Z41" i="70"/>
  <c r="X41" i="70"/>
  <c r="W41" i="70"/>
  <c r="V41" i="70"/>
  <c r="T41" i="70"/>
  <c r="S41" i="70"/>
  <c r="R41" i="70"/>
  <c r="Q41" i="70"/>
  <c r="AC41" i="70" s="1"/>
  <c r="B41" i="70"/>
  <c r="AE40" i="70"/>
  <c r="AD40" i="70"/>
  <c r="AA40" i="70"/>
  <c r="Z40" i="70"/>
  <c r="W40" i="70"/>
  <c r="V40" i="70"/>
  <c r="S40" i="70"/>
  <c r="R40" i="70"/>
  <c r="Q40" i="70"/>
  <c r="AF40" i="70" s="1"/>
  <c r="B40" i="70"/>
  <c r="Q39" i="70"/>
  <c r="AE39" i="70" s="1"/>
  <c r="B39" i="70"/>
  <c r="AF38" i="70"/>
  <c r="AB38" i="70"/>
  <c r="X38" i="70"/>
  <c r="T38" i="70"/>
  <c r="Q38" i="70"/>
  <c r="AD38" i="70" s="1"/>
  <c r="B38" i="70"/>
  <c r="AF37" i="70"/>
  <c r="AE37" i="70"/>
  <c r="AD37" i="70"/>
  <c r="AB37" i="70"/>
  <c r="AA37" i="70"/>
  <c r="Z37" i="70"/>
  <c r="X37" i="70"/>
  <c r="W37" i="70"/>
  <c r="V37" i="70"/>
  <c r="T37" i="70"/>
  <c r="S37" i="70"/>
  <c r="R37" i="70"/>
  <c r="Q37" i="70"/>
  <c r="AC37" i="70" s="1"/>
  <c r="B37" i="70"/>
  <c r="AE36" i="70"/>
  <c r="AD36" i="70"/>
  <c r="AA36" i="70"/>
  <c r="Z36" i="70"/>
  <c r="W36" i="70"/>
  <c r="V36" i="70"/>
  <c r="S36" i="70"/>
  <c r="R36" i="70"/>
  <c r="Q36" i="70"/>
  <c r="AF36" i="70" s="1"/>
  <c r="B36" i="70"/>
  <c r="Q35" i="70"/>
  <c r="AE35" i="70" s="1"/>
  <c r="B35" i="70"/>
  <c r="AF34" i="70"/>
  <c r="AB34" i="70"/>
  <c r="X34" i="70"/>
  <c r="T34" i="70"/>
  <c r="Q34" i="70"/>
  <c r="AD34" i="70" s="1"/>
  <c r="B34" i="70"/>
  <c r="AF33" i="70"/>
  <c r="AE33" i="70"/>
  <c r="AD33" i="70"/>
  <c r="AB33" i="70"/>
  <c r="AA33" i="70"/>
  <c r="Z33" i="70"/>
  <c r="X33" i="70"/>
  <c r="W33" i="70"/>
  <c r="V33" i="70"/>
  <c r="T33" i="70"/>
  <c r="S33" i="70"/>
  <c r="R33" i="70"/>
  <c r="Q33" i="70"/>
  <c r="AC33" i="70" s="1"/>
  <c r="B33" i="70"/>
  <c r="AE32" i="70"/>
  <c r="AD32" i="70"/>
  <c r="AA32" i="70"/>
  <c r="Z32" i="70"/>
  <c r="W32" i="70"/>
  <c r="V32" i="70"/>
  <c r="S32" i="70"/>
  <c r="R32" i="70"/>
  <c r="Q32" i="70"/>
  <c r="AF32" i="70" s="1"/>
  <c r="B32" i="70"/>
  <c r="Q31" i="70"/>
  <c r="AE31" i="70" s="1"/>
  <c r="B31" i="70"/>
  <c r="AF30" i="70"/>
  <c r="AB30" i="70"/>
  <c r="X30" i="70"/>
  <c r="T30" i="70"/>
  <c r="Q30" i="70"/>
  <c r="AD30" i="70" s="1"/>
  <c r="B30" i="70"/>
  <c r="AF29" i="70"/>
  <c r="AE29" i="70"/>
  <c r="AD29" i="70"/>
  <c r="AB29" i="70"/>
  <c r="AA29" i="70"/>
  <c r="Z29" i="70"/>
  <c r="X29" i="70"/>
  <c r="W29" i="70"/>
  <c r="V29" i="70"/>
  <c r="T29" i="70"/>
  <c r="S29" i="70"/>
  <c r="R29" i="70"/>
  <c r="Q29" i="70"/>
  <c r="AC29" i="70" s="1"/>
  <c r="B29" i="70"/>
  <c r="AE28" i="70"/>
  <c r="AD28" i="70"/>
  <c r="AA28" i="70"/>
  <c r="Z28" i="70"/>
  <c r="W28" i="70"/>
  <c r="V28" i="70"/>
  <c r="S28" i="70"/>
  <c r="R28" i="70"/>
  <c r="Q28" i="70"/>
  <c r="AF28" i="70" s="1"/>
  <c r="B28" i="70"/>
  <c r="Q27" i="70"/>
  <c r="AE27" i="70" s="1"/>
  <c r="B27" i="70"/>
  <c r="AF26" i="70"/>
  <c r="AB26" i="70"/>
  <c r="X26" i="70"/>
  <c r="T26" i="70"/>
  <c r="Q26" i="70"/>
  <c r="AD26" i="70" s="1"/>
  <c r="B26" i="70"/>
  <c r="AF25" i="70"/>
  <c r="AE25" i="70"/>
  <c r="AD25" i="70"/>
  <c r="AB25" i="70"/>
  <c r="AA25" i="70"/>
  <c r="Z25" i="70"/>
  <c r="X25" i="70"/>
  <c r="W25" i="70"/>
  <c r="V25" i="70"/>
  <c r="T25" i="70"/>
  <c r="S25" i="70"/>
  <c r="R25" i="70"/>
  <c r="Q25" i="70"/>
  <c r="AC25" i="70" s="1"/>
  <c r="B25" i="70"/>
  <c r="AE24" i="70"/>
  <c r="AD24" i="70"/>
  <c r="AA24" i="70"/>
  <c r="Z24" i="70"/>
  <c r="W24" i="70"/>
  <c r="V24" i="70"/>
  <c r="S24" i="70"/>
  <c r="R24" i="70"/>
  <c r="Q24" i="70"/>
  <c r="AF24" i="70" s="1"/>
  <c r="B24" i="70"/>
  <c r="Q23" i="70"/>
  <c r="AE23" i="70" s="1"/>
  <c r="B23" i="70"/>
  <c r="AF22" i="70"/>
  <c r="AB22" i="70"/>
  <c r="X22" i="70"/>
  <c r="T22" i="70"/>
  <c r="Q22" i="70"/>
  <c r="AD22" i="70" s="1"/>
  <c r="B22" i="70"/>
  <c r="AF21" i="70"/>
  <c r="AE21" i="70"/>
  <c r="AD21" i="70"/>
  <c r="AB21" i="70"/>
  <c r="AA21" i="70"/>
  <c r="Z21" i="70"/>
  <c r="X21" i="70"/>
  <c r="W21" i="70"/>
  <c r="V21" i="70"/>
  <c r="T21" i="70"/>
  <c r="S21" i="70"/>
  <c r="R21" i="70"/>
  <c r="Q21" i="70"/>
  <c r="AC21" i="70" s="1"/>
  <c r="B21" i="70"/>
  <c r="AE20" i="70"/>
  <c r="AD20" i="70"/>
  <c r="AA20" i="70"/>
  <c r="Z20" i="70"/>
  <c r="W20" i="70"/>
  <c r="V20" i="70"/>
  <c r="S20" i="70"/>
  <c r="R20" i="70"/>
  <c r="Q20" i="70"/>
  <c r="AF20" i="70" s="1"/>
  <c r="B20" i="70"/>
  <c r="Q19" i="70"/>
  <c r="AE19" i="70" s="1"/>
  <c r="B19" i="70"/>
  <c r="AF18" i="70"/>
  <c r="AB18" i="70"/>
  <c r="X18" i="70"/>
  <c r="T18" i="70"/>
  <c r="Q18" i="70"/>
  <c r="AD18" i="70" s="1"/>
  <c r="B18" i="70"/>
  <c r="AF17" i="70"/>
  <c r="AE17" i="70"/>
  <c r="AD17" i="70"/>
  <c r="AB17" i="70"/>
  <c r="AA17" i="70"/>
  <c r="Z17" i="70"/>
  <c r="X17" i="70"/>
  <c r="W17" i="70"/>
  <c r="V17" i="70"/>
  <c r="T17" i="70"/>
  <c r="S17" i="70"/>
  <c r="R17" i="70"/>
  <c r="Q17" i="70"/>
  <c r="AC17" i="70" s="1"/>
  <c r="B17" i="70"/>
  <c r="AE16" i="70"/>
  <c r="AD16" i="70"/>
  <c r="AA16" i="70"/>
  <c r="Z16" i="70"/>
  <c r="W16" i="70"/>
  <c r="V16" i="70"/>
  <c r="S16" i="70"/>
  <c r="R16" i="70"/>
  <c r="Q16" i="70"/>
  <c r="AF16" i="70" s="1"/>
  <c r="B16" i="70"/>
  <c r="Q15" i="70"/>
  <c r="AE15" i="70" s="1"/>
  <c r="B15" i="70"/>
  <c r="AF14" i="70"/>
  <c r="AB14" i="70"/>
  <c r="X14" i="70"/>
  <c r="T14" i="70"/>
  <c r="Q14" i="70"/>
  <c r="AD14" i="70" s="1"/>
  <c r="B14" i="70"/>
  <c r="AF13" i="70"/>
  <c r="AE13" i="70"/>
  <c r="AB13" i="70"/>
  <c r="AA13" i="70"/>
  <c r="X13" i="70"/>
  <c r="W13" i="70"/>
  <c r="T13" i="70"/>
  <c r="S13" i="70"/>
  <c r="Q13" i="70"/>
  <c r="AD13" i="70" s="1"/>
  <c r="B13" i="70"/>
  <c r="AF12" i="70"/>
  <c r="AE12" i="70"/>
  <c r="AB12" i="70"/>
  <c r="AA12" i="70"/>
  <c r="X12" i="70"/>
  <c r="W12" i="70"/>
  <c r="T12" i="70"/>
  <c r="S12" i="70"/>
  <c r="Q12" i="70"/>
  <c r="AD12" i="70" s="1"/>
  <c r="B12" i="70"/>
  <c r="AF11" i="70"/>
  <c r="AE11" i="70"/>
  <c r="AB11" i="70"/>
  <c r="AA11" i="70"/>
  <c r="X11" i="70"/>
  <c r="W11" i="70"/>
  <c r="T11" i="70"/>
  <c r="S11" i="70"/>
  <c r="Q11" i="70"/>
  <c r="AD11" i="70" s="1"/>
  <c r="B11" i="70"/>
  <c r="AF10" i="70"/>
  <c r="AE10" i="70"/>
  <c r="AB10" i="70"/>
  <c r="AA10" i="70"/>
  <c r="X10" i="70"/>
  <c r="W10" i="70"/>
  <c r="T10" i="70"/>
  <c r="S10" i="70"/>
  <c r="Q10" i="70"/>
  <c r="AD10" i="70" s="1"/>
  <c r="B10" i="70"/>
  <c r="AF9" i="70"/>
  <c r="AE9" i="70"/>
  <c r="AB9" i="70"/>
  <c r="AA9" i="70"/>
  <c r="X9" i="70"/>
  <c r="W9" i="70"/>
  <c r="T9" i="70"/>
  <c r="S9" i="70"/>
  <c r="Q9" i="70"/>
  <c r="AD9" i="70" s="1"/>
  <c r="B9" i="70"/>
  <c r="AF8" i="70"/>
  <c r="AE8" i="70"/>
  <c r="AB8" i="70"/>
  <c r="AA8" i="70"/>
  <c r="X8" i="70"/>
  <c r="W8" i="70"/>
  <c r="T8" i="70"/>
  <c r="S8" i="70"/>
  <c r="Q8" i="70"/>
  <c r="AD8" i="70" s="1"/>
  <c r="B8" i="70"/>
  <c r="AF7" i="70"/>
  <c r="AE7" i="70"/>
  <c r="AB7" i="70"/>
  <c r="AA7" i="70"/>
  <c r="X7" i="70"/>
  <c r="W7" i="70"/>
  <c r="T7" i="70"/>
  <c r="S7" i="70"/>
  <c r="Q7" i="70"/>
  <c r="AD7" i="70" s="1"/>
  <c r="B7" i="70"/>
  <c r="AF6" i="70"/>
  <c r="AE6" i="70"/>
  <c r="AB6" i="70"/>
  <c r="AA6" i="70"/>
  <c r="X6" i="70"/>
  <c r="W6" i="70"/>
  <c r="T6" i="70"/>
  <c r="S6" i="70"/>
  <c r="Q6" i="70"/>
  <c r="AD6" i="70" s="1"/>
  <c r="B6" i="70"/>
  <c r="AF5" i="70"/>
  <c r="AE5" i="70"/>
  <c r="AB5" i="70"/>
  <c r="AA5" i="70"/>
  <c r="X5" i="70"/>
  <c r="W5" i="70"/>
  <c r="T5" i="70"/>
  <c r="S5" i="70"/>
  <c r="Q5" i="70"/>
  <c r="AD5" i="70" s="1"/>
  <c r="B5" i="70"/>
  <c r="AF4" i="70"/>
  <c r="AE4" i="70"/>
  <c r="AB4" i="70"/>
  <c r="AA4" i="70"/>
  <c r="X4" i="70"/>
  <c r="W4" i="70"/>
  <c r="T4" i="70"/>
  <c r="S4" i="70"/>
  <c r="Q4" i="70"/>
  <c r="AD4" i="70" s="1"/>
  <c r="B4" i="70"/>
  <c r="AF3" i="70"/>
  <c r="AE3" i="70"/>
  <c r="AB3" i="70"/>
  <c r="AA3" i="70"/>
  <c r="X3" i="70"/>
  <c r="W3" i="70"/>
  <c r="T3" i="70"/>
  <c r="S3" i="70"/>
  <c r="Q3" i="70"/>
  <c r="AD3" i="70" s="1"/>
  <c r="B3" i="70"/>
  <c r="H6" i="71" l="1"/>
  <c r="E68" i="71" s="1"/>
  <c r="O34" i="84"/>
  <c r="O36" i="84" s="1"/>
  <c r="O34" i="80"/>
  <c r="O36" i="80" s="1"/>
  <c r="O34" i="83"/>
  <c r="O36" i="83" s="1"/>
  <c r="O34" i="79"/>
  <c r="O36" i="79" s="1"/>
  <c r="O34" i="87"/>
  <c r="O36" i="87" s="1"/>
  <c r="O34" i="82"/>
  <c r="O36" i="82" s="1"/>
  <c r="O34" i="78"/>
  <c r="O36" i="78" s="1"/>
  <c r="O34" i="86"/>
  <c r="O36" i="86" s="1"/>
  <c r="O34" i="81"/>
  <c r="O36" i="81" s="1"/>
  <c r="E11" i="72"/>
  <c r="E39" i="72"/>
  <c r="E119" i="72"/>
  <c r="E183" i="72"/>
  <c r="E83" i="72"/>
  <c r="E2" i="72"/>
  <c r="E116" i="72"/>
  <c r="H7" i="72"/>
  <c r="E60" i="72" s="1"/>
  <c r="H11" i="72"/>
  <c r="E93" i="72" s="1"/>
  <c r="E61" i="72"/>
  <c r="E210" i="72"/>
  <c r="E221" i="72"/>
  <c r="E13" i="72"/>
  <c r="E252" i="72"/>
  <c r="E67" i="72"/>
  <c r="E31" i="72"/>
  <c r="E45" i="72"/>
  <c r="E77" i="72"/>
  <c r="E84" i="72"/>
  <c r="E231" i="72"/>
  <c r="E71" i="72"/>
  <c r="E85" i="72"/>
  <c r="O11" i="22"/>
  <c r="O13" i="22" s="1"/>
  <c r="B10" i="69" s="1"/>
  <c r="E5" i="72"/>
  <c r="H9" i="72"/>
  <c r="E36" i="72"/>
  <c r="E135" i="72"/>
  <c r="E3" i="72"/>
  <c r="E8" i="72"/>
  <c r="E23" i="72"/>
  <c r="H5" i="72"/>
  <c r="E130" i="72" s="1"/>
  <c r="E44" i="72"/>
  <c r="E55" i="72"/>
  <c r="E76" i="72"/>
  <c r="E98" i="72"/>
  <c r="E109" i="72"/>
  <c r="E151" i="72"/>
  <c r="E162" i="72"/>
  <c r="E173" i="72"/>
  <c r="E237" i="72"/>
  <c r="E26" i="72"/>
  <c r="E42" i="72"/>
  <c r="E82" i="72"/>
  <c r="E94" i="72"/>
  <c r="E104" i="72"/>
  <c r="E126" i="72"/>
  <c r="E136" i="72"/>
  <c r="E158" i="72"/>
  <c r="E168" i="72"/>
  <c r="E238" i="72"/>
  <c r="H3" i="72"/>
  <c r="E16" i="72"/>
  <c r="E24" i="72"/>
  <c r="E32" i="72"/>
  <c r="E37" i="72"/>
  <c r="E56" i="72"/>
  <c r="E95" i="72"/>
  <c r="E101" i="72"/>
  <c r="E111" i="72"/>
  <c r="E127" i="72"/>
  <c r="E143" i="72"/>
  <c r="E159" i="72"/>
  <c r="E165" i="72"/>
  <c r="E175" i="72"/>
  <c r="E181" i="72"/>
  <c r="E191" i="72"/>
  <c r="E197" i="72"/>
  <c r="E213" i="72"/>
  <c r="E223" i="72"/>
  <c r="E229" i="72"/>
  <c r="E239" i="72"/>
  <c r="E255" i="72"/>
  <c r="E50" i="72"/>
  <c r="E58" i="72"/>
  <c r="E88" i="72"/>
  <c r="E110" i="72"/>
  <c r="E120" i="72"/>
  <c r="E142" i="72"/>
  <c r="E152" i="72"/>
  <c r="E190" i="72"/>
  <c r="E200" i="72"/>
  <c r="H8" i="72"/>
  <c r="E80" i="72" s="1"/>
  <c r="H12" i="72"/>
  <c r="H4" i="72"/>
  <c r="E30" i="72"/>
  <c r="E38" i="72"/>
  <c r="E46" i="72"/>
  <c r="E70" i="72"/>
  <c r="E102" i="72"/>
  <c r="E112" i="72"/>
  <c r="E118" i="72"/>
  <c r="E144" i="72"/>
  <c r="E150" i="72"/>
  <c r="E160" i="72"/>
  <c r="E176" i="72"/>
  <c r="E182" i="72"/>
  <c r="E198" i="72"/>
  <c r="E208" i="72"/>
  <c r="E214" i="72"/>
  <c r="E230" i="72"/>
  <c r="E240" i="72"/>
  <c r="E89" i="72"/>
  <c r="E113" i="72"/>
  <c r="E121" i="72"/>
  <c r="E129" i="72"/>
  <c r="E137" i="72"/>
  <c r="E153" i="72"/>
  <c r="E161" i="72"/>
  <c r="E169" i="72"/>
  <c r="E177" i="72"/>
  <c r="E185" i="72"/>
  <c r="E193" i="72"/>
  <c r="E209" i="72"/>
  <c r="E217" i="72"/>
  <c r="E225" i="72"/>
  <c r="E233" i="72"/>
  <c r="E241" i="72"/>
  <c r="E249" i="72"/>
  <c r="E99" i="72"/>
  <c r="E107" i="72"/>
  <c r="E115" i="72"/>
  <c r="E123" i="72"/>
  <c r="E131" i="72"/>
  <c r="E139" i="72"/>
  <c r="E147" i="72"/>
  <c r="E163" i="72"/>
  <c r="E171" i="72"/>
  <c r="E187" i="72"/>
  <c r="E195" i="72"/>
  <c r="E203" i="72"/>
  <c r="E211" i="72"/>
  <c r="E219" i="72"/>
  <c r="E235" i="72"/>
  <c r="E243" i="72"/>
  <c r="E251" i="72"/>
  <c r="H2" i="71"/>
  <c r="E198" i="71" s="1"/>
  <c r="H11" i="71"/>
  <c r="E201" i="71" s="1"/>
  <c r="E249" i="71"/>
  <c r="E235" i="71"/>
  <c r="E195" i="71"/>
  <c r="E14" i="71"/>
  <c r="E5" i="71"/>
  <c r="E11" i="71"/>
  <c r="E15" i="71"/>
  <c r="E17" i="71"/>
  <c r="E21" i="71"/>
  <c r="E41" i="71"/>
  <c r="E45" i="71"/>
  <c r="E49" i="71"/>
  <c r="E67" i="71"/>
  <c r="H9" i="71"/>
  <c r="E110" i="71" s="1"/>
  <c r="E119" i="71"/>
  <c r="E133" i="71"/>
  <c r="E165" i="71"/>
  <c r="E229" i="71"/>
  <c r="H3" i="71"/>
  <c r="E196" i="71" s="1"/>
  <c r="H5" i="71"/>
  <c r="E130" i="71" s="1"/>
  <c r="O34" i="2"/>
  <c r="O36" i="2" s="1"/>
  <c r="E253" i="71"/>
  <c r="E245" i="71"/>
  <c r="E227" i="71"/>
  <c r="H8" i="71"/>
  <c r="E189" i="71" s="1"/>
  <c r="H12" i="71"/>
  <c r="E222" i="71" s="1"/>
  <c r="E40" i="71"/>
  <c r="E42" i="71"/>
  <c r="E64" i="71"/>
  <c r="E66" i="71"/>
  <c r="E102" i="71"/>
  <c r="E138" i="71"/>
  <c r="E149" i="71"/>
  <c r="H7" i="71"/>
  <c r="E90" i="71" s="1"/>
  <c r="E109" i="71"/>
  <c r="E125" i="71"/>
  <c r="E146" i="71"/>
  <c r="E157" i="71"/>
  <c r="E126" i="71"/>
  <c r="E134" i="71"/>
  <c r="E190" i="71"/>
  <c r="E230" i="71"/>
  <c r="E246" i="71"/>
  <c r="E100" i="71"/>
  <c r="E108" i="71"/>
  <c r="E124" i="71"/>
  <c r="E156" i="71"/>
  <c r="E172" i="71"/>
  <c r="E180" i="71"/>
  <c r="E220" i="71"/>
  <c r="E252" i="71"/>
  <c r="E218" i="71"/>
  <c r="E226" i="71"/>
  <c r="E234" i="71"/>
  <c r="E128" i="71"/>
  <c r="E136" i="71"/>
  <c r="E152" i="71"/>
  <c r="E160" i="71"/>
  <c r="E168" i="71"/>
  <c r="E176" i="71"/>
  <c r="E200" i="71"/>
  <c r="E208" i="71"/>
  <c r="E224" i="71"/>
  <c r="E240" i="71"/>
  <c r="E256" i="71"/>
  <c r="K43" i="22"/>
  <c r="L36" i="22" s="1"/>
  <c r="S14" i="70"/>
  <c r="W14" i="70"/>
  <c r="AA14" i="70"/>
  <c r="AE14" i="70"/>
  <c r="T15" i="70"/>
  <c r="X15" i="70"/>
  <c r="AB15" i="70"/>
  <c r="AF15" i="70"/>
  <c r="U16" i="70"/>
  <c r="Y16" i="70"/>
  <c r="AC16" i="70"/>
  <c r="S18" i="70"/>
  <c r="W18" i="70"/>
  <c r="AA18" i="70"/>
  <c r="AE18" i="70"/>
  <c r="T19" i="70"/>
  <c r="X19" i="70"/>
  <c r="AB19" i="70"/>
  <c r="AF19" i="70"/>
  <c r="U20" i="70"/>
  <c r="Y20" i="70"/>
  <c r="AC20" i="70"/>
  <c r="S22" i="70"/>
  <c r="W22" i="70"/>
  <c r="AA22" i="70"/>
  <c r="AE22" i="70"/>
  <c r="T23" i="70"/>
  <c r="X23" i="70"/>
  <c r="AB23" i="70"/>
  <c r="AF23" i="70"/>
  <c r="U24" i="70"/>
  <c r="Y24" i="70"/>
  <c r="AC24" i="70"/>
  <c r="S26" i="70"/>
  <c r="W26" i="70"/>
  <c r="AA26" i="70"/>
  <c r="AE26" i="70"/>
  <c r="T27" i="70"/>
  <c r="X27" i="70"/>
  <c r="AB27" i="70"/>
  <c r="AF27" i="70"/>
  <c r="U28" i="70"/>
  <c r="Y28" i="70"/>
  <c r="AC28" i="70"/>
  <c r="S30" i="70"/>
  <c r="W30" i="70"/>
  <c r="AA30" i="70"/>
  <c r="AE30" i="70"/>
  <c r="T31" i="70"/>
  <c r="X31" i="70"/>
  <c r="AB31" i="70"/>
  <c r="AF31" i="70"/>
  <c r="U32" i="70"/>
  <c r="Y32" i="70"/>
  <c r="AC32" i="70"/>
  <c r="S34" i="70"/>
  <c r="W34" i="70"/>
  <c r="AA34" i="70"/>
  <c r="AE34" i="70"/>
  <c r="T35" i="70"/>
  <c r="X35" i="70"/>
  <c r="AB35" i="70"/>
  <c r="AF35" i="70"/>
  <c r="U36" i="70"/>
  <c r="Y36" i="70"/>
  <c r="AC36" i="70"/>
  <c r="S38" i="70"/>
  <c r="W38" i="70"/>
  <c r="AA38" i="70"/>
  <c r="AE38" i="70"/>
  <c r="T39" i="70"/>
  <c r="X39" i="70"/>
  <c r="AB39" i="70"/>
  <c r="AF39" i="70"/>
  <c r="U40" i="70"/>
  <c r="Y40" i="70"/>
  <c r="AC40" i="70"/>
  <c r="S42" i="70"/>
  <c r="W42" i="70"/>
  <c r="AA42" i="70"/>
  <c r="AE42" i="70"/>
  <c r="T43" i="70"/>
  <c r="X43" i="70"/>
  <c r="AB43" i="70"/>
  <c r="AF43" i="70"/>
  <c r="U44" i="70"/>
  <c r="Y44" i="70"/>
  <c r="AC44" i="70"/>
  <c r="S46" i="70"/>
  <c r="W46" i="70"/>
  <c r="AA46" i="70"/>
  <c r="AE46" i="70"/>
  <c r="T47" i="70"/>
  <c r="X47" i="70"/>
  <c r="AB47" i="70"/>
  <c r="AF47" i="70"/>
  <c r="U48" i="70"/>
  <c r="Y48" i="70"/>
  <c r="AC48" i="70"/>
  <c r="S50" i="70"/>
  <c r="W50" i="70"/>
  <c r="AA50" i="70"/>
  <c r="AE50" i="70"/>
  <c r="T51" i="70"/>
  <c r="X51" i="70"/>
  <c r="AB51" i="70"/>
  <c r="AF51" i="70"/>
  <c r="U52" i="70"/>
  <c r="Y52" i="70"/>
  <c r="AC52" i="70"/>
  <c r="S54" i="70"/>
  <c r="W54" i="70"/>
  <c r="AA54" i="70"/>
  <c r="AE54" i="70"/>
  <c r="T55" i="70"/>
  <c r="X55" i="70"/>
  <c r="AB55" i="70"/>
  <c r="AF55" i="70"/>
  <c r="U56" i="70"/>
  <c r="Y56" i="70"/>
  <c r="AC56" i="70"/>
  <c r="S58" i="70"/>
  <c r="W58" i="70"/>
  <c r="AA58" i="70"/>
  <c r="AE58" i="70"/>
  <c r="T59" i="70"/>
  <c r="X59" i="70"/>
  <c r="AB59" i="70"/>
  <c r="AF59" i="70"/>
  <c r="U60" i="70"/>
  <c r="Y60" i="70"/>
  <c r="AC60" i="70"/>
  <c r="S62" i="70"/>
  <c r="W62" i="70"/>
  <c r="AA62" i="70"/>
  <c r="AE62" i="70"/>
  <c r="T63" i="70"/>
  <c r="X63" i="70"/>
  <c r="AB63" i="70"/>
  <c r="AF63" i="70"/>
  <c r="U64" i="70"/>
  <c r="Y64" i="70"/>
  <c r="AC64" i="70"/>
  <c r="S66" i="70"/>
  <c r="W66" i="70"/>
  <c r="AA66" i="70"/>
  <c r="AE66" i="70"/>
  <c r="T67" i="70"/>
  <c r="Z67" i="70"/>
  <c r="AD68" i="70"/>
  <c r="Z68" i="70"/>
  <c r="V68" i="70"/>
  <c r="R68" i="70"/>
  <c r="W68" i="70"/>
  <c r="AB68" i="70"/>
  <c r="T69" i="70"/>
  <c r="Y69" i="70"/>
  <c r="AD69" i="70"/>
  <c r="U70" i="70"/>
  <c r="Z70" i="70"/>
  <c r="U73" i="70"/>
  <c r="Z73" i="70"/>
  <c r="AF74" i="70"/>
  <c r="AB74" i="70"/>
  <c r="X74" i="70"/>
  <c r="T74" i="70"/>
  <c r="V74" i="70"/>
  <c r="AA74" i="70"/>
  <c r="X76" i="70"/>
  <c r="V81" i="70"/>
  <c r="X84" i="70"/>
  <c r="V89" i="70"/>
  <c r="X92" i="70"/>
  <c r="V97" i="70"/>
  <c r="X100" i="70"/>
  <c r="V105" i="70"/>
  <c r="X108" i="70"/>
  <c r="V113" i="70"/>
  <c r="X116" i="70"/>
  <c r="V121" i="70"/>
  <c r="X124" i="70"/>
  <c r="V129" i="70"/>
  <c r="AD132" i="70"/>
  <c r="Z132" i="70"/>
  <c r="V132" i="70"/>
  <c r="R132" i="70"/>
  <c r="AE132" i="70"/>
  <c r="AA132" i="70"/>
  <c r="Y132" i="70"/>
  <c r="T132" i="70"/>
  <c r="AB132" i="70"/>
  <c r="U132" i="70"/>
  <c r="AC132" i="70"/>
  <c r="AF189" i="70"/>
  <c r="AB189" i="70"/>
  <c r="X189" i="70"/>
  <c r="T189" i="70"/>
  <c r="AE189" i="70"/>
  <c r="Z189" i="70"/>
  <c r="U189" i="70"/>
  <c r="AC189" i="70"/>
  <c r="W189" i="70"/>
  <c r="R189" i="70"/>
  <c r="V189" i="70"/>
  <c r="Y189" i="70"/>
  <c r="AA189" i="70"/>
  <c r="AD189" i="70"/>
  <c r="AE204" i="70"/>
  <c r="AA204" i="70"/>
  <c r="W204" i="70"/>
  <c r="S204" i="70"/>
  <c r="AF204" i="70"/>
  <c r="AB204" i="70"/>
  <c r="X204" i="70"/>
  <c r="T204" i="70"/>
  <c r="Z204" i="70"/>
  <c r="R204" i="70"/>
  <c r="AD204" i="70"/>
  <c r="V204" i="70"/>
  <c r="U204" i="70"/>
  <c r="Y204" i="70"/>
  <c r="AC204" i="70"/>
  <c r="Y15" i="70"/>
  <c r="AC15" i="70"/>
  <c r="U23" i="70"/>
  <c r="Y23" i="70"/>
  <c r="AC23" i="70"/>
  <c r="U27" i="70"/>
  <c r="Y27" i="70"/>
  <c r="AC27" i="70"/>
  <c r="U31" i="70"/>
  <c r="Y31" i="70"/>
  <c r="AC31" i="70"/>
  <c r="U35" i="70"/>
  <c r="Y35" i="70"/>
  <c r="AC35" i="70"/>
  <c r="U39" i="70"/>
  <c r="Y39" i="70"/>
  <c r="AC39" i="70"/>
  <c r="U43" i="70"/>
  <c r="Y43" i="70"/>
  <c r="AC43" i="70"/>
  <c r="U47" i="70"/>
  <c r="Y47" i="70"/>
  <c r="AC47" i="70"/>
  <c r="U51" i="70"/>
  <c r="Y51" i="70"/>
  <c r="AC51" i="70"/>
  <c r="T54" i="70"/>
  <c r="X54" i="70"/>
  <c r="AB54" i="70"/>
  <c r="AF54" i="70"/>
  <c r="U55" i="70"/>
  <c r="Y55" i="70"/>
  <c r="AC55" i="70"/>
  <c r="T58" i="70"/>
  <c r="X58" i="70"/>
  <c r="AB58" i="70"/>
  <c r="AF58" i="70"/>
  <c r="U59" i="70"/>
  <c r="Y59" i="70"/>
  <c r="AC59" i="70"/>
  <c r="T62" i="70"/>
  <c r="X62" i="70"/>
  <c r="AB62" i="70"/>
  <c r="AF62" i="70"/>
  <c r="U63" i="70"/>
  <c r="Y63" i="70"/>
  <c r="AC63" i="70"/>
  <c r="T66" i="70"/>
  <c r="X66" i="70"/>
  <c r="AB66" i="70"/>
  <c r="AF66" i="70"/>
  <c r="AC67" i="70"/>
  <c r="Y67" i="70"/>
  <c r="U67" i="70"/>
  <c r="V67" i="70"/>
  <c r="AA67" i="70"/>
  <c r="AF67" i="70"/>
  <c r="U69" i="70"/>
  <c r="Z69" i="70"/>
  <c r="AF70" i="70"/>
  <c r="AB70" i="70"/>
  <c r="X70" i="70"/>
  <c r="T70" i="70"/>
  <c r="V70" i="70"/>
  <c r="AA70" i="70"/>
  <c r="AE73" i="70"/>
  <c r="AA73" i="70"/>
  <c r="W73" i="70"/>
  <c r="S73" i="70"/>
  <c r="V73" i="70"/>
  <c r="AB73" i="70"/>
  <c r="AD76" i="70"/>
  <c r="Z76" i="70"/>
  <c r="V76" i="70"/>
  <c r="R76" i="70"/>
  <c r="AE76" i="70"/>
  <c r="AA76" i="70"/>
  <c r="W76" i="70"/>
  <c r="S76" i="70"/>
  <c r="Y76" i="70"/>
  <c r="AE81" i="70"/>
  <c r="AA81" i="70"/>
  <c r="W81" i="70"/>
  <c r="S81" i="70"/>
  <c r="AF81" i="70"/>
  <c r="AB81" i="70"/>
  <c r="X81" i="70"/>
  <c r="T81" i="70"/>
  <c r="Y81" i="70"/>
  <c r="AD84" i="70"/>
  <c r="Z84" i="70"/>
  <c r="V84" i="70"/>
  <c r="R84" i="70"/>
  <c r="AE84" i="70"/>
  <c r="AA84" i="70"/>
  <c r="W84" i="70"/>
  <c r="S84" i="70"/>
  <c r="Y84" i="70"/>
  <c r="AE89" i="70"/>
  <c r="AA89" i="70"/>
  <c r="W89" i="70"/>
  <c r="S89" i="70"/>
  <c r="AF89" i="70"/>
  <c r="AB89" i="70"/>
  <c r="X89" i="70"/>
  <c r="T89" i="70"/>
  <c r="Y89" i="70"/>
  <c r="AD92" i="70"/>
  <c r="Z92" i="70"/>
  <c r="V92" i="70"/>
  <c r="R92" i="70"/>
  <c r="AE92" i="70"/>
  <c r="AA92" i="70"/>
  <c r="W92" i="70"/>
  <c r="S92" i="70"/>
  <c r="Y92" i="70"/>
  <c r="AE97" i="70"/>
  <c r="AA97" i="70"/>
  <c r="W97" i="70"/>
  <c r="S97" i="70"/>
  <c r="AF97" i="70"/>
  <c r="AB97" i="70"/>
  <c r="X97" i="70"/>
  <c r="T97" i="70"/>
  <c r="Y97" i="70"/>
  <c r="AD100" i="70"/>
  <c r="Z100" i="70"/>
  <c r="V100" i="70"/>
  <c r="R100" i="70"/>
  <c r="AE100" i="70"/>
  <c r="AA100" i="70"/>
  <c r="W100" i="70"/>
  <c r="S100" i="70"/>
  <c r="Y100" i="70"/>
  <c r="AE105" i="70"/>
  <c r="AA105" i="70"/>
  <c r="W105" i="70"/>
  <c r="S105" i="70"/>
  <c r="AF105" i="70"/>
  <c r="AB105" i="70"/>
  <c r="X105" i="70"/>
  <c r="T105" i="70"/>
  <c r="Y105" i="70"/>
  <c r="AD108" i="70"/>
  <c r="Z108" i="70"/>
  <c r="V108" i="70"/>
  <c r="R108" i="70"/>
  <c r="AE108" i="70"/>
  <c r="AA108" i="70"/>
  <c r="W108" i="70"/>
  <c r="S108" i="70"/>
  <c r="Y108" i="70"/>
  <c r="AE113" i="70"/>
  <c r="AA113" i="70"/>
  <c r="W113" i="70"/>
  <c r="S113" i="70"/>
  <c r="AF113" i="70"/>
  <c r="AB113" i="70"/>
  <c r="X113" i="70"/>
  <c r="T113" i="70"/>
  <c r="Y113" i="70"/>
  <c r="AD116" i="70"/>
  <c r="Z116" i="70"/>
  <c r="V116" i="70"/>
  <c r="R116" i="70"/>
  <c r="AE116" i="70"/>
  <c r="AA116" i="70"/>
  <c r="W116" i="70"/>
  <c r="S116" i="70"/>
  <c r="Y116" i="70"/>
  <c r="AE121" i="70"/>
  <c r="AA121" i="70"/>
  <c r="W121" i="70"/>
  <c r="S121" i="70"/>
  <c r="AF121" i="70"/>
  <c r="AB121" i="70"/>
  <c r="X121" i="70"/>
  <c r="T121" i="70"/>
  <c r="Y121" i="70"/>
  <c r="AD124" i="70"/>
  <c r="Z124" i="70"/>
  <c r="V124" i="70"/>
  <c r="R124" i="70"/>
  <c r="AE124" i="70"/>
  <c r="AA124" i="70"/>
  <c r="W124" i="70"/>
  <c r="S124" i="70"/>
  <c r="Y124" i="70"/>
  <c r="AE129" i="70"/>
  <c r="AA129" i="70"/>
  <c r="W129" i="70"/>
  <c r="S129" i="70"/>
  <c r="AF129" i="70"/>
  <c r="AB129" i="70"/>
  <c r="X129" i="70"/>
  <c r="T129" i="70"/>
  <c r="Y129" i="70"/>
  <c r="AE141" i="70"/>
  <c r="AA141" i="70"/>
  <c r="W141" i="70"/>
  <c r="S141" i="70"/>
  <c r="AF141" i="70"/>
  <c r="AB141" i="70"/>
  <c r="X141" i="70"/>
  <c r="T141" i="70"/>
  <c r="AC141" i="70"/>
  <c r="U141" i="70"/>
  <c r="AD141" i="70"/>
  <c r="V141" i="70"/>
  <c r="AD144" i="70"/>
  <c r="Z144" i="70"/>
  <c r="V144" i="70"/>
  <c r="R144" i="70"/>
  <c r="AE144" i="70"/>
  <c r="AA144" i="70"/>
  <c r="W144" i="70"/>
  <c r="S144" i="70"/>
  <c r="AC144" i="70"/>
  <c r="U144" i="70"/>
  <c r="AF144" i="70"/>
  <c r="X144" i="70"/>
  <c r="AE157" i="70"/>
  <c r="AA157" i="70"/>
  <c r="W157" i="70"/>
  <c r="S157" i="70"/>
  <c r="AF157" i="70"/>
  <c r="AB157" i="70"/>
  <c r="X157" i="70"/>
  <c r="T157" i="70"/>
  <c r="AC157" i="70"/>
  <c r="U157" i="70"/>
  <c r="AD157" i="70"/>
  <c r="V157" i="70"/>
  <c r="AD160" i="70"/>
  <c r="Z160" i="70"/>
  <c r="V160" i="70"/>
  <c r="R160" i="70"/>
  <c r="AE160" i="70"/>
  <c r="AA160" i="70"/>
  <c r="W160" i="70"/>
  <c r="S160" i="70"/>
  <c r="AC160" i="70"/>
  <c r="U160" i="70"/>
  <c r="AF160" i="70"/>
  <c r="X160" i="70"/>
  <c r="AE173" i="70"/>
  <c r="AA173" i="70"/>
  <c r="W173" i="70"/>
  <c r="S173" i="70"/>
  <c r="AF173" i="70"/>
  <c r="AB173" i="70"/>
  <c r="X173" i="70"/>
  <c r="T173" i="70"/>
  <c r="AC173" i="70"/>
  <c r="U173" i="70"/>
  <c r="AD173" i="70"/>
  <c r="V173" i="70"/>
  <c r="AE220" i="70"/>
  <c r="AA220" i="70"/>
  <c r="W220" i="70"/>
  <c r="S220" i="70"/>
  <c r="AF220" i="70"/>
  <c r="AB220" i="70"/>
  <c r="X220" i="70"/>
  <c r="T220" i="70"/>
  <c r="Z220" i="70"/>
  <c r="R220" i="70"/>
  <c r="AD220" i="70"/>
  <c r="V220" i="70"/>
  <c r="U220" i="70"/>
  <c r="Y220" i="70"/>
  <c r="AC220" i="70"/>
  <c r="Y19" i="70"/>
  <c r="U3" i="70"/>
  <c r="AC3" i="70"/>
  <c r="U4" i="70"/>
  <c r="AC4" i="70"/>
  <c r="U5" i="70"/>
  <c r="AC5" i="70"/>
  <c r="U6" i="70"/>
  <c r="Y6" i="70"/>
  <c r="Y7" i="70"/>
  <c r="AC7" i="70"/>
  <c r="U8" i="70"/>
  <c r="AC8" i="70"/>
  <c r="U9" i="70"/>
  <c r="AC9" i="70"/>
  <c r="Y10" i="70"/>
  <c r="Y11" i="70"/>
  <c r="U12" i="70"/>
  <c r="AC12" i="70"/>
  <c r="Y13" i="70"/>
  <c r="Y14" i="70"/>
  <c r="AC14" i="70"/>
  <c r="R15" i="70"/>
  <c r="V15" i="70"/>
  <c r="Z15" i="70"/>
  <c r="AD15" i="70"/>
  <c r="U15" i="70"/>
  <c r="U19" i="70"/>
  <c r="AC19" i="70"/>
  <c r="Y3" i="70"/>
  <c r="Y4" i="70"/>
  <c r="Y5" i="70"/>
  <c r="AC6" i="70"/>
  <c r="U7" i="70"/>
  <c r="Y8" i="70"/>
  <c r="Y9" i="70"/>
  <c r="U10" i="70"/>
  <c r="AC10" i="70"/>
  <c r="U11" i="70"/>
  <c r="AC11" i="70"/>
  <c r="Y12" i="70"/>
  <c r="U13" i="70"/>
  <c r="AC13" i="70"/>
  <c r="U14" i="70"/>
  <c r="U18" i="70"/>
  <c r="Y18" i="70"/>
  <c r="AC18" i="70"/>
  <c r="R19" i="70"/>
  <c r="V19" i="70"/>
  <c r="Z19" i="70"/>
  <c r="AD19" i="70"/>
  <c r="U22" i="70"/>
  <c r="Y22" i="70"/>
  <c r="AC22" i="70"/>
  <c r="R23" i="70"/>
  <c r="V23" i="70"/>
  <c r="Z23" i="70"/>
  <c r="AD23" i="70"/>
  <c r="U26" i="70"/>
  <c r="Y26" i="70"/>
  <c r="AC26" i="70"/>
  <c r="R27" i="70"/>
  <c r="V27" i="70"/>
  <c r="Z27" i="70"/>
  <c r="AD27" i="70"/>
  <c r="U30" i="70"/>
  <c r="Y30" i="70"/>
  <c r="AC30" i="70"/>
  <c r="R31" i="70"/>
  <c r="V31" i="70"/>
  <c r="Z31" i="70"/>
  <c r="AD31" i="70"/>
  <c r="U34" i="70"/>
  <c r="Y34" i="70"/>
  <c r="AC34" i="70"/>
  <c r="R35" i="70"/>
  <c r="V35" i="70"/>
  <c r="Z35" i="70"/>
  <c r="AD35" i="70"/>
  <c r="U38" i="70"/>
  <c r="Y38" i="70"/>
  <c r="AC38" i="70"/>
  <c r="R39" i="70"/>
  <c r="V39" i="70"/>
  <c r="Z39" i="70"/>
  <c r="AD39" i="70"/>
  <c r="U42" i="70"/>
  <c r="Y42" i="70"/>
  <c r="AC42" i="70"/>
  <c r="R43" i="70"/>
  <c r="V43" i="70"/>
  <c r="Z43" i="70"/>
  <c r="AD43" i="70"/>
  <c r="U46" i="70"/>
  <c r="Y46" i="70"/>
  <c r="AC46" i="70"/>
  <c r="R47" i="70"/>
  <c r="V47" i="70"/>
  <c r="Z47" i="70"/>
  <c r="AD47" i="70"/>
  <c r="U50" i="70"/>
  <c r="Y50" i="70"/>
  <c r="AC50" i="70"/>
  <c r="R51" i="70"/>
  <c r="V51" i="70"/>
  <c r="Z51" i="70"/>
  <c r="AD51" i="70"/>
  <c r="U54" i="70"/>
  <c r="Y54" i="70"/>
  <c r="AC54" i="70"/>
  <c r="U58" i="70"/>
  <c r="Y58" i="70"/>
  <c r="AC58" i="70"/>
  <c r="U62" i="70"/>
  <c r="Y62" i="70"/>
  <c r="AC62" i="70"/>
  <c r="U66" i="70"/>
  <c r="Y66" i="70"/>
  <c r="AC66" i="70"/>
  <c r="AE69" i="70"/>
  <c r="AA69" i="70"/>
  <c r="W69" i="70"/>
  <c r="S69" i="70"/>
  <c r="V69" i="70"/>
  <c r="AB69" i="70"/>
  <c r="T76" i="70"/>
  <c r="AB76" i="70"/>
  <c r="R81" i="70"/>
  <c r="Z81" i="70"/>
  <c r="T84" i="70"/>
  <c r="AB84" i="70"/>
  <c r="R89" i="70"/>
  <c r="Z89" i="70"/>
  <c r="T92" i="70"/>
  <c r="AB92" i="70"/>
  <c r="R97" i="70"/>
  <c r="Z97" i="70"/>
  <c r="T100" i="70"/>
  <c r="AB100" i="70"/>
  <c r="R105" i="70"/>
  <c r="Z105" i="70"/>
  <c r="T108" i="70"/>
  <c r="AB108" i="70"/>
  <c r="R113" i="70"/>
  <c r="Z113" i="70"/>
  <c r="T116" i="70"/>
  <c r="AB116" i="70"/>
  <c r="R121" i="70"/>
  <c r="Z121" i="70"/>
  <c r="T124" i="70"/>
  <c r="AB124" i="70"/>
  <c r="R129" i="70"/>
  <c r="Z129" i="70"/>
  <c r="R141" i="70"/>
  <c r="T144" i="70"/>
  <c r="R157" i="70"/>
  <c r="T160" i="70"/>
  <c r="R173" i="70"/>
  <c r="AD195" i="70"/>
  <c r="Z195" i="70"/>
  <c r="V195" i="70"/>
  <c r="R195" i="70"/>
  <c r="AE195" i="70"/>
  <c r="AA195" i="70"/>
  <c r="W195" i="70"/>
  <c r="S195" i="70"/>
  <c r="AF195" i="70"/>
  <c r="X195" i="70"/>
  <c r="AB195" i="70"/>
  <c r="T195" i="70"/>
  <c r="U195" i="70"/>
  <c r="Y195" i="70"/>
  <c r="AE200" i="70"/>
  <c r="AA200" i="70"/>
  <c r="W200" i="70"/>
  <c r="S200" i="70"/>
  <c r="AF200" i="70"/>
  <c r="AB200" i="70"/>
  <c r="X200" i="70"/>
  <c r="T200" i="70"/>
  <c r="AD200" i="70"/>
  <c r="V200" i="70"/>
  <c r="Z200" i="70"/>
  <c r="R200" i="70"/>
  <c r="Y200" i="70"/>
  <c r="AC200" i="70"/>
  <c r="U200" i="70"/>
  <c r="R3" i="70"/>
  <c r="V3" i="70"/>
  <c r="Z3" i="70"/>
  <c r="R4" i="70"/>
  <c r="V4" i="70"/>
  <c r="Z4" i="70"/>
  <c r="R5" i="70"/>
  <c r="V5" i="70"/>
  <c r="Z5" i="70"/>
  <c r="R6" i="70"/>
  <c r="V6" i="70"/>
  <c r="Z6" i="70"/>
  <c r="R7" i="70"/>
  <c r="V7" i="70"/>
  <c r="Z7" i="70"/>
  <c r="R8" i="70"/>
  <c r="V8" i="70"/>
  <c r="Z8" i="70"/>
  <c r="R9" i="70"/>
  <c r="V9" i="70"/>
  <c r="Z9" i="70"/>
  <c r="R10" i="70"/>
  <c r="V10" i="70"/>
  <c r="Z10" i="70"/>
  <c r="R11" i="70"/>
  <c r="V11" i="70"/>
  <c r="Z11" i="70"/>
  <c r="R12" i="70"/>
  <c r="V12" i="70"/>
  <c r="Z12" i="70"/>
  <c r="R13" i="70"/>
  <c r="V13" i="70"/>
  <c r="Z13" i="70"/>
  <c r="R14" i="70"/>
  <c r="V14" i="70"/>
  <c r="Z14" i="70"/>
  <c r="S15" i="70"/>
  <c r="W15" i="70"/>
  <c r="AA15" i="70"/>
  <c r="T16" i="70"/>
  <c r="X16" i="70"/>
  <c r="AB16" i="70"/>
  <c r="U17" i="70"/>
  <c r="Y17" i="70"/>
  <c r="R18" i="70"/>
  <c r="V18" i="70"/>
  <c r="Z18" i="70"/>
  <c r="S19" i="70"/>
  <c r="W19" i="70"/>
  <c r="AA19" i="70"/>
  <c r="T20" i="70"/>
  <c r="X20" i="70"/>
  <c r="AB20" i="70"/>
  <c r="U21" i="70"/>
  <c r="Y21" i="70"/>
  <c r="R22" i="70"/>
  <c r="V22" i="70"/>
  <c r="Z22" i="70"/>
  <c r="S23" i="70"/>
  <c r="W23" i="70"/>
  <c r="AA23" i="70"/>
  <c r="T24" i="70"/>
  <c r="X24" i="70"/>
  <c r="AB24" i="70"/>
  <c r="U25" i="70"/>
  <c r="Y25" i="70"/>
  <c r="R26" i="70"/>
  <c r="V26" i="70"/>
  <c r="Z26" i="70"/>
  <c r="S27" i="70"/>
  <c r="W27" i="70"/>
  <c r="AA27" i="70"/>
  <c r="T28" i="70"/>
  <c r="X28" i="70"/>
  <c r="AB28" i="70"/>
  <c r="U29" i="70"/>
  <c r="Y29" i="70"/>
  <c r="R30" i="70"/>
  <c r="V30" i="70"/>
  <c r="Z30" i="70"/>
  <c r="S31" i="70"/>
  <c r="W31" i="70"/>
  <c r="AA31" i="70"/>
  <c r="T32" i="70"/>
  <c r="X32" i="70"/>
  <c r="AB32" i="70"/>
  <c r="U33" i="70"/>
  <c r="Y33" i="70"/>
  <c r="R34" i="70"/>
  <c r="V34" i="70"/>
  <c r="Z34" i="70"/>
  <c r="S35" i="70"/>
  <c r="W35" i="70"/>
  <c r="AA35" i="70"/>
  <c r="T36" i="70"/>
  <c r="X36" i="70"/>
  <c r="AB36" i="70"/>
  <c r="U37" i="70"/>
  <c r="Y37" i="70"/>
  <c r="R38" i="70"/>
  <c r="V38" i="70"/>
  <c r="Z38" i="70"/>
  <c r="S39" i="70"/>
  <c r="W39" i="70"/>
  <c r="AA39" i="70"/>
  <c r="T40" i="70"/>
  <c r="X40" i="70"/>
  <c r="AB40" i="70"/>
  <c r="U41" i="70"/>
  <c r="Y41" i="70"/>
  <c r="R42" i="70"/>
  <c r="V42" i="70"/>
  <c r="Z42" i="70"/>
  <c r="S43" i="70"/>
  <c r="W43" i="70"/>
  <c r="AA43" i="70"/>
  <c r="T44" i="70"/>
  <c r="X44" i="70"/>
  <c r="AB44" i="70"/>
  <c r="U45" i="70"/>
  <c r="Y45" i="70"/>
  <c r="R46" i="70"/>
  <c r="V46" i="70"/>
  <c r="Z46" i="70"/>
  <c r="S47" i="70"/>
  <c r="W47" i="70"/>
  <c r="AA47" i="70"/>
  <c r="T48" i="70"/>
  <c r="X48" i="70"/>
  <c r="AB48" i="70"/>
  <c r="U49" i="70"/>
  <c r="Y49" i="70"/>
  <c r="R50" i="70"/>
  <c r="V50" i="70"/>
  <c r="Z50" i="70"/>
  <c r="S51" i="70"/>
  <c r="W51" i="70"/>
  <c r="AA51" i="70"/>
  <c r="T52" i="70"/>
  <c r="X52" i="70"/>
  <c r="AB52" i="70"/>
  <c r="U53" i="70"/>
  <c r="Y53" i="70"/>
  <c r="R54" i="70"/>
  <c r="V54" i="70"/>
  <c r="Z54" i="70"/>
  <c r="S55" i="70"/>
  <c r="W55" i="70"/>
  <c r="AA55" i="70"/>
  <c r="T56" i="70"/>
  <c r="X56" i="70"/>
  <c r="AB56" i="70"/>
  <c r="U57" i="70"/>
  <c r="Y57" i="70"/>
  <c r="R58" i="70"/>
  <c r="V58" i="70"/>
  <c r="Z58" i="70"/>
  <c r="S59" i="70"/>
  <c r="W59" i="70"/>
  <c r="AA59" i="70"/>
  <c r="T60" i="70"/>
  <c r="X60" i="70"/>
  <c r="AB60" i="70"/>
  <c r="U61" i="70"/>
  <c r="Y61" i="70"/>
  <c r="R62" i="70"/>
  <c r="V62" i="70"/>
  <c r="Z62" i="70"/>
  <c r="S63" i="70"/>
  <c r="W63" i="70"/>
  <c r="AA63" i="70"/>
  <c r="T64" i="70"/>
  <c r="X64" i="70"/>
  <c r="AB64" i="70"/>
  <c r="U65" i="70"/>
  <c r="Y65" i="70"/>
  <c r="R66" i="70"/>
  <c r="V66" i="70"/>
  <c r="Z66" i="70"/>
  <c r="S67" i="70"/>
  <c r="X67" i="70"/>
  <c r="AD67" i="70"/>
  <c r="U68" i="70"/>
  <c r="AA68" i="70"/>
  <c r="AF68" i="70"/>
  <c r="R69" i="70"/>
  <c r="X69" i="70"/>
  <c r="AC69" i="70"/>
  <c r="S70" i="70"/>
  <c r="Y70" i="70"/>
  <c r="AD70" i="70"/>
  <c r="AD72" i="70"/>
  <c r="Z72" i="70"/>
  <c r="V72" i="70"/>
  <c r="R72" i="70"/>
  <c r="W72" i="70"/>
  <c r="AB72" i="70"/>
  <c r="T73" i="70"/>
  <c r="Y73" i="70"/>
  <c r="AD73" i="70"/>
  <c r="U74" i="70"/>
  <c r="Z74" i="70"/>
  <c r="AE74" i="70"/>
  <c r="U76" i="70"/>
  <c r="AC76" i="70"/>
  <c r="AE77" i="70"/>
  <c r="AA77" i="70"/>
  <c r="W77" i="70"/>
  <c r="S77" i="70"/>
  <c r="AF77" i="70"/>
  <c r="AB77" i="70"/>
  <c r="X77" i="70"/>
  <c r="T77" i="70"/>
  <c r="Y77" i="70"/>
  <c r="AD80" i="70"/>
  <c r="Z80" i="70"/>
  <c r="V80" i="70"/>
  <c r="R80" i="70"/>
  <c r="AE80" i="70"/>
  <c r="AA80" i="70"/>
  <c r="W80" i="70"/>
  <c r="S80" i="70"/>
  <c r="Y80" i="70"/>
  <c r="U81" i="70"/>
  <c r="AC81" i="70"/>
  <c r="U84" i="70"/>
  <c r="AC84" i="70"/>
  <c r="AE85" i="70"/>
  <c r="AA85" i="70"/>
  <c r="W85" i="70"/>
  <c r="S85" i="70"/>
  <c r="AF85" i="70"/>
  <c r="AB85" i="70"/>
  <c r="X85" i="70"/>
  <c r="T85" i="70"/>
  <c r="Y85" i="70"/>
  <c r="AD88" i="70"/>
  <c r="Z88" i="70"/>
  <c r="V88" i="70"/>
  <c r="R88" i="70"/>
  <c r="AE88" i="70"/>
  <c r="AA88" i="70"/>
  <c r="W88" i="70"/>
  <c r="S88" i="70"/>
  <c r="Y88" i="70"/>
  <c r="U89" i="70"/>
  <c r="AC89" i="70"/>
  <c r="U92" i="70"/>
  <c r="AC92" i="70"/>
  <c r="AE93" i="70"/>
  <c r="AA93" i="70"/>
  <c r="W93" i="70"/>
  <c r="S93" i="70"/>
  <c r="AF93" i="70"/>
  <c r="AB93" i="70"/>
  <c r="X93" i="70"/>
  <c r="T93" i="70"/>
  <c r="Y93" i="70"/>
  <c r="AD96" i="70"/>
  <c r="Z96" i="70"/>
  <c r="V96" i="70"/>
  <c r="R96" i="70"/>
  <c r="AE96" i="70"/>
  <c r="AA96" i="70"/>
  <c r="W96" i="70"/>
  <c r="S96" i="70"/>
  <c r="Y96" i="70"/>
  <c r="U97" i="70"/>
  <c r="AC97" i="70"/>
  <c r="U100" i="70"/>
  <c r="AC100" i="70"/>
  <c r="AE101" i="70"/>
  <c r="AA101" i="70"/>
  <c r="W101" i="70"/>
  <c r="S101" i="70"/>
  <c r="AF101" i="70"/>
  <c r="AB101" i="70"/>
  <c r="X101" i="70"/>
  <c r="T101" i="70"/>
  <c r="Y101" i="70"/>
  <c r="AD104" i="70"/>
  <c r="Z104" i="70"/>
  <c r="V104" i="70"/>
  <c r="R104" i="70"/>
  <c r="AE104" i="70"/>
  <c r="AA104" i="70"/>
  <c r="W104" i="70"/>
  <c r="S104" i="70"/>
  <c r="Y104" i="70"/>
  <c r="U105" i="70"/>
  <c r="AC105" i="70"/>
  <c r="U108" i="70"/>
  <c r="AC108" i="70"/>
  <c r="AE109" i="70"/>
  <c r="AA109" i="70"/>
  <c r="W109" i="70"/>
  <c r="S109" i="70"/>
  <c r="AF109" i="70"/>
  <c r="AB109" i="70"/>
  <c r="X109" i="70"/>
  <c r="T109" i="70"/>
  <c r="Y109" i="70"/>
  <c r="AD112" i="70"/>
  <c r="Z112" i="70"/>
  <c r="V112" i="70"/>
  <c r="R112" i="70"/>
  <c r="AE112" i="70"/>
  <c r="AA112" i="70"/>
  <c r="W112" i="70"/>
  <c r="S112" i="70"/>
  <c r="Y112" i="70"/>
  <c r="U113" i="70"/>
  <c r="AC113" i="70"/>
  <c r="U116" i="70"/>
  <c r="AC116" i="70"/>
  <c r="AE117" i="70"/>
  <c r="AA117" i="70"/>
  <c r="W117" i="70"/>
  <c r="S117" i="70"/>
  <c r="AF117" i="70"/>
  <c r="AB117" i="70"/>
  <c r="X117" i="70"/>
  <c r="T117" i="70"/>
  <c r="Y117" i="70"/>
  <c r="AD120" i="70"/>
  <c r="Z120" i="70"/>
  <c r="V120" i="70"/>
  <c r="R120" i="70"/>
  <c r="AE120" i="70"/>
  <c r="AA120" i="70"/>
  <c r="W120" i="70"/>
  <c r="S120" i="70"/>
  <c r="Y120" i="70"/>
  <c r="U121" i="70"/>
  <c r="AC121" i="70"/>
  <c r="U124" i="70"/>
  <c r="AC124" i="70"/>
  <c r="AE125" i="70"/>
  <c r="AA125" i="70"/>
  <c r="W125" i="70"/>
  <c r="S125" i="70"/>
  <c r="AF125" i="70"/>
  <c r="AB125" i="70"/>
  <c r="X125" i="70"/>
  <c r="T125" i="70"/>
  <c r="Y125" i="70"/>
  <c r="AD128" i="70"/>
  <c r="Z128" i="70"/>
  <c r="V128" i="70"/>
  <c r="R128" i="70"/>
  <c r="AE128" i="70"/>
  <c r="AA128" i="70"/>
  <c r="W128" i="70"/>
  <c r="S128" i="70"/>
  <c r="Y128" i="70"/>
  <c r="U129" i="70"/>
  <c r="AC129" i="70"/>
  <c r="X132" i="70"/>
  <c r="AE133" i="70"/>
  <c r="AA133" i="70"/>
  <c r="W133" i="70"/>
  <c r="S133" i="70"/>
  <c r="AF133" i="70"/>
  <c r="AB133" i="70"/>
  <c r="X133" i="70"/>
  <c r="T133" i="70"/>
  <c r="AC133" i="70"/>
  <c r="U133" i="70"/>
  <c r="AD133" i="70"/>
  <c r="V133" i="70"/>
  <c r="AD136" i="70"/>
  <c r="Z136" i="70"/>
  <c r="V136" i="70"/>
  <c r="R136" i="70"/>
  <c r="AE136" i="70"/>
  <c r="AA136" i="70"/>
  <c r="W136" i="70"/>
  <c r="S136" i="70"/>
  <c r="AC136" i="70"/>
  <c r="U136" i="70"/>
  <c r="AF136" i="70"/>
  <c r="X136" i="70"/>
  <c r="Y141" i="70"/>
  <c r="Y144" i="70"/>
  <c r="AE149" i="70"/>
  <c r="AA149" i="70"/>
  <c r="W149" i="70"/>
  <c r="S149" i="70"/>
  <c r="AF149" i="70"/>
  <c r="AB149" i="70"/>
  <c r="X149" i="70"/>
  <c r="T149" i="70"/>
  <c r="AC149" i="70"/>
  <c r="U149" i="70"/>
  <c r="AD149" i="70"/>
  <c r="V149" i="70"/>
  <c r="AD152" i="70"/>
  <c r="Z152" i="70"/>
  <c r="V152" i="70"/>
  <c r="R152" i="70"/>
  <c r="AE152" i="70"/>
  <c r="AA152" i="70"/>
  <c r="W152" i="70"/>
  <c r="S152" i="70"/>
  <c r="AC152" i="70"/>
  <c r="U152" i="70"/>
  <c r="AF152" i="70"/>
  <c r="X152" i="70"/>
  <c r="Y157" i="70"/>
  <c r="Y160" i="70"/>
  <c r="AE165" i="70"/>
  <c r="AA165" i="70"/>
  <c r="W165" i="70"/>
  <c r="S165" i="70"/>
  <c r="AF165" i="70"/>
  <c r="AB165" i="70"/>
  <c r="X165" i="70"/>
  <c r="T165" i="70"/>
  <c r="AC165" i="70"/>
  <c r="U165" i="70"/>
  <c r="AD165" i="70"/>
  <c r="V165" i="70"/>
  <c r="AD168" i="70"/>
  <c r="Z168" i="70"/>
  <c r="V168" i="70"/>
  <c r="R168" i="70"/>
  <c r="AE168" i="70"/>
  <c r="AA168" i="70"/>
  <c r="W168" i="70"/>
  <c r="S168" i="70"/>
  <c r="AC168" i="70"/>
  <c r="U168" i="70"/>
  <c r="AF168" i="70"/>
  <c r="X168" i="70"/>
  <c r="Y173" i="70"/>
  <c r="AC195" i="70"/>
  <c r="AD211" i="70"/>
  <c r="Z211" i="70"/>
  <c r="V211" i="70"/>
  <c r="R211" i="70"/>
  <c r="AE211" i="70"/>
  <c r="AA211" i="70"/>
  <c r="W211" i="70"/>
  <c r="S211" i="70"/>
  <c r="AF211" i="70"/>
  <c r="X211" i="70"/>
  <c r="AB211" i="70"/>
  <c r="T211" i="70"/>
  <c r="U211" i="70"/>
  <c r="Y211" i="70"/>
  <c r="AE216" i="70"/>
  <c r="AA216" i="70"/>
  <c r="W216" i="70"/>
  <c r="S216" i="70"/>
  <c r="AF216" i="70"/>
  <c r="AB216" i="70"/>
  <c r="X216" i="70"/>
  <c r="T216" i="70"/>
  <c r="AD216" i="70"/>
  <c r="V216" i="70"/>
  <c r="Z216" i="70"/>
  <c r="R216" i="70"/>
  <c r="Y216" i="70"/>
  <c r="AC216" i="70"/>
  <c r="U216" i="70"/>
  <c r="U78" i="70"/>
  <c r="Y78" i="70"/>
  <c r="AC78" i="70"/>
  <c r="U82" i="70"/>
  <c r="Y82" i="70"/>
  <c r="AC82" i="70"/>
  <c r="U86" i="70"/>
  <c r="Y86" i="70"/>
  <c r="AC86" i="70"/>
  <c r="U90" i="70"/>
  <c r="Y90" i="70"/>
  <c r="AC90" i="70"/>
  <c r="U94" i="70"/>
  <c r="Y94" i="70"/>
  <c r="AC94" i="70"/>
  <c r="U98" i="70"/>
  <c r="Y98" i="70"/>
  <c r="AC98" i="70"/>
  <c r="U102" i="70"/>
  <c r="Y102" i="70"/>
  <c r="AC102" i="70"/>
  <c r="U106" i="70"/>
  <c r="Y106" i="70"/>
  <c r="AC106" i="70"/>
  <c r="U110" i="70"/>
  <c r="Y110" i="70"/>
  <c r="AC110" i="70"/>
  <c r="U114" i="70"/>
  <c r="Y114" i="70"/>
  <c r="AC114" i="70"/>
  <c r="U118" i="70"/>
  <c r="Y118" i="70"/>
  <c r="AC118" i="70"/>
  <c r="U122" i="70"/>
  <c r="Y122" i="70"/>
  <c r="AC122" i="70"/>
  <c r="U126" i="70"/>
  <c r="Y126" i="70"/>
  <c r="AC126" i="70"/>
  <c r="U130" i="70"/>
  <c r="Y130" i="70"/>
  <c r="AC130" i="70"/>
  <c r="R169" i="70"/>
  <c r="T172" i="70"/>
  <c r="AD177" i="70"/>
  <c r="Z177" i="70"/>
  <c r="V177" i="70"/>
  <c r="R177" i="70"/>
  <c r="AE177" i="70"/>
  <c r="Y177" i="70"/>
  <c r="T177" i="70"/>
  <c r="AF177" i="70"/>
  <c r="AA177" i="70"/>
  <c r="U177" i="70"/>
  <c r="AB177" i="70"/>
  <c r="U71" i="70"/>
  <c r="Y71" i="70"/>
  <c r="U75" i="70"/>
  <c r="Y75" i="70"/>
  <c r="T78" i="70"/>
  <c r="X78" i="70"/>
  <c r="AB78" i="70"/>
  <c r="U79" i="70"/>
  <c r="Y79" i="70"/>
  <c r="T82" i="70"/>
  <c r="X82" i="70"/>
  <c r="AB82" i="70"/>
  <c r="U83" i="70"/>
  <c r="Y83" i="70"/>
  <c r="T86" i="70"/>
  <c r="X86" i="70"/>
  <c r="AB86" i="70"/>
  <c r="U87" i="70"/>
  <c r="Y87" i="70"/>
  <c r="T90" i="70"/>
  <c r="X90" i="70"/>
  <c r="AB90" i="70"/>
  <c r="U91" i="70"/>
  <c r="Y91" i="70"/>
  <c r="T94" i="70"/>
  <c r="X94" i="70"/>
  <c r="AB94" i="70"/>
  <c r="U95" i="70"/>
  <c r="Y95" i="70"/>
  <c r="T98" i="70"/>
  <c r="X98" i="70"/>
  <c r="AB98" i="70"/>
  <c r="U99" i="70"/>
  <c r="Y99" i="70"/>
  <c r="T102" i="70"/>
  <c r="X102" i="70"/>
  <c r="AB102" i="70"/>
  <c r="U103" i="70"/>
  <c r="Y103" i="70"/>
  <c r="T106" i="70"/>
  <c r="X106" i="70"/>
  <c r="AB106" i="70"/>
  <c r="U107" i="70"/>
  <c r="Y107" i="70"/>
  <c r="T110" i="70"/>
  <c r="X110" i="70"/>
  <c r="AB110" i="70"/>
  <c r="U111" i="70"/>
  <c r="Y111" i="70"/>
  <c r="T114" i="70"/>
  <c r="X114" i="70"/>
  <c r="AB114" i="70"/>
  <c r="U115" i="70"/>
  <c r="Y115" i="70"/>
  <c r="T118" i="70"/>
  <c r="X118" i="70"/>
  <c r="AB118" i="70"/>
  <c r="U119" i="70"/>
  <c r="Y119" i="70"/>
  <c r="T122" i="70"/>
  <c r="X122" i="70"/>
  <c r="AB122" i="70"/>
  <c r="U123" i="70"/>
  <c r="Y123" i="70"/>
  <c r="T126" i="70"/>
  <c r="X126" i="70"/>
  <c r="AB126" i="70"/>
  <c r="U127" i="70"/>
  <c r="Y127" i="70"/>
  <c r="T130" i="70"/>
  <c r="X130" i="70"/>
  <c r="AB130" i="70"/>
  <c r="AE137" i="70"/>
  <c r="AA137" i="70"/>
  <c r="W137" i="70"/>
  <c r="S137" i="70"/>
  <c r="AF137" i="70"/>
  <c r="AB137" i="70"/>
  <c r="X137" i="70"/>
  <c r="T137" i="70"/>
  <c r="Y137" i="70"/>
  <c r="AD140" i="70"/>
  <c r="Z140" i="70"/>
  <c r="V140" i="70"/>
  <c r="R140" i="70"/>
  <c r="AE140" i="70"/>
  <c r="AA140" i="70"/>
  <c r="W140" i="70"/>
  <c r="S140" i="70"/>
  <c r="Y140" i="70"/>
  <c r="AE145" i="70"/>
  <c r="AA145" i="70"/>
  <c r="W145" i="70"/>
  <c r="S145" i="70"/>
  <c r="AF145" i="70"/>
  <c r="AB145" i="70"/>
  <c r="X145" i="70"/>
  <c r="T145" i="70"/>
  <c r="Y145" i="70"/>
  <c r="AD148" i="70"/>
  <c r="Z148" i="70"/>
  <c r="V148" i="70"/>
  <c r="R148" i="70"/>
  <c r="AE148" i="70"/>
  <c r="AA148" i="70"/>
  <c r="W148" i="70"/>
  <c r="S148" i="70"/>
  <c r="Y148" i="70"/>
  <c r="AE153" i="70"/>
  <c r="AA153" i="70"/>
  <c r="W153" i="70"/>
  <c r="S153" i="70"/>
  <c r="AF153" i="70"/>
  <c r="AB153" i="70"/>
  <c r="X153" i="70"/>
  <c r="T153" i="70"/>
  <c r="Y153" i="70"/>
  <c r="AD156" i="70"/>
  <c r="Z156" i="70"/>
  <c r="V156" i="70"/>
  <c r="R156" i="70"/>
  <c r="AE156" i="70"/>
  <c r="AA156" i="70"/>
  <c r="W156" i="70"/>
  <c r="S156" i="70"/>
  <c r="Y156" i="70"/>
  <c r="AE161" i="70"/>
  <c r="AA161" i="70"/>
  <c r="W161" i="70"/>
  <c r="S161" i="70"/>
  <c r="AF161" i="70"/>
  <c r="AB161" i="70"/>
  <c r="X161" i="70"/>
  <c r="T161" i="70"/>
  <c r="Y161" i="70"/>
  <c r="AD164" i="70"/>
  <c r="Z164" i="70"/>
  <c r="V164" i="70"/>
  <c r="R164" i="70"/>
  <c r="AE164" i="70"/>
  <c r="AA164" i="70"/>
  <c r="W164" i="70"/>
  <c r="S164" i="70"/>
  <c r="Y164" i="70"/>
  <c r="AE169" i="70"/>
  <c r="AA169" i="70"/>
  <c r="W169" i="70"/>
  <c r="S169" i="70"/>
  <c r="AF169" i="70"/>
  <c r="AB169" i="70"/>
  <c r="X169" i="70"/>
  <c r="T169" i="70"/>
  <c r="Y169" i="70"/>
  <c r="AD172" i="70"/>
  <c r="Z172" i="70"/>
  <c r="V172" i="70"/>
  <c r="R172" i="70"/>
  <c r="AE172" i="70"/>
  <c r="AA172" i="70"/>
  <c r="W172" i="70"/>
  <c r="S172" i="70"/>
  <c r="Y172" i="70"/>
  <c r="AF179" i="70"/>
  <c r="AB179" i="70"/>
  <c r="X179" i="70"/>
  <c r="T179" i="70"/>
  <c r="AD179" i="70"/>
  <c r="Z179" i="70"/>
  <c r="V179" i="70"/>
  <c r="R179" i="70"/>
  <c r="AA179" i="70"/>
  <c r="S179" i="70"/>
  <c r="AC179" i="70"/>
  <c r="U179" i="70"/>
  <c r="AD185" i="70"/>
  <c r="Z185" i="70"/>
  <c r="V185" i="70"/>
  <c r="R185" i="70"/>
  <c r="AF185" i="70"/>
  <c r="AB185" i="70"/>
  <c r="X185" i="70"/>
  <c r="T185" i="70"/>
  <c r="AC185" i="70"/>
  <c r="U185" i="70"/>
  <c r="AE185" i="70"/>
  <c r="W185" i="70"/>
  <c r="AF187" i="70"/>
  <c r="AB187" i="70"/>
  <c r="X187" i="70"/>
  <c r="T187" i="70"/>
  <c r="AD187" i="70"/>
  <c r="Z187" i="70"/>
  <c r="V187" i="70"/>
  <c r="R187" i="70"/>
  <c r="AA187" i="70"/>
  <c r="S187" i="70"/>
  <c r="AC187" i="70"/>
  <c r="U187" i="70"/>
  <c r="AD207" i="70"/>
  <c r="Z207" i="70"/>
  <c r="V207" i="70"/>
  <c r="R207" i="70"/>
  <c r="AE207" i="70"/>
  <c r="AA207" i="70"/>
  <c r="W207" i="70"/>
  <c r="S207" i="70"/>
  <c r="AB207" i="70"/>
  <c r="T207" i="70"/>
  <c r="AF207" i="70"/>
  <c r="X207" i="70"/>
  <c r="Y207" i="70"/>
  <c r="AC207" i="70"/>
  <c r="AC231" i="70"/>
  <c r="Y231" i="70"/>
  <c r="U231" i="70"/>
  <c r="AD231" i="70"/>
  <c r="X231" i="70"/>
  <c r="S231" i="70"/>
  <c r="AE231" i="70"/>
  <c r="Z231" i="70"/>
  <c r="T231" i="70"/>
  <c r="AF231" i="70"/>
  <c r="V231" i="70"/>
  <c r="W231" i="70"/>
  <c r="AB231" i="70"/>
  <c r="R231" i="70"/>
  <c r="U134" i="70"/>
  <c r="Y134" i="70"/>
  <c r="AC134" i="70"/>
  <c r="U138" i="70"/>
  <c r="Y138" i="70"/>
  <c r="AC138" i="70"/>
  <c r="U142" i="70"/>
  <c r="Y142" i="70"/>
  <c r="AC142" i="70"/>
  <c r="U146" i="70"/>
  <c r="Y146" i="70"/>
  <c r="AC146" i="70"/>
  <c r="U150" i="70"/>
  <c r="Y150" i="70"/>
  <c r="AC150" i="70"/>
  <c r="U154" i="70"/>
  <c r="Y154" i="70"/>
  <c r="AC154" i="70"/>
  <c r="U158" i="70"/>
  <c r="Y158" i="70"/>
  <c r="AC158" i="70"/>
  <c r="U162" i="70"/>
  <c r="Y162" i="70"/>
  <c r="AC162" i="70"/>
  <c r="U166" i="70"/>
  <c r="Y166" i="70"/>
  <c r="AC166" i="70"/>
  <c r="U170" i="70"/>
  <c r="Y170" i="70"/>
  <c r="AC170" i="70"/>
  <c r="U174" i="70"/>
  <c r="Y174" i="70"/>
  <c r="AC174" i="70"/>
  <c r="AF183" i="70"/>
  <c r="AB183" i="70"/>
  <c r="X183" i="70"/>
  <c r="T183" i="70"/>
  <c r="AD183" i="70"/>
  <c r="Z183" i="70"/>
  <c r="V183" i="70"/>
  <c r="R183" i="70"/>
  <c r="Y183" i="70"/>
  <c r="AE196" i="70"/>
  <c r="AA196" i="70"/>
  <c r="W196" i="70"/>
  <c r="S196" i="70"/>
  <c r="AF196" i="70"/>
  <c r="AB196" i="70"/>
  <c r="X196" i="70"/>
  <c r="T196" i="70"/>
  <c r="Z196" i="70"/>
  <c r="R196" i="70"/>
  <c r="AD196" i="70"/>
  <c r="V196" i="70"/>
  <c r="AD203" i="70"/>
  <c r="Z203" i="70"/>
  <c r="V203" i="70"/>
  <c r="R203" i="70"/>
  <c r="AE203" i="70"/>
  <c r="AA203" i="70"/>
  <c r="W203" i="70"/>
  <c r="S203" i="70"/>
  <c r="AF203" i="70"/>
  <c r="X203" i="70"/>
  <c r="AB203" i="70"/>
  <c r="T203" i="70"/>
  <c r="AE212" i="70"/>
  <c r="AA212" i="70"/>
  <c r="W212" i="70"/>
  <c r="S212" i="70"/>
  <c r="AF212" i="70"/>
  <c r="AB212" i="70"/>
  <c r="X212" i="70"/>
  <c r="T212" i="70"/>
  <c r="Z212" i="70"/>
  <c r="R212" i="70"/>
  <c r="AD212" i="70"/>
  <c r="V212" i="70"/>
  <c r="AD219" i="70"/>
  <c r="Z219" i="70"/>
  <c r="V219" i="70"/>
  <c r="R219" i="70"/>
  <c r="AE219" i="70"/>
  <c r="AA219" i="70"/>
  <c r="W219" i="70"/>
  <c r="S219" i="70"/>
  <c r="AF219" i="70"/>
  <c r="X219" i="70"/>
  <c r="AB219" i="70"/>
  <c r="T219" i="70"/>
  <c r="U131" i="70"/>
  <c r="Y131" i="70"/>
  <c r="T134" i="70"/>
  <c r="X134" i="70"/>
  <c r="AB134" i="70"/>
  <c r="U135" i="70"/>
  <c r="Y135" i="70"/>
  <c r="T138" i="70"/>
  <c r="X138" i="70"/>
  <c r="AB138" i="70"/>
  <c r="U139" i="70"/>
  <c r="Y139" i="70"/>
  <c r="T142" i="70"/>
  <c r="X142" i="70"/>
  <c r="AB142" i="70"/>
  <c r="U143" i="70"/>
  <c r="Y143" i="70"/>
  <c r="T146" i="70"/>
  <c r="X146" i="70"/>
  <c r="AB146" i="70"/>
  <c r="U147" i="70"/>
  <c r="Y147" i="70"/>
  <c r="T150" i="70"/>
  <c r="X150" i="70"/>
  <c r="AB150" i="70"/>
  <c r="U151" i="70"/>
  <c r="Y151" i="70"/>
  <c r="T154" i="70"/>
  <c r="X154" i="70"/>
  <c r="AB154" i="70"/>
  <c r="U155" i="70"/>
  <c r="Y155" i="70"/>
  <c r="T158" i="70"/>
  <c r="X158" i="70"/>
  <c r="AB158" i="70"/>
  <c r="U159" i="70"/>
  <c r="Y159" i="70"/>
  <c r="T162" i="70"/>
  <c r="X162" i="70"/>
  <c r="AB162" i="70"/>
  <c r="U163" i="70"/>
  <c r="Y163" i="70"/>
  <c r="T166" i="70"/>
  <c r="X166" i="70"/>
  <c r="AB166" i="70"/>
  <c r="U167" i="70"/>
  <c r="Y167" i="70"/>
  <c r="T170" i="70"/>
  <c r="X170" i="70"/>
  <c r="AB170" i="70"/>
  <c r="U171" i="70"/>
  <c r="Y171" i="70"/>
  <c r="T174" i="70"/>
  <c r="X174" i="70"/>
  <c r="AB174" i="70"/>
  <c r="AF175" i="70"/>
  <c r="AB175" i="70"/>
  <c r="X175" i="70"/>
  <c r="T175" i="70"/>
  <c r="V175" i="70"/>
  <c r="AA175" i="70"/>
  <c r="AE178" i="70"/>
  <c r="AA178" i="70"/>
  <c r="W178" i="70"/>
  <c r="S178" i="70"/>
  <c r="V178" i="70"/>
  <c r="AB178" i="70"/>
  <c r="AD181" i="70"/>
  <c r="Z181" i="70"/>
  <c r="V181" i="70"/>
  <c r="R181" i="70"/>
  <c r="AF181" i="70"/>
  <c r="AB181" i="70"/>
  <c r="X181" i="70"/>
  <c r="T181" i="70"/>
  <c r="Y181" i="70"/>
  <c r="W183" i="70"/>
  <c r="AE183" i="70"/>
  <c r="AD191" i="70"/>
  <c r="Z191" i="70"/>
  <c r="V191" i="70"/>
  <c r="R191" i="70"/>
  <c r="AC191" i="70"/>
  <c r="X191" i="70"/>
  <c r="S191" i="70"/>
  <c r="AF191" i="70"/>
  <c r="AA191" i="70"/>
  <c r="U191" i="70"/>
  <c r="AB191" i="70"/>
  <c r="AE192" i="70"/>
  <c r="AA192" i="70"/>
  <c r="W192" i="70"/>
  <c r="S192" i="70"/>
  <c r="AF192" i="70"/>
  <c r="AB192" i="70"/>
  <c r="X192" i="70"/>
  <c r="T192" i="70"/>
  <c r="AD192" i="70"/>
  <c r="V192" i="70"/>
  <c r="Z192" i="70"/>
  <c r="R192" i="70"/>
  <c r="AC196" i="70"/>
  <c r="AD199" i="70"/>
  <c r="Z199" i="70"/>
  <c r="V199" i="70"/>
  <c r="R199" i="70"/>
  <c r="AE199" i="70"/>
  <c r="AA199" i="70"/>
  <c r="W199" i="70"/>
  <c r="S199" i="70"/>
  <c r="AB199" i="70"/>
  <c r="T199" i="70"/>
  <c r="AF199" i="70"/>
  <c r="X199" i="70"/>
  <c r="AC203" i="70"/>
  <c r="AE208" i="70"/>
  <c r="AA208" i="70"/>
  <c r="W208" i="70"/>
  <c r="S208" i="70"/>
  <c r="AF208" i="70"/>
  <c r="AB208" i="70"/>
  <c r="X208" i="70"/>
  <c r="T208" i="70"/>
  <c r="AD208" i="70"/>
  <c r="V208" i="70"/>
  <c r="Z208" i="70"/>
  <c r="R208" i="70"/>
  <c r="AC212" i="70"/>
  <c r="AD215" i="70"/>
  <c r="Z215" i="70"/>
  <c r="V215" i="70"/>
  <c r="R215" i="70"/>
  <c r="AE215" i="70"/>
  <c r="AA215" i="70"/>
  <c r="W215" i="70"/>
  <c r="S215" i="70"/>
  <c r="AB215" i="70"/>
  <c r="T215" i="70"/>
  <c r="AF215" i="70"/>
  <c r="X215" i="70"/>
  <c r="AC219" i="70"/>
  <c r="AD240" i="70"/>
  <c r="Z240" i="70"/>
  <c r="V240" i="70"/>
  <c r="R240" i="70"/>
  <c r="AC240" i="70"/>
  <c r="X240" i="70"/>
  <c r="S240" i="70"/>
  <c r="AE240" i="70"/>
  <c r="Y240" i="70"/>
  <c r="T240" i="70"/>
  <c r="W240" i="70"/>
  <c r="AA240" i="70"/>
  <c r="U240" i="70"/>
  <c r="AF240" i="70"/>
  <c r="AD250" i="70"/>
  <c r="Z250" i="70"/>
  <c r="V250" i="70"/>
  <c r="R250" i="70"/>
  <c r="AF250" i="70"/>
  <c r="AB250" i="70"/>
  <c r="X250" i="70"/>
  <c r="T250" i="70"/>
  <c r="AE250" i="70"/>
  <c r="AA250" i="70"/>
  <c r="W250" i="70"/>
  <c r="S250" i="70"/>
  <c r="AF248" i="70"/>
  <c r="AF241" i="70"/>
  <c r="AF239" i="70"/>
  <c r="AF232" i="70"/>
  <c r="U250" i="70"/>
  <c r="AF235" i="70"/>
  <c r="AC250" i="70"/>
  <c r="AF224" i="70"/>
  <c r="AF243" i="70"/>
  <c r="Y250" i="70"/>
  <c r="AF236" i="70"/>
  <c r="AF190" i="70"/>
  <c r="AF221" i="70"/>
  <c r="U182" i="70"/>
  <c r="Y182" i="70"/>
  <c r="AC182" i="70"/>
  <c r="U186" i="70"/>
  <c r="Y186" i="70"/>
  <c r="AC186" i="70"/>
  <c r="AF197" i="70"/>
  <c r="AF205" i="70"/>
  <c r="AF213" i="70"/>
  <c r="AD225" i="70"/>
  <c r="Z225" i="70"/>
  <c r="V225" i="70"/>
  <c r="R225" i="70"/>
  <c r="AC225" i="70"/>
  <c r="X225" i="70"/>
  <c r="S225" i="70"/>
  <c r="AE225" i="70"/>
  <c r="Y225" i="70"/>
  <c r="T225" i="70"/>
  <c r="AB225" i="70"/>
  <c r="AF246" i="70"/>
  <c r="AE249" i="70"/>
  <c r="AA249" i="70"/>
  <c r="W249" i="70"/>
  <c r="S249" i="70"/>
  <c r="AF249" i="70"/>
  <c r="AB249" i="70"/>
  <c r="X249" i="70"/>
  <c r="T249" i="70"/>
  <c r="Z249" i="70"/>
  <c r="R249" i="70"/>
  <c r="AC249" i="70"/>
  <c r="U249" i="70"/>
  <c r="V249" i="70"/>
  <c r="Y249" i="70"/>
  <c r="U176" i="70"/>
  <c r="Y176" i="70"/>
  <c r="U180" i="70"/>
  <c r="Y180" i="70"/>
  <c r="S182" i="70"/>
  <c r="W182" i="70"/>
  <c r="AA182" i="70"/>
  <c r="U184" i="70"/>
  <c r="Y184" i="70"/>
  <c r="S186" i="70"/>
  <c r="W186" i="70"/>
  <c r="AA186" i="70"/>
  <c r="AE188" i="70"/>
  <c r="AA188" i="70"/>
  <c r="U188" i="70"/>
  <c r="Y188" i="70"/>
  <c r="AD188" i="70"/>
  <c r="AF193" i="70"/>
  <c r="AF201" i="70"/>
  <c r="AF209" i="70"/>
  <c r="AF217" i="70"/>
  <c r="AE222" i="70"/>
  <c r="AA222" i="70"/>
  <c r="W222" i="70"/>
  <c r="S222" i="70"/>
  <c r="AD222" i="70"/>
  <c r="Y222" i="70"/>
  <c r="T222" i="70"/>
  <c r="AF222" i="70"/>
  <c r="Z222" i="70"/>
  <c r="U222" i="70"/>
  <c r="AB222" i="70"/>
  <c r="W225" i="70"/>
  <c r="AD244" i="70"/>
  <c r="Z244" i="70"/>
  <c r="V244" i="70"/>
  <c r="R244" i="70"/>
  <c r="AE244" i="70"/>
  <c r="AA244" i="70"/>
  <c r="W244" i="70"/>
  <c r="S244" i="70"/>
  <c r="AC244" i="70"/>
  <c r="U244" i="70"/>
  <c r="AF244" i="70"/>
  <c r="X244" i="70"/>
  <c r="T244" i="70"/>
  <c r="Y244" i="70"/>
  <c r="U193" i="70"/>
  <c r="Y193" i="70"/>
  <c r="AC193" i="70"/>
  <c r="U197" i="70"/>
  <c r="Y197" i="70"/>
  <c r="AC197" i="70"/>
  <c r="U201" i="70"/>
  <c r="Y201" i="70"/>
  <c r="AC201" i="70"/>
  <c r="U205" i="70"/>
  <c r="Y205" i="70"/>
  <c r="AC205" i="70"/>
  <c r="U209" i="70"/>
  <c r="Y209" i="70"/>
  <c r="AC209" i="70"/>
  <c r="U213" i="70"/>
  <c r="Y213" i="70"/>
  <c r="AC213" i="70"/>
  <c r="U217" i="70"/>
  <c r="Y217" i="70"/>
  <c r="AC217" i="70"/>
  <c r="U221" i="70"/>
  <c r="Y221" i="70"/>
  <c r="AC221" i="70"/>
  <c r="AF223" i="70"/>
  <c r="AB223" i="70"/>
  <c r="X223" i="70"/>
  <c r="T223" i="70"/>
  <c r="V223" i="70"/>
  <c r="AA223" i="70"/>
  <c r="AE226" i="70"/>
  <c r="AA226" i="70"/>
  <c r="W226" i="70"/>
  <c r="S226" i="70"/>
  <c r="V226" i="70"/>
  <c r="AB226" i="70"/>
  <c r="R227" i="70"/>
  <c r="W227" i="70"/>
  <c r="T230" i="70"/>
  <c r="AE233" i="70"/>
  <c r="AA233" i="70"/>
  <c r="W233" i="70"/>
  <c r="S233" i="70"/>
  <c r="AC233" i="70"/>
  <c r="X233" i="70"/>
  <c r="R233" i="70"/>
  <c r="AD233" i="70"/>
  <c r="Y233" i="70"/>
  <c r="T233" i="70"/>
  <c r="AB233" i="70"/>
  <c r="AF234" i="70"/>
  <c r="AB234" i="70"/>
  <c r="X234" i="70"/>
  <c r="T234" i="70"/>
  <c r="AD234" i="70"/>
  <c r="Y234" i="70"/>
  <c r="S234" i="70"/>
  <c r="AE234" i="70"/>
  <c r="Z234" i="70"/>
  <c r="U234" i="70"/>
  <c r="AA234" i="70"/>
  <c r="U190" i="70"/>
  <c r="Y190" i="70"/>
  <c r="T193" i="70"/>
  <c r="X193" i="70"/>
  <c r="AB193" i="70"/>
  <c r="U194" i="70"/>
  <c r="Y194" i="70"/>
  <c r="T197" i="70"/>
  <c r="X197" i="70"/>
  <c r="AB197" i="70"/>
  <c r="U198" i="70"/>
  <c r="Y198" i="70"/>
  <c r="T201" i="70"/>
  <c r="X201" i="70"/>
  <c r="AB201" i="70"/>
  <c r="U202" i="70"/>
  <c r="Y202" i="70"/>
  <c r="T205" i="70"/>
  <c r="X205" i="70"/>
  <c r="AB205" i="70"/>
  <c r="U206" i="70"/>
  <c r="Y206" i="70"/>
  <c r="T209" i="70"/>
  <c r="X209" i="70"/>
  <c r="AB209" i="70"/>
  <c r="U210" i="70"/>
  <c r="Y210" i="70"/>
  <c r="T213" i="70"/>
  <c r="X213" i="70"/>
  <c r="AB213" i="70"/>
  <c r="U214" i="70"/>
  <c r="Y214" i="70"/>
  <c r="T217" i="70"/>
  <c r="X217" i="70"/>
  <c r="AB217" i="70"/>
  <c r="U218" i="70"/>
  <c r="Y218" i="70"/>
  <c r="T221" i="70"/>
  <c r="X221" i="70"/>
  <c r="AB221" i="70"/>
  <c r="U226" i="70"/>
  <c r="Z226" i="70"/>
  <c r="AF226" i="70"/>
  <c r="AF227" i="70"/>
  <c r="AB227" i="70"/>
  <c r="X227" i="70"/>
  <c r="T227" i="70"/>
  <c r="V227" i="70"/>
  <c r="AA227" i="70"/>
  <c r="AD230" i="70"/>
  <c r="Z230" i="70"/>
  <c r="V230" i="70"/>
  <c r="R230" i="70"/>
  <c r="AE230" i="70"/>
  <c r="AA230" i="70"/>
  <c r="W230" i="70"/>
  <c r="S230" i="70"/>
  <c r="Y230" i="70"/>
  <c r="Z233" i="70"/>
  <c r="W234" i="70"/>
  <c r="AE237" i="70"/>
  <c r="AA237" i="70"/>
  <c r="W237" i="70"/>
  <c r="S237" i="70"/>
  <c r="AD237" i="70"/>
  <c r="Y237" i="70"/>
  <c r="T237" i="70"/>
  <c r="AF237" i="70"/>
  <c r="Z237" i="70"/>
  <c r="U237" i="70"/>
  <c r="AB237" i="70"/>
  <c r="U224" i="70"/>
  <c r="Y224" i="70"/>
  <c r="U228" i="70"/>
  <c r="Y228" i="70"/>
  <c r="R229" i="70"/>
  <c r="V229" i="70"/>
  <c r="Z229" i="70"/>
  <c r="AD229" i="70"/>
  <c r="AD232" i="70"/>
  <c r="Z232" i="70"/>
  <c r="V232" i="70"/>
  <c r="R232" i="70"/>
  <c r="W232" i="70"/>
  <c r="AB232" i="70"/>
  <c r="S236" i="70"/>
  <c r="X236" i="70"/>
  <c r="AF238" i="70"/>
  <c r="AB238" i="70"/>
  <c r="X238" i="70"/>
  <c r="T238" i="70"/>
  <c r="V238" i="70"/>
  <c r="AA238" i="70"/>
  <c r="AE241" i="70"/>
  <c r="AA241" i="70"/>
  <c r="W241" i="70"/>
  <c r="S241" i="70"/>
  <c r="V241" i="70"/>
  <c r="AB241" i="70"/>
  <c r="R242" i="70"/>
  <c r="W242" i="70"/>
  <c r="R245" i="70"/>
  <c r="AD248" i="70"/>
  <c r="Z248" i="70"/>
  <c r="V248" i="70"/>
  <c r="R248" i="70"/>
  <c r="AE248" i="70"/>
  <c r="AA248" i="70"/>
  <c r="W248" i="70"/>
  <c r="S248" i="70"/>
  <c r="Y248" i="70"/>
  <c r="U229" i="70"/>
  <c r="Y229" i="70"/>
  <c r="AD236" i="70"/>
  <c r="Z236" i="70"/>
  <c r="V236" i="70"/>
  <c r="R236" i="70"/>
  <c r="W236" i="70"/>
  <c r="AB236" i="70"/>
  <c r="AF242" i="70"/>
  <c r="AB242" i="70"/>
  <c r="X242" i="70"/>
  <c r="T242" i="70"/>
  <c r="V242" i="70"/>
  <c r="AA242" i="70"/>
  <c r="AE245" i="70"/>
  <c r="AA245" i="70"/>
  <c r="W245" i="70"/>
  <c r="S245" i="70"/>
  <c r="AF245" i="70"/>
  <c r="AB245" i="70"/>
  <c r="X245" i="70"/>
  <c r="T245" i="70"/>
  <c r="Y245" i="70"/>
  <c r="U246" i="70"/>
  <c r="Y246" i="70"/>
  <c r="AC246" i="70"/>
  <c r="R247" i="70"/>
  <c r="V247" i="70"/>
  <c r="Z247" i="70"/>
  <c r="AD247" i="70"/>
  <c r="U235" i="70"/>
  <c r="Y235" i="70"/>
  <c r="U239" i="70"/>
  <c r="Y239" i="70"/>
  <c r="U243" i="70"/>
  <c r="Y243" i="70"/>
  <c r="X246" i="70"/>
  <c r="AB246" i="70"/>
  <c r="U247" i="70"/>
  <c r="Y247" i="70"/>
  <c r="B15" i="50"/>
  <c r="B25" i="50" l="1"/>
  <c r="B27" i="50" s="1"/>
  <c r="B29" i="50" s="1"/>
  <c r="E206" i="71"/>
  <c r="E145" i="71"/>
  <c r="E250" i="71"/>
  <c r="E210" i="71"/>
  <c r="E178" i="71"/>
  <c r="E142" i="71"/>
  <c r="E10" i="71"/>
  <c r="E161" i="71"/>
  <c r="E97" i="71"/>
  <c r="O11" i="87"/>
  <c r="O11" i="79"/>
  <c r="O11" i="78"/>
  <c r="O11" i="81"/>
  <c r="O11" i="80"/>
  <c r="O11" i="86"/>
  <c r="O11" i="84"/>
  <c r="O11" i="83"/>
  <c r="O11" i="82"/>
  <c r="E122" i="71"/>
  <c r="E209" i="71"/>
  <c r="E212" i="71"/>
  <c r="E177" i="71"/>
  <c r="E216" i="71"/>
  <c r="E184" i="71"/>
  <c r="E112" i="71"/>
  <c r="E188" i="71"/>
  <c r="E148" i="71"/>
  <c r="E166" i="71"/>
  <c r="E106" i="71"/>
  <c r="E170" i="71"/>
  <c r="E105" i="71"/>
  <c r="E117" i="71"/>
  <c r="E193" i="71"/>
  <c r="E162" i="71"/>
  <c r="E192" i="71"/>
  <c r="E120" i="71"/>
  <c r="E202" i="71"/>
  <c r="E238" i="71"/>
  <c r="E197" i="71"/>
  <c r="E248" i="71"/>
  <c r="E88" i="71"/>
  <c r="E244" i="71"/>
  <c r="E132" i="71"/>
  <c r="E92" i="71"/>
  <c r="E254" i="71"/>
  <c r="E158" i="71"/>
  <c r="E213" i="71"/>
  <c r="E101" i="71"/>
  <c r="L38" i="22"/>
  <c r="L29" i="22"/>
  <c r="L41" i="22"/>
  <c r="L37" i="22"/>
  <c r="L33" i="22"/>
  <c r="L39" i="22"/>
  <c r="L35" i="22"/>
  <c r="L31" i="22"/>
  <c r="L30" i="22"/>
  <c r="L42" i="22"/>
  <c r="L40" i="22"/>
  <c r="L34" i="22"/>
  <c r="L32" i="22"/>
  <c r="B24" i="22"/>
  <c r="B15" i="69" s="1"/>
  <c r="E256" i="72"/>
  <c r="E172" i="72"/>
  <c r="E75" i="72"/>
  <c r="E218" i="72"/>
  <c r="E41" i="72"/>
  <c r="E179" i="72"/>
  <c r="E86" i="72"/>
  <c r="E54" i="72"/>
  <c r="E22" i="72"/>
  <c r="E248" i="72"/>
  <c r="E124" i="72"/>
  <c r="E92" i="72"/>
  <c r="E244" i="72"/>
  <c r="E250" i="72"/>
  <c r="E106" i="72"/>
  <c r="E202" i="72"/>
  <c r="E34" i="72"/>
  <c r="E133" i="72"/>
  <c r="E64" i="72"/>
  <c r="E254" i="72"/>
  <c r="E204" i="72"/>
  <c r="E196" i="72"/>
  <c r="E154" i="72"/>
  <c r="E81" i="72"/>
  <c r="E6" i="72"/>
  <c r="E216" i="72"/>
  <c r="E215" i="72"/>
  <c r="E69" i="72"/>
  <c r="E220" i="72"/>
  <c r="E156" i="72"/>
  <c r="E51" i="72"/>
  <c r="E27" i="72"/>
  <c r="E19" i="72"/>
  <c r="E100" i="72"/>
  <c r="E234" i="72"/>
  <c r="E138" i="72"/>
  <c r="E141" i="72"/>
  <c r="E28" i="72"/>
  <c r="E178" i="72"/>
  <c r="E103" i="72"/>
  <c r="E52" i="72"/>
  <c r="E18" i="72"/>
  <c r="E194" i="72"/>
  <c r="E145" i="72"/>
  <c r="E78" i="72"/>
  <c r="E66" i="72"/>
  <c r="E212" i="72"/>
  <c r="E164" i="72"/>
  <c r="E148" i="72"/>
  <c r="E33" i="72"/>
  <c r="E12" i="72"/>
  <c r="E25" i="72"/>
  <c r="E170" i="72"/>
  <c r="E186" i="72"/>
  <c r="E227" i="72"/>
  <c r="E201" i="72"/>
  <c r="E105" i="72"/>
  <c r="E166" i="72"/>
  <c r="E134" i="72"/>
  <c r="E14" i="72"/>
  <c r="E245" i="72"/>
  <c r="E149" i="72"/>
  <c r="E117" i="72"/>
  <c r="E48" i="72"/>
  <c r="E232" i="72"/>
  <c r="E184" i="72"/>
  <c r="E87" i="72"/>
  <c r="E125" i="72"/>
  <c r="E199" i="72"/>
  <c r="E47" i="72"/>
  <c r="E236" i="72"/>
  <c r="E140" i="72"/>
  <c r="E59" i="72"/>
  <c r="E43" i="72"/>
  <c r="E35" i="72"/>
  <c r="E228" i="72"/>
  <c r="E242" i="72"/>
  <c r="E90" i="72"/>
  <c r="E65" i="72"/>
  <c r="E9" i="72"/>
  <c r="E57" i="72"/>
  <c r="E122" i="72"/>
  <c r="E21" i="72"/>
  <c r="E10" i="72"/>
  <c r="E132" i="72"/>
  <c r="E4" i="72"/>
  <c r="E73" i="72"/>
  <c r="E206" i="72"/>
  <c r="E79" i="72"/>
  <c r="E253" i="72"/>
  <c r="E167" i="72"/>
  <c r="E155" i="72"/>
  <c r="E91" i="72"/>
  <c r="E97" i="72"/>
  <c r="E224" i="72"/>
  <c r="E192" i="72"/>
  <c r="E128" i="72"/>
  <c r="E96" i="72"/>
  <c r="E62" i="72"/>
  <c r="E7" i="72"/>
  <c r="E207" i="72"/>
  <c r="E72" i="72"/>
  <c r="E40" i="72"/>
  <c r="E222" i="72"/>
  <c r="E174" i="72"/>
  <c r="E74" i="72"/>
  <c r="E226" i="72"/>
  <c r="E246" i="72"/>
  <c r="E188" i="72"/>
  <c r="E108" i="72"/>
  <c r="E180" i="72"/>
  <c r="E157" i="72"/>
  <c r="E15" i="72"/>
  <c r="E205" i="72"/>
  <c r="E53" i="72"/>
  <c r="E189" i="72"/>
  <c r="E114" i="72"/>
  <c r="E63" i="72"/>
  <c r="E20" i="72"/>
  <c r="E146" i="72"/>
  <c r="E29" i="72"/>
  <c r="E247" i="72"/>
  <c r="E169" i="71"/>
  <c r="E239" i="71"/>
  <c r="E223" i="71"/>
  <c r="E219" i="71"/>
  <c r="E211" i="71"/>
  <c r="E187" i="71"/>
  <c r="E147" i="71"/>
  <c r="E135" i="71"/>
  <c r="E115" i="71"/>
  <c r="E99" i="71"/>
  <c r="E111" i="71"/>
  <c r="E82" i="71"/>
  <c r="E76" i="71"/>
  <c r="E56" i="71"/>
  <c r="E46" i="71"/>
  <c r="E38" i="71"/>
  <c r="E16" i="71"/>
  <c r="E143" i="71"/>
  <c r="E85" i="71"/>
  <c r="E65" i="71"/>
  <c r="E59" i="71"/>
  <c r="E57" i="71"/>
  <c r="E53" i="71"/>
  <c r="E43" i="71"/>
  <c r="E35" i="71"/>
  <c r="E31" i="71"/>
  <c r="E23" i="71"/>
  <c r="E13" i="71"/>
  <c r="E9" i="71"/>
  <c r="E3" i="71"/>
  <c r="E60" i="71"/>
  <c r="E36" i="71"/>
  <c r="E107" i="71"/>
  <c r="E96" i="71"/>
  <c r="E228" i="71"/>
  <c r="E164" i="71"/>
  <c r="E93" i="71"/>
  <c r="E181" i="71"/>
  <c r="E179" i="71"/>
  <c r="E167" i="71"/>
  <c r="E86" i="71"/>
  <c r="E80" i="71"/>
  <c r="E78" i="71"/>
  <c r="E72" i="71"/>
  <c r="E79" i="71"/>
  <c r="E73" i="71"/>
  <c r="E69" i="71"/>
  <c r="E20" i="71"/>
  <c r="E141" i="71"/>
  <c r="E98" i="71"/>
  <c r="E233" i="71"/>
  <c r="E217" i="71"/>
  <c r="E129" i="71"/>
  <c r="E194" i="71"/>
  <c r="E8" i="71"/>
  <c r="E241" i="71"/>
  <c r="E243" i="71"/>
  <c r="E139" i="71"/>
  <c r="E131" i="71"/>
  <c r="E127" i="71"/>
  <c r="E32" i="71"/>
  <c r="E151" i="71"/>
  <c r="E83" i="71"/>
  <c r="E77" i="71"/>
  <c r="E55" i="71"/>
  <c r="E30" i="71"/>
  <c r="B11" i="69"/>
  <c r="E144" i="71"/>
  <c r="E116" i="71"/>
  <c r="E214" i="71"/>
  <c r="E182" i="71"/>
  <c r="E150" i="71"/>
  <c r="E153" i="71"/>
  <c r="E121" i="71"/>
  <c r="E89" i="71"/>
  <c r="E114" i="71"/>
  <c r="E18" i="71"/>
  <c r="E123" i="71"/>
  <c r="E81" i="71"/>
  <c r="E61" i="71"/>
  <c r="E183" i="71"/>
  <c r="E225" i="71"/>
  <c r="E154" i="71"/>
  <c r="E113" i="71"/>
  <c r="E94" i="71"/>
  <c r="E255" i="71"/>
  <c r="E207" i="71"/>
  <c r="E199" i="71"/>
  <c r="E155" i="71"/>
  <c r="E159" i="71"/>
  <c r="E95" i="71"/>
  <c r="E74" i="71"/>
  <c r="E54" i="71"/>
  <c r="E48" i="71"/>
  <c r="E22" i="71"/>
  <c r="E87" i="71"/>
  <c r="E33" i="71"/>
  <c r="E29" i="71"/>
  <c r="E25" i="71"/>
  <c r="E26" i="71"/>
  <c r="E2" i="71"/>
  <c r="E232" i="71"/>
  <c r="E104" i="71"/>
  <c r="E242" i="71"/>
  <c r="E236" i="71"/>
  <c r="E204" i="71"/>
  <c r="E140" i="71"/>
  <c r="E174" i="71"/>
  <c r="E185" i="71"/>
  <c r="E118" i="71"/>
  <c r="E247" i="71"/>
  <c r="E215" i="71"/>
  <c r="E171" i="71"/>
  <c r="E163" i="71"/>
  <c r="E84" i="71"/>
  <c r="E62" i="71"/>
  <c r="E34" i="71"/>
  <c r="E28" i="71"/>
  <c r="E91" i="71"/>
  <c r="E63" i="71"/>
  <c r="E7" i="71"/>
  <c r="E173" i="71"/>
  <c r="E237" i="71"/>
  <c r="E251" i="71"/>
  <c r="E70" i="71"/>
  <c r="E52" i="71"/>
  <c r="E24" i="71"/>
  <c r="E47" i="71"/>
  <c r="E39" i="71"/>
  <c r="E37" i="71"/>
  <c r="E6" i="71"/>
  <c r="E221" i="71"/>
  <c r="E205" i="71"/>
  <c r="E186" i="71"/>
  <c r="E231" i="71"/>
  <c r="E203" i="71"/>
  <c r="E191" i="71"/>
  <c r="E58" i="71"/>
  <c r="E50" i="71"/>
  <c r="E44" i="71"/>
  <c r="E175" i="71"/>
  <c r="E103" i="71"/>
  <c r="E71" i="71"/>
  <c r="E51" i="71"/>
  <c r="E27" i="71"/>
  <c r="E19" i="71"/>
  <c r="E137" i="71"/>
  <c r="E12" i="71"/>
  <c r="E4" i="71"/>
  <c r="AG247" i="70"/>
  <c r="AG243" i="70"/>
  <c r="AG239" i="70"/>
  <c r="AG235" i="70"/>
  <c r="AG231" i="70"/>
  <c r="AG246" i="70"/>
  <c r="AG250" i="70"/>
  <c r="AH250" i="70" s="1"/>
  <c r="AG245" i="70"/>
  <c r="AG242" i="70"/>
  <c r="AG236" i="70"/>
  <c r="AG229" i="70"/>
  <c r="AG248" i="70"/>
  <c r="AG241" i="70"/>
  <c r="AG238" i="70"/>
  <c r="AG232" i="70"/>
  <c r="AG228" i="70"/>
  <c r="AG224" i="70"/>
  <c r="AG240" i="70"/>
  <c r="AG230" i="70"/>
  <c r="AG227" i="70"/>
  <c r="AG221" i="70"/>
  <c r="AG218" i="70"/>
  <c r="AG214" i="70"/>
  <c r="AG210" i="70"/>
  <c r="AG206" i="70"/>
  <c r="AG202" i="70"/>
  <c r="AG198" i="70"/>
  <c r="AG194" i="70"/>
  <c r="AG190" i="70"/>
  <c r="AG226" i="70"/>
  <c r="AG223" i="70"/>
  <c r="AG217" i="70"/>
  <c r="AG213" i="70"/>
  <c r="AG209" i="70"/>
  <c r="AG205" i="70"/>
  <c r="AG201" i="70"/>
  <c r="AG197" i="70"/>
  <c r="AG193" i="70"/>
  <c r="AG249" i="70"/>
  <c r="AH249" i="70" s="1"/>
  <c r="AG233" i="70"/>
  <c r="AG225" i="70"/>
  <c r="AG184" i="70"/>
  <c r="AG180" i="70"/>
  <c r="AG176" i="70"/>
  <c r="AG244" i="70"/>
  <c r="AG234" i="70"/>
  <c r="AG222" i="70"/>
  <c r="AG188" i="70"/>
  <c r="AG186" i="70"/>
  <c r="AG182" i="70"/>
  <c r="AG215" i="70"/>
  <c r="AG208" i="70"/>
  <c r="AG199" i="70"/>
  <c r="AG192" i="70"/>
  <c r="AG189" i="70"/>
  <c r="AG181" i="70"/>
  <c r="AG178" i="70"/>
  <c r="AG175" i="70"/>
  <c r="AG171" i="70"/>
  <c r="AG167" i="70"/>
  <c r="AG163" i="70"/>
  <c r="AG159" i="70"/>
  <c r="AG155" i="70"/>
  <c r="AG151" i="70"/>
  <c r="AG147" i="70"/>
  <c r="AG143" i="70"/>
  <c r="AG139" i="70"/>
  <c r="AG135" i="70"/>
  <c r="AG131" i="70"/>
  <c r="AG219" i="70"/>
  <c r="AG212" i="70"/>
  <c r="AG203" i="70"/>
  <c r="AG196" i="70"/>
  <c r="AG183" i="70"/>
  <c r="AG174" i="70"/>
  <c r="AG170" i="70"/>
  <c r="AG166" i="70"/>
  <c r="AG162" i="70"/>
  <c r="AG158" i="70"/>
  <c r="AG154" i="70"/>
  <c r="AG150" i="70"/>
  <c r="AG146" i="70"/>
  <c r="AG142" i="70"/>
  <c r="AG138" i="70"/>
  <c r="AG134" i="70"/>
  <c r="AG237" i="70"/>
  <c r="AG211" i="70"/>
  <c r="AG195" i="70"/>
  <c r="AG187" i="70"/>
  <c r="AG185" i="70"/>
  <c r="AG179" i="70"/>
  <c r="AG172" i="70"/>
  <c r="AG169" i="70"/>
  <c r="AG164" i="70"/>
  <c r="AG161" i="70"/>
  <c r="AG156" i="70"/>
  <c r="AG153" i="70"/>
  <c r="AG148" i="70"/>
  <c r="AG145" i="70"/>
  <c r="AG140" i="70"/>
  <c r="AG137" i="70"/>
  <c r="AG132" i="70"/>
  <c r="AG130" i="70"/>
  <c r="AG127" i="70"/>
  <c r="AG123" i="70"/>
  <c r="AG119" i="70"/>
  <c r="AG115" i="70"/>
  <c r="AG111" i="70"/>
  <c r="AG107" i="70"/>
  <c r="AG103" i="70"/>
  <c r="AG99" i="70"/>
  <c r="AG95" i="70"/>
  <c r="AG91" i="70"/>
  <c r="AG87" i="70"/>
  <c r="AG83" i="70"/>
  <c r="AG79" i="70"/>
  <c r="AG75" i="70"/>
  <c r="AG71" i="70"/>
  <c r="AG67" i="70"/>
  <c r="AG220" i="70"/>
  <c r="AG216" i="70"/>
  <c r="AG204" i="70"/>
  <c r="AG200" i="70"/>
  <c r="AG126" i="70"/>
  <c r="AG122" i="70"/>
  <c r="AG118" i="70"/>
  <c r="AG114" i="70"/>
  <c r="AG110" i="70"/>
  <c r="AG106" i="70"/>
  <c r="AG102" i="70"/>
  <c r="AG98" i="70"/>
  <c r="AG94" i="70"/>
  <c r="AG90" i="70"/>
  <c r="AG86" i="70"/>
  <c r="AG82" i="70"/>
  <c r="AG78" i="70"/>
  <c r="AG207" i="70"/>
  <c r="AG168" i="70"/>
  <c r="AG165" i="70"/>
  <c r="AG152" i="70"/>
  <c r="AG149" i="70"/>
  <c r="AG136" i="70"/>
  <c r="AG133" i="70"/>
  <c r="AG128" i="70"/>
  <c r="AG125" i="70"/>
  <c r="AG120" i="70"/>
  <c r="AG117" i="70"/>
  <c r="AG112" i="70"/>
  <c r="AG109" i="70"/>
  <c r="AG104" i="70"/>
  <c r="AG101" i="70"/>
  <c r="AG96" i="70"/>
  <c r="AG93" i="70"/>
  <c r="AG88" i="70"/>
  <c r="AG85" i="70"/>
  <c r="AG80" i="70"/>
  <c r="AG77" i="70"/>
  <c r="AG72" i="70"/>
  <c r="AG65" i="70"/>
  <c r="AG61" i="70"/>
  <c r="AG57" i="70"/>
  <c r="AG53" i="70"/>
  <c r="AG49" i="70"/>
  <c r="AG45" i="70"/>
  <c r="AG41" i="70"/>
  <c r="AG37" i="70"/>
  <c r="AG33" i="70"/>
  <c r="AG29" i="70"/>
  <c r="AG25" i="70"/>
  <c r="AG21" i="70"/>
  <c r="AG17" i="70"/>
  <c r="AG191" i="70"/>
  <c r="AG69" i="70"/>
  <c r="AG66" i="70"/>
  <c r="AG62" i="70"/>
  <c r="AG58" i="70"/>
  <c r="AG54" i="70"/>
  <c r="AG50" i="70"/>
  <c r="AG46" i="70"/>
  <c r="AG42" i="70"/>
  <c r="AG38" i="70"/>
  <c r="AG34" i="70"/>
  <c r="AG30" i="70"/>
  <c r="AG26" i="70"/>
  <c r="AG22" i="70"/>
  <c r="AG18" i="70"/>
  <c r="AG14" i="70"/>
  <c r="AG13" i="70"/>
  <c r="AG12" i="70"/>
  <c r="AG10" i="70"/>
  <c r="AG9" i="70"/>
  <c r="AG6" i="70"/>
  <c r="AG3" i="70"/>
  <c r="AG19" i="70"/>
  <c r="AG15" i="70"/>
  <c r="AG11" i="70"/>
  <c r="AG8" i="70"/>
  <c r="AG7" i="70"/>
  <c r="AG5" i="70"/>
  <c r="AG4" i="70"/>
  <c r="AG177" i="70"/>
  <c r="AG173" i="70"/>
  <c r="AG160" i="70"/>
  <c r="AG157" i="70"/>
  <c r="AG144" i="70"/>
  <c r="AG141" i="70"/>
  <c r="AG129" i="70"/>
  <c r="AG124" i="70"/>
  <c r="AG121" i="70"/>
  <c r="AG116" i="70"/>
  <c r="AG113" i="70"/>
  <c r="AG108" i="70"/>
  <c r="AG105" i="70"/>
  <c r="AG100" i="70"/>
  <c r="AG97" i="70"/>
  <c r="AG92" i="70"/>
  <c r="AG89" i="70"/>
  <c r="AG84" i="70"/>
  <c r="AG81" i="70"/>
  <c r="AG76" i="70"/>
  <c r="AG73" i="70"/>
  <c r="AG70" i="70"/>
  <c r="AG63" i="70"/>
  <c r="AG59" i="70"/>
  <c r="AG55" i="70"/>
  <c r="AG51" i="70"/>
  <c r="AG47" i="70"/>
  <c r="AG43" i="70"/>
  <c r="AG39" i="70"/>
  <c r="AG35" i="70"/>
  <c r="AG31" i="70"/>
  <c r="AG27" i="70"/>
  <c r="AG23" i="70"/>
  <c r="AG74" i="70"/>
  <c r="AG68" i="70"/>
  <c r="AG64" i="70"/>
  <c r="AG60" i="70"/>
  <c r="AG56" i="70"/>
  <c r="AG52" i="70"/>
  <c r="AG48" i="70"/>
  <c r="AG44" i="70"/>
  <c r="AG40" i="70"/>
  <c r="AG36" i="70"/>
  <c r="AG32" i="70"/>
  <c r="AG28" i="70"/>
  <c r="AG24" i="70"/>
  <c r="AG20" i="70"/>
  <c r="AG16" i="70"/>
  <c r="O11" i="2"/>
  <c r="O16" i="86" l="1"/>
  <c r="O15" i="86"/>
  <c r="O15" i="83"/>
  <c r="O16" i="83"/>
  <c r="O16" i="81"/>
  <c r="O15" i="81"/>
  <c r="O16" i="84"/>
  <c r="O15" i="84"/>
  <c r="O15" i="78"/>
  <c r="O16" i="78"/>
  <c r="O16" i="79"/>
  <c r="O15" i="79"/>
  <c r="O15" i="82"/>
  <c r="O16" i="82"/>
  <c r="O16" i="80"/>
  <c r="O15" i="80"/>
  <c r="O15" i="87"/>
  <c r="O16" i="87"/>
  <c r="O24" i="96"/>
  <c r="O26" i="96" s="1"/>
  <c r="AK10" i="70"/>
  <c r="AH157" i="70" s="1"/>
  <c r="AH160" i="70"/>
  <c r="AH179" i="70"/>
  <c r="AK4" i="70"/>
  <c r="AH34" i="70" s="1"/>
  <c r="AH173" i="70"/>
  <c r="AK5" i="70"/>
  <c r="AH52" i="70" s="1"/>
  <c r="AK9" i="70"/>
  <c r="AH152" i="70" s="1"/>
  <c r="AH168" i="70"/>
  <c r="AK8" i="70"/>
  <c r="AH99" i="70" s="1"/>
  <c r="AH164" i="70"/>
  <c r="AH146" i="70"/>
  <c r="AH162" i="70"/>
  <c r="AK11" i="70"/>
  <c r="AH191" i="70" s="1"/>
  <c r="AH175" i="70"/>
  <c r="AH192" i="70"/>
  <c r="AH184" i="70"/>
  <c r="AK12" i="70"/>
  <c r="AH217" i="70" s="1"/>
  <c r="AH36" i="70"/>
  <c r="AH31" i="70"/>
  <c r="AH33" i="70"/>
  <c r="AH165" i="70"/>
  <c r="AH98" i="70"/>
  <c r="AH145" i="70"/>
  <c r="AH161" i="70"/>
  <c r="AH158" i="70"/>
  <c r="AH189" i="70"/>
  <c r="AH180" i="70"/>
  <c r="AK13" i="70"/>
  <c r="AH228" i="70" s="1"/>
  <c r="AH35" i="70"/>
  <c r="AH141" i="70"/>
  <c r="AH28" i="70"/>
  <c r="AH44" i="70"/>
  <c r="AK6" i="70"/>
  <c r="AH64" i="70" s="1"/>
  <c r="AH73" i="70"/>
  <c r="AH144" i="70"/>
  <c r="AH177" i="70"/>
  <c r="AK3" i="70"/>
  <c r="AH13" i="70" s="1"/>
  <c r="AH69" i="70"/>
  <c r="AH25" i="70"/>
  <c r="AK7" i="70"/>
  <c r="AH80" i="70" s="1"/>
  <c r="AH109" i="70"/>
  <c r="AH149" i="70"/>
  <c r="AH106" i="70"/>
  <c r="AH75" i="70"/>
  <c r="AH107" i="70"/>
  <c r="AH153" i="70"/>
  <c r="AH169" i="70"/>
  <c r="AH134" i="70"/>
  <c r="AH166" i="70"/>
  <c r="AH147" i="70"/>
  <c r="AH178" i="70"/>
  <c r="AH186" i="70"/>
  <c r="AH190" i="70"/>
  <c r="AH221" i="70"/>
  <c r="AH224" i="70"/>
  <c r="AH247" i="70"/>
  <c r="O16" i="2"/>
  <c r="O15" i="2"/>
  <c r="B10" i="50" l="1"/>
  <c r="B11" i="50"/>
  <c r="O24" i="94"/>
  <c r="O26" i="94" s="1"/>
  <c r="O24" i="95"/>
  <c r="O26" i="95" s="1"/>
  <c r="O24" i="92"/>
  <c r="O26" i="92" s="1"/>
  <c r="O24" i="93"/>
  <c r="O26" i="93" s="1"/>
  <c r="O24" i="90"/>
  <c r="O26" i="90" s="1"/>
  <c r="O24" i="91"/>
  <c r="O26" i="91" s="1"/>
  <c r="O24" i="88"/>
  <c r="O26" i="88" s="1"/>
  <c r="O24" i="89"/>
  <c r="O26" i="89" s="1"/>
  <c r="O24" i="22"/>
  <c r="AH199" i="70"/>
  <c r="AH131" i="70"/>
  <c r="AH91" i="70"/>
  <c r="AH90" i="70"/>
  <c r="AH39" i="70"/>
  <c r="AH40" i="70"/>
  <c r="AH215" i="70"/>
  <c r="AH193" i="70"/>
  <c r="AH213" i="70"/>
  <c r="AH77" i="70"/>
  <c r="AH54" i="70"/>
  <c r="AH23" i="70"/>
  <c r="AH214" i="70"/>
  <c r="AH218" i="70"/>
  <c r="AH219" i="70"/>
  <c r="AH197" i="70"/>
  <c r="AH163" i="70"/>
  <c r="AH150" i="70"/>
  <c r="AH137" i="70"/>
  <c r="AH122" i="70"/>
  <c r="AH125" i="70"/>
  <c r="AH57" i="70"/>
  <c r="AH12" i="70"/>
  <c r="AH89" i="70"/>
  <c r="AH51" i="70"/>
  <c r="AH174" i="70"/>
  <c r="AH200" i="70"/>
  <c r="AH47" i="70"/>
  <c r="AH202" i="70"/>
  <c r="AH182" i="70"/>
  <c r="AH148" i="70"/>
  <c r="AH136" i="70"/>
  <c r="AH222" i="70"/>
  <c r="AH156" i="70"/>
  <c r="AH231" i="70"/>
  <c r="AH229" i="70"/>
  <c r="AH223" i="70"/>
  <c r="AH115" i="70"/>
  <c r="AH17" i="70"/>
  <c r="AH113" i="70"/>
  <c r="AH238" i="70"/>
  <c r="AH226" i="70"/>
  <c r="AH237" i="70"/>
  <c r="AH132" i="70"/>
  <c r="AH87" i="70"/>
  <c r="AH102" i="70"/>
  <c r="AH72" i="70"/>
  <c r="AH21" i="70"/>
  <c r="AH18" i="70"/>
  <c r="AH133" i="70"/>
  <c r="AH235" i="70"/>
  <c r="AH227" i="70"/>
  <c r="AH201" i="70"/>
  <c r="AH208" i="70"/>
  <c r="AH135" i="70"/>
  <c r="AH138" i="70"/>
  <c r="AH95" i="70"/>
  <c r="AH110" i="70"/>
  <c r="AH128" i="70"/>
  <c r="AH61" i="70"/>
  <c r="AH58" i="70"/>
  <c r="AH6" i="70"/>
  <c r="AH124" i="70"/>
  <c r="AH59" i="70"/>
  <c r="AH48" i="70"/>
  <c r="AH82" i="70"/>
  <c r="AH9" i="70"/>
  <c r="AH242" i="70"/>
  <c r="AH206" i="70"/>
  <c r="AH225" i="70"/>
  <c r="AH196" i="70"/>
  <c r="AH187" i="70"/>
  <c r="AH123" i="70"/>
  <c r="AH216" i="70"/>
  <c r="AH207" i="70"/>
  <c r="AH93" i="70"/>
  <c r="AH41" i="70"/>
  <c r="AH38" i="70"/>
  <c r="AH3" i="70"/>
  <c r="AH121" i="70"/>
  <c r="AH55" i="70"/>
  <c r="AH60" i="70"/>
  <c r="AH100" i="70"/>
  <c r="AH56" i="70"/>
  <c r="AH230" i="70"/>
  <c r="AH205" i="70"/>
  <c r="AH155" i="70"/>
  <c r="AH211" i="70"/>
  <c r="AH83" i="70"/>
  <c r="AH101" i="70"/>
  <c r="AH30" i="70"/>
  <c r="AH97" i="70"/>
  <c r="AH243" i="70"/>
  <c r="AH240" i="70"/>
  <c r="AH209" i="70"/>
  <c r="AH234" i="70"/>
  <c r="AH159" i="70"/>
  <c r="AH183" i="70"/>
  <c r="AH185" i="70"/>
  <c r="AH119" i="70"/>
  <c r="AH71" i="70"/>
  <c r="AH86" i="70"/>
  <c r="AH120" i="70"/>
  <c r="AH53" i="70"/>
  <c r="AH66" i="70"/>
  <c r="AH10" i="70"/>
  <c r="AH116" i="70"/>
  <c r="AH24" i="70"/>
  <c r="AH171" i="70"/>
  <c r="AH130" i="70"/>
  <c r="AH65" i="70"/>
  <c r="AH63" i="70"/>
  <c r="AH245" i="70"/>
  <c r="AH210" i="70"/>
  <c r="AH233" i="70"/>
  <c r="AH181" i="70"/>
  <c r="AH203" i="70"/>
  <c r="AH195" i="70"/>
  <c r="AH140" i="70"/>
  <c r="AH79" i="70"/>
  <c r="AH94" i="70"/>
  <c r="AH112" i="70"/>
  <c r="AH45" i="70"/>
  <c r="AH42" i="70"/>
  <c r="AH11" i="70"/>
  <c r="AH108" i="70"/>
  <c r="AH43" i="70"/>
  <c r="AH32" i="70"/>
  <c r="AH117" i="70"/>
  <c r="AH129" i="70"/>
  <c r="AH239" i="70"/>
  <c r="AH241" i="70"/>
  <c r="AH244" i="70"/>
  <c r="AH22" i="70"/>
  <c r="AH8" i="70"/>
  <c r="AH105" i="70"/>
  <c r="AH84" i="70"/>
  <c r="AH139" i="70"/>
  <c r="AH85" i="70"/>
  <c r="AH15" i="70"/>
  <c r="AH246" i="70"/>
  <c r="AH143" i="70"/>
  <c r="AH103" i="70"/>
  <c r="AH204" i="70"/>
  <c r="AH104" i="70"/>
  <c r="AH37" i="70"/>
  <c r="AH50" i="70"/>
  <c r="AH19" i="70"/>
  <c r="AH70" i="70"/>
  <c r="AH232" i="70"/>
  <c r="AH212" i="70"/>
  <c r="AH67" i="70"/>
  <c r="AH62" i="70"/>
  <c r="AH68" i="70"/>
  <c r="AH248" i="70"/>
  <c r="AH194" i="70"/>
  <c r="AH176" i="70"/>
  <c r="AH167" i="70"/>
  <c r="AH170" i="70"/>
  <c r="AH172" i="70"/>
  <c r="AH127" i="70"/>
  <c r="AH220" i="70"/>
  <c r="AH78" i="70"/>
  <c r="AH96" i="70"/>
  <c r="AH29" i="70"/>
  <c r="AH26" i="70"/>
  <c r="AH4" i="70"/>
  <c r="AH92" i="70"/>
  <c r="AH27" i="70"/>
  <c r="AH16" i="70"/>
  <c r="AH49" i="70"/>
  <c r="AH81" i="70"/>
  <c r="AH5" i="70"/>
  <c r="AH236" i="70"/>
  <c r="AH118" i="70"/>
  <c r="AH88" i="70"/>
  <c r="AH7" i="70"/>
  <c r="AH74" i="70"/>
  <c r="AH198" i="70"/>
  <c r="AH142" i="70"/>
  <c r="AH114" i="70"/>
  <c r="AH14" i="70"/>
  <c r="AH20" i="70"/>
  <c r="AH188" i="70"/>
  <c r="AH151" i="70"/>
  <c r="AH154" i="70"/>
  <c r="AH111" i="70"/>
  <c r="AH126" i="70"/>
  <c r="AH76" i="70"/>
  <c r="AH46" i="70"/>
  <c r="B20" i="22" l="1"/>
  <c r="D19" i="22"/>
  <c r="D18" i="2" l="1"/>
  <c r="B38" i="2" l="1"/>
  <c r="B40" i="2" s="1"/>
  <c r="B23" i="2"/>
  <c r="B20" i="2"/>
  <c r="B12" i="50" s="1"/>
  <c r="B22" i="2" l="1"/>
  <c r="B25" i="2" s="1"/>
  <c r="B27" i="2" s="1"/>
  <c r="O20" i="81" l="1"/>
  <c r="O21" i="81" s="1"/>
  <c r="O20" i="79"/>
  <c r="O21" i="79" s="1"/>
  <c r="O20" i="84"/>
  <c r="O21" i="84" s="1"/>
  <c r="O20" i="83"/>
  <c r="O21" i="83" s="1"/>
  <c r="O20" i="80"/>
  <c r="O21" i="80" s="1"/>
  <c r="O20" i="86"/>
  <c r="O21" i="86" s="1"/>
  <c r="O20" i="82"/>
  <c r="O21" i="82" s="1"/>
  <c r="O20" i="87"/>
  <c r="O21" i="87" s="1"/>
  <c r="O20" i="78"/>
  <c r="O21" i="78" s="1"/>
  <c r="B24" i="2"/>
  <c r="B28" i="2" s="1"/>
  <c r="B7" i="2" s="1"/>
  <c r="A2" i="74" s="1"/>
  <c r="O7" i="87" s="1"/>
  <c r="O20" i="2"/>
  <c r="O21" i="2" s="1"/>
  <c r="B13" i="50" l="1"/>
  <c r="B14" i="50" s="1"/>
  <c r="B16" i="50" s="1"/>
  <c r="O7" i="84"/>
  <c r="O7" i="86"/>
  <c r="O7" i="82"/>
  <c r="O7" i="83"/>
  <c r="O7" i="80"/>
  <c r="O7" i="81"/>
  <c r="O7" i="78"/>
  <c r="O7" i="79"/>
  <c r="O7" i="2" l="1"/>
  <c r="B17" i="50"/>
  <c r="B19" i="50" s="1"/>
  <c r="B20" i="50" s="1"/>
  <c r="B5" i="50" l="1"/>
  <c r="O5" i="50" s="1"/>
  <c r="J29" i="22" l="1"/>
  <c r="J36" i="22"/>
  <c r="J40" i="22"/>
  <c r="J35" i="22"/>
  <c r="J37" i="22"/>
  <c r="J33" i="22"/>
  <c r="J32" i="22"/>
  <c r="J41" i="22"/>
  <c r="J31" i="22"/>
  <c r="J38" i="22"/>
  <c r="J42" i="22"/>
  <c r="J34" i="22"/>
  <c r="J39" i="22"/>
  <c r="J30" i="22"/>
  <c r="L43" i="22" s="1"/>
  <c r="B26" i="22" s="1"/>
  <c r="B45" i="22" l="1"/>
  <c r="O26" i="22"/>
  <c r="B16" i="69" l="1"/>
  <c r="B17" i="69" s="1"/>
  <c r="B5" i="69" s="1"/>
  <c r="A3" i="77"/>
  <c r="B7" i="22"/>
  <c r="O20" i="96" l="1"/>
  <c r="O45" i="96"/>
  <c r="O20" i="95"/>
  <c r="O45" i="95"/>
  <c r="O20" i="94"/>
  <c r="O45" i="94"/>
  <c r="O20" i="93"/>
  <c r="O45" i="93"/>
  <c r="O20" i="92"/>
  <c r="O45" i="92"/>
  <c r="O20" i="91"/>
  <c r="O45" i="91"/>
  <c r="O20" i="90"/>
  <c r="O45" i="90"/>
  <c r="O20" i="89"/>
  <c r="O45" i="89"/>
  <c r="O20" i="88"/>
  <c r="O45" i="88"/>
  <c r="O17" i="69"/>
  <c r="O20" i="22"/>
  <c r="O11" i="69"/>
  <c r="O45" i="22"/>
</calcChain>
</file>

<file path=xl/comments1.xml><?xml version="1.0" encoding="utf-8"?>
<comments xmlns="http://schemas.openxmlformats.org/spreadsheetml/2006/main">
  <authors>
    <author>Woodward, John</author>
  </authors>
  <commentList>
    <comment ref="I43"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comments10.xml><?xml version="1.0" encoding="utf-8"?>
<comments xmlns="http://schemas.openxmlformats.org/spreadsheetml/2006/main">
  <authors>
    <author>Woodward, John</author>
  </authors>
  <commentList>
    <comment ref="I43"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comments2.xml><?xml version="1.0" encoding="utf-8"?>
<comments xmlns="http://schemas.openxmlformats.org/spreadsheetml/2006/main">
  <authors>
    <author>Woodward, John</author>
  </authors>
  <commentList>
    <comment ref="I43"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comments3.xml><?xml version="1.0" encoding="utf-8"?>
<comments xmlns="http://schemas.openxmlformats.org/spreadsheetml/2006/main">
  <authors>
    <author>Woodward, John</author>
  </authors>
  <commentList>
    <comment ref="I43"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comments4.xml><?xml version="1.0" encoding="utf-8"?>
<comments xmlns="http://schemas.openxmlformats.org/spreadsheetml/2006/main">
  <authors>
    <author>Woodward, John</author>
  </authors>
  <commentList>
    <comment ref="I43"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comments5.xml><?xml version="1.0" encoding="utf-8"?>
<comments xmlns="http://schemas.openxmlformats.org/spreadsheetml/2006/main">
  <authors>
    <author>Woodward, John</author>
  </authors>
  <commentList>
    <comment ref="I43"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comments6.xml><?xml version="1.0" encoding="utf-8"?>
<comments xmlns="http://schemas.openxmlformats.org/spreadsheetml/2006/main">
  <authors>
    <author>Woodward, John</author>
  </authors>
  <commentList>
    <comment ref="I43"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comments7.xml><?xml version="1.0" encoding="utf-8"?>
<comments xmlns="http://schemas.openxmlformats.org/spreadsheetml/2006/main">
  <authors>
    <author>Woodward, John</author>
  </authors>
  <commentList>
    <comment ref="I43"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comments8.xml><?xml version="1.0" encoding="utf-8"?>
<comments xmlns="http://schemas.openxmlformats.org/spreadsheetml/2006/main">
  <authors>
    <author>Woodward, John</author>
  </authors>
  <commentList>
    <comment ref="I43"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comments9.xml><?xml version="1.0" encoding="utf-8"?>
<comments xmlns="http://schemas.openxmlformats.org/spreadsheetml/2006/main">
  <authors>
    <author>Woodward, John</author>
  </authors>
  <commentList>
    <comment ref="I43"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<sst xmlns="http://schemas.openxmlformats.org/spreadsheetml/2006/main" count="2336" uniqueCount="418">
  <si>
    <t>Estimating current light-duty vehicle (LDV) transportation energy consumption in an area</t>
  </si>
  <si>
    <t>Internal Combustion Engine (ICE) Transportation</t>
  </si>
  <si>
    <t>Refer to:</t>
  </si>
  <si>
    <t>Census website</t>
  </si>
  <si>
    <t xml:space="preserve">VT Dept of Motor Vehicles </t>
  </si>
  <si>
    <t>Note:</t>
  </si>
  <si>
    <t>It is not necessary to distinguish between diesel and gasoline burning vehicles.</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</si>
  <si>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</si>
  <si>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</si>
  <si>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</si>
  <si>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</si>
  <si>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This formula converts the number of fossil fuel gallons computed above into its equivalent amount of Btu, in millions</t>
  </si>
  <si>
    <t>This is the number of Btu in a gallon of ethanol</t>
  </si>
  <si>
    <t>This formula converts the number of ethanol gallons computed above into its equivalent amount of Btu, in millions</t>
  </si>
  <si>
    <t>Electric Powered Transportation (EV)</t>
  </si>
  <si>
    <t>Note that the share of consumption attributable to electric vehicles in any given area today will be very small. It is nonetheless important for Planners to take stock of local electric vehicle usage.</t>
  </si>
  <si>
    <t>Drive Electric</t>
  </si>
  <si>
    <t>This is the approximate average fuel economy of electric vehicles today, in miles per kWh</t>
  </si>
  <si>
    <t>This is the number of Btu in a kWh of electricity at the point of use a.k.a site energy. Note that all electricity numbers in the LEAP scenario are reported as site energy.</t>
  </si>
  <si>
    <t>This formula converts the volume of kWh computed above into its equivalent amount of Btu, in millions</t>
  </si>
  <si>
    <t>Residential building heat energy consumption</t>
  </si>
  <si>
    <t xml:space="preserve">Refer to: </t>
  </si>
  <si>
    <t>for a count of occupied housing units</t>
  </si>
  <si>
    <t>between 1,600 and 1,900</t>
  </si>
  <si>
    <t xml:space="preserve">Department estimate of the average square footage of conditioned residential space in the state. All else equal, higher average residence sizes than this will be associated with higher average area heat loads (and vice versa).   </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</si>
  <si>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</si>
  <si>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</si>
  <si>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</si>
  <si>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Number of people per household in State. All else equal, a higher number than this will likely be associated with higher average area heating loads (and vice versa).</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</si>
  <si>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</si>
  <si>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Commercial building heat energy consumption</t>
  </si>
  <si>
    <t>VT DOL website</t>
  </si>
  <si>
    <t>for a count of commercial establishments in the area</t>
  </si>
  <si>
    <t>NAICS Code</t>
  </si>
  <si>
    <t xml:space="preserve">Number of Bldgs. in State </t>
  </si>
  <si>
    <t>Number of Empl. in State</t>
  </si>
  <si>
    <t>42. Wholesale trade</t>
  </si>
  <si>
    <t>44-45. Retail trade</t>
  </si>
  <si>
    <t>48-49. Transportation and warehousing</t>
  </si>
  <si>
    <t>51. Information</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</si>
  <si>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</si>
  <si>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</si>
  <si>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</si>
  <si>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</si>
  <si>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</si>
  <si>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</si>
  <si>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</si>
  <si>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</si>
  <si>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</si>
  <si>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81. Other services, except public administration</t>
  </si>
  <si>
    <t>good</t>
  </si>
  <si>
    <t>hunting</t>
  </si>
  <si>
    <t xml:space="preserve">Cells that calculate key outputs are formatted like this: </t>
  </si>
  <si>
    <t>Estimating current non-industrial building (Residential and Commercial) heat energy consumption in a municipality</t>
  </si>
  <si>
    <r>
      <t xml:space="preserve">This formula computes an estimate of the </t>
    </r>
    <r>
      <rPr>
        <b/>
        <sz val="11"/>
        <color theme="1"/>
        <rFont val="Calibri"/>
        <family val="2"/>
        <scheme val="minor"/>
      </rPr>
      <t>number of gallons of fossil fuel consumed annually</t>
    </r>
    <r>
      <rPr>
        <sz val="11"/>
        <color theme="1"/>
        <rFont val="Calibri"/>
        <family val="2"/>
        <scheme val="minor"/>
      </rPr>
      <t xml:space="preserve"> from the values inputted above. </t>
    </r>
  </si>
  <si>
    <r>
      <t xml:space="preserve">This formula computes an estimate of the </t>
    </r>
    <r>
      <rPr>
        <b/>
        <sz val="11"/>
        <color theme="1"/>
        <rFont val="Calibri"/>
        <family val="2"/>
        <scheme val="minor"/>
      </rPr>
      <t>number of gallons of ethanol consumed annually</t>
    </r>
    <r>
      <rPr>
        <sz val="11"/>
        <color theme="1"/>
        <rFont val="Calibri"/>
        <family val="2"/>
        <scheme val="minor"/>
      </rPr>
      <t xml:space="preserve"> from the values inputted above. </t>
    </r>
  </si>
  <si>
    <r>
      <t xml:space="preserve">This is the estimated </t>
    </r>
    <r>
      <rPr>
        <b/>
        <sz val="11"/>
        <color theme="1"/>
        <rFont val="Calibri"/>
        <family val="2"/>
        <scheme val="minor"/>
      </rPr>
      <t>total annual energy consumption of ICE vehicles in the area</t>
    </r>
    <r>
      <rPr>
        <sz val="11"/>
        <color theme="1"/>
        <rFont val="Calibri"/>
        <family val="2"/>
        <scheme val="minor"/>
      </rPr>
      <t>, in millions of Btu</t>
    </r>
  </si>
  <si>
    <r>
      <t xml:space="preserve">This formula computes an estimate of the the </t>
    </r>
    <r>
      <rPr>
        <b/>
        <sz val="11"/>
        <color theme="1"/>
        <rFont val="Calibri"/>
        <family val="2"/>
        <scheme val="minor"/>
      </rPr>
      <t>number of kWh consumed annually by EVs in the area</t>
    </r>
    <r>
      <rPr>
        <sz val="11"/>
        <color theme="1"/>
        <rFont val="Calibri"/>
        <family val="2"/>
        <scheme val="minor"/>
      </rPr>
      <t xml:space="preserve"> from the values inputed  above</t>
    </r>
  </si>
  <si>
    <t>MMBtu of residential building heat energy consumed regionally</t>
  </si>
  <si>
    <t>MMBtu of LDV transportation energy consumed regionally</t>
  </si>
  <si>
    <t>MMBtu of commercial building heat energy consumed regionally</t>
  </si>
  <si>
    <r>
      <t xml:space="preserve">This is the estimated </t>
    </r>
    <r>
      <rPr>
        <b/>
        <sz val="11"/>
        <color theme="1"/>
        <rFont val="Calibri"/>
        <family val="2"/>
        <scheme val="minor"/>
      </rPr>
      <t>total heat energy consumption of Residential buildings in the area</t>
    </r>
    <r>
      <rPr>
        <sz val="11"/>
        <color theme="1"/>
        <rFont val="Calibri"/>
        <family val="2"/>
        <scheme val="minor"/>
      </rPr>
      <t xml:space="preserve">, in millions of Btu. The cell to the right calculates the municipality's share of the regional total once all municipalities have been estimated. </t>
    </r>
  </si>
  <si>
    <r>
      <t xml:space="preserve">This is the estimated </t>
    </r>
    <r>
      <rPr>
        <b/>
        <sz val="11"/>
        <color theme="1"/>
        <rFont val="Calibri"/>
        <family val="2"/>
        <scheme val="minor"/>
      </rPr>
      <t>total heat energy consumption of Commercial buildings in the area</t>
    </r>
    <r>
      <rPr>
        <sz val="11"/>
        <color theme="1"/>
        <rFont val="Calibri"/>
        <family val="2"/>
        <scheme val="minor"/>
      </rPr>
      <t>, in millions of Btu. The cell to the right calculates the municipality's share of the regional total once all municipalities have been estimated</t>
    </r>
  </si>
  <si>
    <r>
      <t xml:space="preserve">Enter an estimate of the </t>
    </r>
    <r>
      <rPr>
        <b/>
        <sz val="11"/>
        <color theme="1"/>
        <rFont val="Calibri"/>
        <family val="2"/>
        <scheme val="minor"/>
      </rPr>
      <t>average annual number of miles travelled by an LDV in the area</t>
    </r>
    <r>
      <rPr>
        <sz val="11"/>
        <color theme="1"/>
        <rFont val="Calibri"/>
        <family val="2"/>
        <scheme val="minor"/>
      </rPr>
      <t>. For the State as a whole, total VMT per registered Vehicle was around 12,500. The vast majority of LDV in Vermont can safely be assumed to drive between 9,000 and 15,000 miles annnually. The cell to the right is used to aggregate the municipality estimate into a regional total in the green tabs. Do not modify this formula</t>
    </r>
  </si>
  <si>
    <r>
      <t xml:space="preserve">Enter an estimate of the </t>
    </r>
    <r>
      <rPr>
        <b/>
        <sz val="11"/>
        <color theme="1"/>
        <rFont val="Calibri"/>
        <family val="2"/>
        <scheme val="minor"/>
      </rPr>
      <t>average fuel economy of fossil fuel burning LDV fleet in the area</t>
    </r>
    <r>
      <rPr>
        <sz val="11"/>
        <color theme="1"/>
        <rFont val="Calibri"/>
        <family val="2"/>
        <scheme val="minor"/>
      </rPr>
      <t xml:space="preserve">, in miles per gallon (MPG). Statewide, the average fuel economy of all registered vehicles is around 22 MPG. Below are examples of the type of statistics that could be useful for benchmarking your estimate. Other information can be cited as well. The cell to the right is used to aggregate the muncipality estimate into a regional total in the green tabs. Do not modify this formua. </t>
    </r>
  </si>
  <si>
    <t>This formula converts the inputs above into an estimate of the number of gallons of fossil fuel consumed annualy in the area for LDV transportation. The cell to the right is used to aggregate the municipality estimate into a regional total in the green tabs. Do not modify this formula</t>
  </si>
  <si>
    <r>
      <t xml:space="preserve">Enter an estimate of the volumetric </t>
    </r>
    <r>
      <rPr>
        <b/>
        <sz val="11"/>
        <color theme="1"/>
        <rFont val="Calibri"/>
        <family val="2"/>
        <scheme val="minor"/>
      </rPr>
      <t>percentage of ethanol blended into area fuel supplies "at the pump."</t>
    </r>
    <r>
      <rPr>
        <sz val="11"/>
        <color theme="1"/>
        <rFont val="Calibri"/>
        <family val="2"/>
        <scheme val="minor"/>
      </rPr>
      <t xml:space="preserve">  For the State as a whole, ethanol accounts for about 9% of the volume of fuel consumed "at the pump." This percentage may differ substantially area to area. The cell to the right is used to aggregate the muncipality estimate into a regional total in the green tabs. Do not modify this formua. </t>
    </r>
  </si>
  <si>
    <r>
      <t xml:space="preserve">Enter an estimate of the </t>
    </r>
    <r>
      <rPr>
        <b/>
        <sz val="11"/>
        <color theme="1"/>
        <rFont val="Calibri"/>
        <family val="2"/>
        <scheme val="minor"/>
      </rPr>
      <t>number of Electric Vehicles in the area</t>
    </r>
    <r>
      <rPr>
        <sz val="11"/>
        <color theme="1"/>
        <rFont val="Calibri"/>
        <family val="2"/>
        <scheme val="minor"/>
      </rPr>
      <t>. The cell to the right is used to aggregate the municpality estimate into a regional total in the green tabs. Do not modify this formula</t>
    </r>
  </si>
  <si>
    <r>
      <t xml:space="preserve">Enter an estimate of the </t>
    </r>
    <r>
      <rPr>
        <b/>
        <sz val="11"/>
        <color theme="1"/>
        <rFont val="Calibri"/>
        <family val="2"/>
        <scheme val="minor"/>
      </rPr>
      <t>average annual heating load of area residences</t>
    </r>
    <r>
      <rPr>
        <sz val="11"/>
        <color theme="1"/>
        <rFont val="Calibri"/>
        <family val="2"/>
        <scheme val="minor"/>
      </rPr>
      <t>,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The value in the cell to the right is used to aggregate the municipality estimate into a regional total in the green tabs. Do not modify this formula</t>
    </r>
  </si>
  <si>
    <r>
      <t xml:space="preserve">Enter an estimate of the </t>
    </r>
    <r>
      <rPr>
        <b/>
        <sz val="11"/>
        <color theme="1"/>
        <rFont val="Calibri"/>
        <family val="2"/>
        <scheme val="minor"/>
      </rPr>
      <t>total number of residential buildings in the area</t>
    </r>
    <r>
      <rPr>
        <sz val="11"/>
        <color theme="1"/>
        <rFont val="Calibri"/>
        <family val="2"/>
        <scheme val="minor"/>
      </rPr>
      <t>. The cell to the right calculates the municipality's share of the regional total once all municipalities have been estimated. This value is used to aggregate the municipality estimate into a regional total in the green tabs. Do not modify this formula.</t>
    </r>
  </si>
  <si>
    <t>count</t>
  </si>
  <si>
    <t>share of buildings in town</t>
  </si>
  <si>
    <t>Municipality</t>
  </si>
  <si>
    <t>Regional Planning Commission</t>
  </si>
  <si>
    <t>TOTAL</t>
  </si>
  <si>
    <t>42. Wholesale trade2</t>
  </si>
  <si>
    <t>44-45. Retail trade3</t>
  </si>
  <si>
    <t>48-49. Transportation and warehousing4</t>
  </si>
  <si>
    <t>51. Information5</t>
  </si>
  <si>
    <t>52. Finance and insurance6</t>
  </si>
  <si>
    <t>53. Real estate and rental and leasing7</t>
  </si>
  <si>
    <t>54. Professional and technical services8</t>
  </si>
  <si>
    <t>55. Management of companies and enterprises9</t>
  </si>
  <si>
    <t>56. Administrative and waste services10</t>
  </si>
  <si>
    <t>61. Educational services11</t>
  </si>
  <si>
    <t>62. Health care and social assistance12</t>
  </si>
  <si>
    <t>71. Arts, entertainment, and recreation13</t>
  </si>
  <si>
    <t>72. Accommodation and food services14</t>
  </si>
  <si>
    <t>81. Other services, except public administration15</t>
  </si>
  <si>
    <t>share of state establishments</t>
  </si>
  <si>
    <t>share of state establishments (no residual)</t>
  </si>
  <si>
    <t>share of regional establishments</t>
  </si>
  <si>
    <t>Addison</t>
  </si>
  <si>
    <t>Addison County Regional Planning Commission</t>
  </si>
  <si>
    <t>Bridport</t>
  </si>
  <si>
    <t>Bennington County Regional Commission</t>
  </si>
  <si>
    <t>Bristol</t>
  </si>
  <si>
    <t>Central Vermont Regional Planning Commission</t>
  </si>
  <si>
    <t>Cornwall</t>
  </si>
  <si>
    <t>Chittenden County Regional Planning Commission</t>
  </si>
  <si>
    <t>Ferrisburgh</t>
  </si>
  <si>
    <t>Lamoille County Planning Commission</t>
  </si>
  <si>
    <t>Goshen</t>
  </si>
  <si>
    <t>Northeastern Vermont Development Association</t>
  </si>
  <si>
    <t>Leicester</t>
  </si>
  <si>
    <t>Northwest Regional Planning Commission</t>
  </si>
  <si>
    <t>Lincoln</t>
  </si>
  <si>
    <t>Rutland Regional Planning Commission</t>
  </si>
  <si>
    <t>Middlebury</t>
  </si>
  <si>
    <t>Southern Windsor County Regional Planning Commission</t>
  </si>
  <si>
    <t>Monkton</t>
  </si>
  <si>
    <t>Two Rivers-Ottauquechee Regional Commission</t>
  </si>
  <si>
    <t>New Haven</t>
  </si>
  <si>
    <t>Windham Regional Commission</t>
  </si>
  <si>
    <t>Orwell</t>
  </si>
  <si>
    <t>Panton</t>
  </si>
  <si>
    <t>Ripton</t>
  </si>
  <si>
    <t>Salisbury</t>
  </si>
  <si>
    <t>Shoreham</t>
  </si>
  <si>
    <t>Starksboro</t>
  </si>
  <si>
    <t>Vergennes</t>
  </si>
  <si>
    <t>Waltham</t>
  </si>
  <si>
    <t>Weybridge</t>
  </si>
  <si>
    <t>Whiting</t>
  </si>
  <si>
    <t>Arlington</t>
  </si>
  <si>
    <t>Bennington</t>
  </si>
  <si>
    <t>Dorset</t>
  </si>
  <si>
    <t>Landgrove</t>
  </si>
  <si>
    <t>Manchester</t>
  </si>
  <si>
    <t>Peru</t>
  </si>
  <si>
    <t>Pownal</t>
  </si>
  <si>
    <t>Rupert</t>
  </si>
  <si>
    <t>Sandgate</t>
  </si>
  <si>
    <t>Shaftsbury</t>
  </si>
  <si>
    <t>Stamford</t>
  </si>
  <si>
    <t>Sunderland</t>
  </si>
  <si>
    <t>Woodford</t>
  </si>
  <si>
    <t>Barre</t>
  </si>
  <si>
    <t>Barre City</t>
  </si>
  <si>
    <t>Berlin</t>
  </si>
  <si>
    <t>Cabot</t>
  </si>
  <si>
    <t>Calais</t>
  </si>
  <si>
    <t>Duxbury</t>
  </si>
  <si>
    <t>East Montpelier</t>
  </si>
  <si>
    <t>Fayston</t>
  </si>
  <si>
    <t>Marshfield</t>
  </si>
  <si>
    <t>Middlesex</t>
  </si>
  <si>
    <t>Montpelier</t>
  </si>
  <si>
    <t>Moretown</t>
  </si>
  <si>
    <t>Northfield</t>
  </si>
  <si>
    <t>Orange</t>
  </si>
  <si>
    <t>Plainfield</t>
  </si>
  <si>
    <t>Roxbury</t>
  </si>
  <si>
    <t>Waitsfield</t>
  </si>
  <si>
    <t>Warren</t>
  </si>
  <si>
    <t>Washington</t>
  </si>
  <si>
    <t>Waterbury</t>
  </si>
  <si>
    <t>Williamstown</t>
  </si>
  <si>
    <t>Woodbury</t>
  </si>
  <si>
    <t>Worcester</t>
  </si>
  <si>
    <t>Bolton</t>
  </si>
  <si>
    <t>Burlington</t>
  </si>
  <si>
    <t>Charlotte</t>
  </si>
  <si>
    <t>Colchester</t>
  </si>
  <si>
    <t>Essex</t>
  </si>
  <si>
    <t>Hinesburg</t>
  </si>
  <si>
    <t>Huntington</t>
  </si>
  <si>
    <t>Jericho</t>
  </si>
  <si>
    <t>Milton</t>
  </si>
  <si>
    <t>Richmond</t>
  </si>
  <si>
    <t>Saint George</t>
  </si>
  <si>
    <t>Shelburne</t>
  </si>
  <si>
    <t>South Burlington</t>
  </si>
  <si>
    <t>Underhill</t>
  </si>
  <si>
    <t>Westford</t>
  </si>
  <si>
    <t>Williston</t>
  </si>
  <si>
    <t>Winooski</t>
  </si>
  <si>
    <t>Belvidere</t>
  </si>
  <si>
    <t>Cambridge</t>
  </si>
  <si>
    <t>Eden</t>
  </si>
  <si>
    <t>Elmore</t>
  </si>
  <si>
    <t>Hyde Park</t>
  </si>
  <si>
    <t>Johnson</t>
  </si>
  <si>
    <t>Morristown</t>
  </si>
  <si>
    <t>Stowe</t>
  </si>
  <si>
    <t>Waterville</t>
  </si>
  <si>
    <t>Wolcott</t>
  </si>
  <si>
    <t>Albany</t>
  </si>
  <si>
    <t>Averill</t>
  </si>
  <si>
    <t>Barnet</t>
  </si>
  <si>
    <t>Barton</t>
  </si>
  <si>
    <t>Bloomfield</t>
  </si>
  <si>
    <t>Brighton</t>
  </si>
  <si>
    <t>Brownington</t>
  </si>
  <si>
    <t>Brunswick</t>
  </si>
  <si>
    <t>Burke</t>
  </si>
  <si>
    <t>Canaan</t>
  </si>
  <si>
    <t>Charleston</t>
  </si>
  <si>
    <t>Concord</t>
  </si>
  <si>
    <t>Coventry</t>
  </si>
  <si>
    <t>Craftsbury</t>
  </si>
  <si>
    <t>Danville</t>
  </si>
  <si>
    <t>Derby</t>
  </si>
  <si>
    <t>East Haven</t>
  </si>
  <si>
    <t>Glover</t>
  </si>
  <si>
    <t>Granby</t>
  </si>
  <si>
    <t>Greensboro</t>
  </si>
  <si>
    <t>Groton</t>
  </si>
  <si>
    <t>Guildhall</t>
  </si>
  <si>
    <t>Hardwick</t>
  </si>
  <si>
    <t>Holland</t>
  </si>
  <si>
    <t>Irasburg</t>
  </si>
  <si>
    <t>Jay</t>
  </si>
  <si>
    <t>Kirby</t>
  </si>
  <si>
    <t>Lowell</t>
  </si>
  <si>
    <t>Lunenburg</t>
  </si>
  <si>
    <t>Lyndon</t>
  </si>
  <si>
    <t>Maidstone</t>
  </si>
  <si>
    <t>Morgan</t>
  </si>
  <si>
    <t>Newark</t>
  </si>
  <si>
    <t>Newport City</t>
  </si>
  <si>
    <t>Newport</t>
  </si>
  <si>
    <t>Norton</t>
  </si>
  <si>
    <t>Peacham</t>
  </si>
  <si>
    <t>Ryegate</t>
  </si>
  <si>
    <t>Saint Johnsbury</t>
  </si>
  <si>
    <t>Sheffield</t>
  </si>
  <si>
    <t>Stannard</t>
  </si>
  <si>
    <t>Sutton</t>
  </si>
  <si>
    <t>Troy</t>
  </si>
  <si>
    <t>Victory</t>
  </si>
  <si>
    <t>Walden</t>
  </si>
  <si>
    <t>Waterford</t>
  </si>
  <si>
    <t>Westfield</t>
  </si>
  <si>
    <t>Westmore</t>
  </si>
  <si>
    <t>Wheelock</t>
  </si>
  <si>
    <t>Alburgh</t>
  </si>
  <si>
    <t>Bakersfield</t>
  </si>
  <si>
    <t>Berkshire</t>
  </si>
  <si>
    <t>Enosburg Falls</t>
  </si>
  <si>
    <t>Fairfax</t>
  </si>
  <si>
    <t>Fairfield</t>
  </si>
  <si>
    <t>Fletcher</t>
  </si>
  <si>
    <t>Franklin</t>
  </si>
  <si>
    <t>Georgia</t>
  </si>
  <si>
    <t>Grand Isle</t>
  </si>
  <si>
    <t>Highgate</t>
  </si>
  <si>
    <t>Isle La Motte</t>
  </si>
  <si>
    <t>Montgomery</t>
  </si>
  <si>
    <t>North Hero</t>
  </si>
  <si>
    <t>Richford</t>
  </si>
  <si>
    <t>Saint Albans City</t>
  </si>
  <si>
    <t>Saint Albans</t>
  </si>
  <si>
    <t>Sheldon</t>
  </si>
  <si>
    <t>South Hero</t>
  </si>
  <si>
    <t>Swanton</t>
  </si>
  <si>
    <t>Benson</t>
  </si>
  <si>
    <t>Brandon</t>
  </si>
  <si>
    <t>Castleton</t>
  </si>
  <si>
    <t>Chittenden</t>
  </si>
  <si>
    <t>Clarendon</t>
  </si>
  <si>
    <t>Danby</t>
  </si>
  <si>
    <t>Fair Haven</t>
  </si>
  <si>
    <t>Hubbardton</t>
  </si>
  <si>
    <t>Ira</t>
  </si>
  <si>
    <t>Mendon</t>
  </si>
  <si>
    <t>Middletown Springs</t>
  </si>
  <si>
    <t>Mount Holly</t>
  </si>
  <si>
    <t>Mount Tabor</t>
  </si>
  <si>
    <t>Pawlet</t>
  </si>
  <si>
    <t>Pittsford</t>
  </si>
  <si>
    <t>Poultney</t>
  </si>
  <si>
    <t>Proctor</t>
  </si>
  <si>
    <t>Rutland City</t>
  </si>
  <si>
    <t>Rutland</t>
  </si>
  <si>
    <t>Killington</t>
  </si>
  <si>
    <t>Shrewsbury</t>
  </si>
  <si>
    <t>Sudbury</t>
  </si>
  <si>
    <t>Tinmouth</t>
  </si>
  <si>
    <t>Wallingford</t>
  </si>
  <si>
    <t>Wells</t>
  </si>
  <si>
    <t>West Rutland</t>
  </si>
  <si>
    <t>West Haven</t>
  </si>
  <si>
    <t>Andover</t>
  </si>
  <si>
    <t>Baltimore</t>
  </si>
  <si>
    <t>Cavendish</t>
  </si>
  <si>
    <t>Chester</t>
  </si>
  <si>
    <t>Ludlow</t>
  </si>
  <si>
    <t>Reading</t>
  </si>
  <si>
    <t>Springfield</t>
  </si>
  <si>
    <t>Weathersfield</t>
  </si>
  <si>
    <t>West Windsor</t>
  </si>
  <si>
    <t>Windsor</t>
  </si>
  <si>
    <t>Barnard</t>
  </si>
  <si>
    <t>Bethel</t>
  </si>
  <si>
    <t>Bradford</t>
  </si>
  <si>
    <t>Braintree</t>
  </si>
  <si>
    <t>Bridgewater</t>
  </si>
  <si>
    <t>Brookfield</t>
  </si>
  <si>
    <t>Chelsea</t>
  </si>
  <si>
    <t>Corinth</t>
  </si>
  <si>
    <t>Fairlee</t>
  </si>
  <si>
    <t>Granville</t>
  </si>
  <si>
    <t>Hancock</t>
  </si>
  <si>
    <t>Hartford</t>
  </si>
  <si>
    <t>Hartland</t>
  </si>
  <si>
    <t>Newbury</t>
  </si>
  <si>
    <t>Norwich</t>
  </si>
  <si>
    <t>Pittsfield</t>
  </si>
  <si>
    <t>Plymouth</t>
  </si>
  <si>
    <t>Pomfret</t>
  </si>
  <si>
    <t>Randolph</t>
  </si>
  <si>
    <t>Rochester</t>
  </si>
  <si>
    <t>Royalton</t>
  </si>
  <si>
    <t>Sharon</t>
  </si>
  <si>
    <t>Stockbridge</t>
  </si>
  <si>
    <t>Strafford</t>
  </si>
  <si>
    <t>Thetford</t>
  </si>
  <si>
    <t>Topsham</t>
  </si>
  <si>
    <t>Tunbridge</t>
  </si>
  <si>
    <t>Vershire</t>
  </si>
  <si>
    <t>West Fairlee</t>
  </si>
  <si>
    <t>Woodstock</t>
  </si>
  <si>
    <t>Athens</t>
  </si>
  <si>
    <t>Brattleboro</t>
  </si>
  <si>
    <t>Brookline</t>
  </si>
  <si>
    <t>Dover</t>
  </si>
  <si>
    <t>Dummerston</t>
  </si>
  <si>
    <t>Grafton</t>
  </si>
  <si>
    <t>Guilford</t>
  </si>
  <si>
    <t>Halifax</t>
  </si>
  <si>
    <t>Jamaica</t>
  </si>
  <si>
    <t>Londonderry</t>
  </si>
  <si>
    <t>Marlboro</t>
  </si>
  <si>
    <t>Newfane</t>
  </si>
  <si>
    <t>Putney</t>
  </si>
  <si>
    <t>Readsboro</t>
  </si>
  <si>
    <t>Rockingham</t>
  </si>
  <si>
    <t>Searsburg</t>
  </si>
  <si>
    <t>Stratton</t>
  </si>
  <si>
    <t>Townshend</t>
  </si>
  <si>
    <t>Vernon</t>
  </si>
  <si>
    <t>Wardsboro</t>
  </si>
  <si>
    <t>Westminster</t>
  </si>
  <si>
    <t>Weston</t>
  </si>
  <si>
    <t>Whitingham</t>
  </si>
  <si>
    <t>Wilmington</t>
  </si>
  <si>
    <t>Windham</t>
  </si>
  <si>
    <t>Winhall</t>
  </si>
  <si>
    <t>All Other town</t>
  </si>
  <si>
    <t>Share of State Bldgs.</t>
  </si>
  <si>
    <t>Avg number of Empl. (Statewide)</t>
  </si>
  <si>
    <t>Estimated  Consumption (MMBtu)</t>
  </si>
  <si>
    <t>Estimated Avg.  Consumption (MMBtu)</t>
  </si>
  <si>
    <t>Number of Bldgs. in Town</t>
  </si>
  <si>
    <t xml:space="preserve">Share of Town Bldgs. </t>
  </si>
  <si>
    <t>This is the estimated average commercial heating load in the area, in millions of Btu</t>
  </si>
  <si>
    <t>2014 Population</t>
  </si>
  <si>
    <t>Pop Share of State</t>
  </si>
  <si>
    <t>Pop Share of Region</t>
  </si>
  <si>
    <t>Averys Gore</t>
  </si>
  <si>
    <t>Buel's Gore</t>
  </si>
  <si>
    <t>Ferdinand</t>
  </si>
  <si>
    <t>Glastenbury</t>
  </si>
  <si>
    <t>Lemington</t>
  </si>
  <si>
    <t>Lewis</t>
  </si>
  <si>
    <t>Somerset</t>
  </si>
  <si>
    <t>Warners Grant</t>
  </si>
  <si>
    <t>Warren Gore</t>
  </si>
  <si>
    <t>Vehicles</t>
  </si>
  <si>
    <t>Share of State Vehicles</t>
  </si>
  <si>
    <t>Share of Region Vehicles</t>
  </si>
  <si>
    <t>% share</t>
  </si>
  <si>
    <r>
      <t xml:space="preserve">Enter the </t>
    </r>
    <r>
      <rPr>
        <b/>
        <sz val="11"/>
        <color theme="1"/>
        <rFont val="Calibri"/>
        <family val="2"/>
        <scheme val="minor"/>
      </rPr>
      <t xml:space="preserve">total number of commercial buildings in the area. </t>
    </r>
    <r>
      <rPr>
        <sz val="11"/>
        <color theme="1"/>
        <rFont val="Calibri"/>
        <family val="2"/>
        <scheme val="minor"/>
      </rPr>
      <t>The value in the cell to the right is used to aggregate the municipality estimate into a regional total in the green tabs. Do not modify this formula</t>
    </r>
  </si>
  <si>
    <r>
      <t xml:space="preserve">This is an estimate of the </t>
    </r>
    <r>
      <rPr>
        <b/>
        <sz val="11"/>
        <color theme="1"/>
        <rFont val="Calibri"/>
        <family val="2"/>
        <scheme val="minor"/>
      </rPr>
      <t>number of fossil-fuel burning LDV in the area</t>
    </r>
    <r>
      <rPr>
        <sz val="11"/>
        <color theme="1"/>
        <rFont val="Calibri"/>
        <family val="2"/>
        <scheme val="minor"/>
      </rPr>
      <t>. It does not distinguish between diesel and gasoline burning vehicles. The formula in the cell to the right calculates the municipality's share of the regional total once all municipalities have been estimated.  This value is ued to aggregate the municipality estimate into a regional total in the green tabs. Do not modify this formula</t>
    </r>
  </si>
  <si>
    <t>This formula converts the inputs above into an estimate of the number of gallons of fossil fuel consumed annually in the area for LDV transportation.</t>
  </si>
  <si>
    <r>
      <t xml:space="preserve">All cells requiring user inputs on the </t>
    </r>
    <r>
      <rPr>
        <sz val="11"/>
        <color rgb="FF00B0F0"/>
        <rFont val="Calibri"/>
        <family val="2"/>
        <scheme val="minor"/>
      </rPr>
      <t>blue</t>
    </r>
    <r>
      <rPr>
        <sz val="11"/>
        <color theme="1"/>
        <rFont val="Calibri"/>
        <family val="2"/>
        <scheme val="minor"/>
      </rPr>
      <t xml:space="preserve"> and </t>
    </r>
    <r>
      <rPr>
        <sz val="11"/>
        <color rgb="FFFF0000"/>
        <rFont val="Calibri"/>
        <family val="2"/>
        <scheme val="minor"/>
      </rPr>
      <t>red</t>
    </r>
    <r>
      <rPr>
        <sz val="11"/>
        <color theme="1"/>
        <rFont val="Calibri"/>
        <family val="2"/>
        <scheme val="minor"/>
      </rPr>
      <t xml:space="preserve"> tabs are formatted like this: </t>
    </r>
  </si>
  <si>
    <t xml:space="preserve">The cells that calculate municipal shares of regional consumption are found in each blue and red tab, and are formatted like this: </t>
  </si>
  <si>
    <r>
      <t xml:space="preserve">Once each municipality's consumption has been estimated in the </t>
    </r>
    <r>
      <rPr>
        <sz val="11"/>
        <color rgb="FF00B0F0"/>
        <rFont val="Calibri"/>
        <family val="2"/>
        <scheme val="minor"/>
      </rPr>
      <t>blue</t>
    </r>
    <r>
      <rPr>
        <sz val="11"/>
        <color theme="1"/>
        <rFont val="Calibri"/>
        <family val="2"/>
        <scheme val="minor"/>
      </rPr>
      <t xml:space="preserve"> and </t>
    </r>
    <r>
      <rPr>
        <sz val="11"/>
        <color rgb="FFFF0000"/>
        <rFont val="Calibri"/>
        <family val="2"/>
        <scheme val="minor"/>
      </rPr>
      <t>red</t>
    </r>
    <r>
      <rPr>
        <sz val="11"/>
        <color theme="1"/>
        <rFont val="Calibri"/>
        <family val="2"/>
        <scheme val="minor"/>
      </rPr>
      <t xml:space="preserve"> tabs, the individual results of each  municipality's entries are aggregated into a region-wide estimate of energy consumption, which is shown in the </t>
    </r>
    <r>
      <rPr>
        <sz val="11"/>
        <color rgb="FF00B050"/>
        <rFont val="Calibri"/>
        <family val="2"/>
        <scheme val="minor"/>
      </rPr>
      <t>green</t>
    </r>
    <r>
      <rPr>
        <sz val="11"/>
        <color theme="1"/>
        <rFont val="Calibri"/>
        <family val="2"/>
        <scheme val="minor"/>
      </rPr>
      <t xml:space="preserve"> tabs. This aggregation is then used as the basis for calculating each municipality's share of each type of the region's overall energy consumption (transportation and building heat). </t>
    </r>
  </si>
  <si>
    <t>Sheet intentionally left blank. Do not modify. Below calculations are for workbook functionality purposes</t>
  </si>
  <si>
    <t>Sheet intentionally left blank. Do not modify.</t>
  </si>
  <si>
    <t xml:space="preserve">The municipality's share of this regional total can  be used to disaggregate the regional LEAP scenario into municipal targets. These shares are shown below in cells formatted  like this: </t>
  </si>
  <si>
    <t>First select a muncipality in the dropdown to the right. Then input the necessary assumptions below to calculate an estimate of current consumption for this municipality:</t>
  </si>
  <si>
    <r>
      <t xml:space="preserve">This estimate is summed together with other municipal estimates into a region wide consumption estimate shown on the </t>
    </r>
    <r>
      <rPr>
        <sz val="12"/>
        <color rgb="FF00B050"/>
        <rFont val="Calibri"/>
        <family val="2"/>
        <scheme val="minor"/>
      </rPr>
      <t>green</t>
    </r>
    <r>
      <rPr>
        <sz val="12"/>
        <color theme="1"/>
        <rFont val="Calibri"/>
        <family val="2"/>
        <scheme val="minor"/>
      </rPr>
      <t xml:space="preserve"> tabs. Note all municipal estimates must be completed for accuracy. </t>
    </r>
  </si>
  <si>
    <r>
      <t xml:space="preserve">This is the estimated total </t>
    </r>
    <r>
      <rPr>
        <b/>
        <sz val="11"/>
        <color theme="1"/>
        <rFont val="Calibri"/>
        <family val="2"/>
        <scheme val="minor"/>
      </rPr>
      <t>annual energy consumption amount for light-duty passenger transportation purposes</t>
    </r>
    <r>
      <rPr>
        <sz val="11"/>
        <color theme="1"/>
        <rFont val="Calibri"/>
        <family val="2"/>
        <scheme val="minor"/>
      </rPr>
      <t>, in millions of Btu. It is produced from the calculation steps below which depend on assumptions inputted into each of the colored cells. The cell to the right calculates the municipality's share of the regional total once all municipalities have been estimated.</t>
    </r>
  </si>
  <si>
    <t>was used to estimate the count of vehicles associated with area housing units</t>
  </si>
  <si>
    <t>Source:</t>
  </si>
  <si>
    <t>can provide counts of individual vehicles registered in area, by type of vehicle. This data would have to be specifically requested from the DMV and is not used in this estimate.</t>
  </si>
  <si>
    <r>
      <t xml:space="preserve">Enter an estimate of the </t>
    </r>
    <r>
      <rPr>
        <b/>
        <sz val="11"/>
        <color theme="1"/>
        <rFont val="Calibri"/>
        <family val="2"/>
        <scheme val="minor"/>
      </rPr>
      <t>average annual number of miles travelled by EVs in the area</t>
    </r>
    <r>
      <rPr>
        <sz val="11"/>
        <color theme="1"/>
        <rFont val="Calibri"/>
        <family val="2"/>
        <scheme val="minor"/>
      </rPr>
      <t>. Currently this is likely to be less than the average VMT by ICE vehicles but it is also reasonable to assume it is equivalent. The cell to the right is used to aggregate the municpality estimate into a regional total in the green tabs. Do not modify this formula</t>
    </r>
  </si>
  <si>
    <t xml:space="preserve">This template is designed as an aid to Regional Planners in the development of muncipal level estimates of current energy consumption. </t>
  </si>
  <si>
    <r>
      <rPr>
        <sz val="11"/>
        <color rgb="FF00B0F0"/>
        <rFont val="Calibri"/>
        <family val="2"/>
        <scheme val="minor"/>
      </rPr>
      <t>blue</t>
    </r>
    <r>
      <rPr>
        <sz val="11"/>
        <color theme="1"/>
        <rFont val="Calibri"/>
        <family val="2"/>
        <scheme val="minor"/>
      </rPr>
      <t xml:space="preserve"> and </t>
    </r>
    <r>
      <rPr>
        <sz val="11"/>
        <color rgb="FFFF0000"/>
        <rFont val="Calibri"/>
        <family val="2"/>
        <scheme val="minor"/>
      </rPr>
      <t>red</t>
    </r>
    <r>
      <rPr>
        <sz val="11"/>
        <color theme="1"/>
        <rFont val="Calibri"/>
        <family val="2"/>
        <scheme val="minor"/>
      </rPr>
      <t xml:space="preserve"> tab, and are formatted like this: </t>
    </r>
  </si>
  <si>
    <r>
      <t>This is the estimated</t>
    </r>
    <r>
      <rPr>
        <b/>
        <sz val="11"/>
        <color theme="1"/>
        <rFont val="Calibri"/>
        <family val="2"/>
        <scheme val="minor"/>
      </rPr>
      <t xml:space="preserve"> total annual energy heat consumption for Residential and Commercial buildings in the area,</t>
    </r>
    <r>
      <rPr>
        <sz val="11"/>
        <color theme="1"/>
        <rFont val="Calibri"/>
        <family val="2"/>
        <scheme val="minor"/>
      </rPr>
      <t xml:space="preserve"> in millions of Btu. It is produced from the calculation steps below which depend on assumptions inputted into each of the colored cells.</t>
    </r>
  </si>
  <si>
    <r>
      <t xml:space="preserve">Estimate the </t>
    </r>
    <r>
      <rPr>
        <b/>
        <sz val="11"/>
        <color theme="1"/>
        <rFont val="Calibri"/>
        <family val="2"/>
        <scheme val="minor"/>
      </rPr>
      <t>average annual heating load of commercial establishments in area</t>
    </r>
    <r>
      <rPr>
        <sz val="11"/>
        <color theme="1"/>
        <rFont val="Calibri"/>
        <family val="2"/>
        <scheme val="minor"/>
      </rPr>
      <t>,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 The value in the cell to the right is used to aggregate the municipality estimate into a regional total in the green tabs. Do not modify this formula</t>
    </r>
  </si>
  <si>
    <t>Aggregating municipal non-industrial building (Residential and Commercial) heat energy consumption into a regional total</t>
  </si>
  <si>
    <t>Aggregating municipal light-duty vehicle (LDV) transportation energy consumption into a regional total</t>
  </si>
  <si>
    <r>
      <t>This is the estimated</t>
    </r>
    <r>
      <rPr>
        <b/>
        <sz val="11"/>
        <color theme="1"/>
        <rFont val="Calibri"/>
        <family val="2"/>
        <scheme val="minor"/>
      </rPr>
      <t xml:space="preserve"> total annual energy heat consumption for Residential and Commercial buildings in the area,</t>
    </r>
    <r>
      <rPr>
        <sz val="11"/>
        <color theme="1"/>
        <rFont val="Calibri"/>
        <family val="2"/>
        <scheme val="minor"/>
      </rPr>
      <t xml:space="preserve"> in millions of Btu. </t>
    </r>
  </si>
  <si>
    <r>
      <t xml:space="preserve">This is the </t>
    </r>
    <r>
      <rPr>
        <b/>
        <sz val="11"/>
        <color theme="1"/>
        <rFont val="Calibri"/>
        <family val="2"/>
        <scheme val="minor"/>
      </rPr>
      <t>total number of residential buildings in the area</t>
    </r>
    <r>
      <rPr>
        <sz val="11"/>
        <color theme="1"/>
        <rFont val="Calibri"/>
        <family val="2"/>
        <scheme val="minor"/>
      </rPr>
      <t xml:space="preserve">, summed from the entries on the </t>
    </r>
    <r>
      <rPr>
        <sz val="11"/>
        <color rgb="FFFF0000"/>
        <rFont val="Calibri"/>
        <family val="2"/>
        <scheme val="minor"/>
      </rPr>
      <t>red</t>
    </r>
    <r>
      <rPr>
        <sz val="11"/>
        <color theme="1"/>
        <rFont val="Calibri"/>
        <family val="2"/>
        <scheme val="minor"/>
      </rPr>
      <t xml:space="preserve"> tabs.</t>
    </r>
  </si>
  <si>
    <r>
      <t xml:space="preserve">This sheet automatically  rolls up the individual muncipality estimates into a regional total based on the entries on the </t>
    </r>
    <r>
      <rPr>
        <sz val="12"/>
        <color rgb="FF00B0F0"/>
        <rFont val="Calibri"/>
        <family val="2"/>
        <scheme val="minor"/>
      </rPr>
      <t>blue</t>
    </r>
    <r>
      <rPr>
        <sz val="12"/>
        <color theme="1"/>
        <rFont val="Calibri"/>
        <family val="2"/>
        <scheme val="minor"/>
      </rPr>
      <t xml:space="preserve"> and </t>
    </r>
    <r>
      <rPr>
        <sz val="12"/>
        <color rgb="FFFF0000"/>
        <rFont val="Calibri"/>
        <family val="2"/>
        <scheme val="minor"/>
      </rPr>
      <t>red</t>
    </r>
    <r>
      <rPr>
        <sz val="12"/>
        <color theme="1"/>
        <rFont val="Calibri"/>
        <family val="2"/>
        <scheme val="minor"/>
      </rPr>
      <t xml:space="preserve"> tabs.</t>
    </r>
  </si>
  <si>
    <r>
      <t xml:space="preserve">This is the </t>
    </r>
    <r>
      <rPr>
        <b/>
        <sz val="11"/>
        <color theme="1"/>
        <rFont val="Calibri"/>
        <family val="2"/>
        <scheme val="minor"/>
      </rPr>
      <t>total number of commercial buildings in the area</t>
    </r>
    <r>
      <rPr>
        <sz val="11"/>
        <color theme="1"/>
        <rFont val="Calibri"/>
        <family val="2"/>
        <scheme val="minor"/>
      </rPr>
      <t xml:space="preserve">, summed from the entries in the </t>
    </r>
    <r>
      <rPr>
        <sz val="11"/>
        <color rgb="FFFF0000"/>
        <rFont val="Calibri"/>
        <family val="2"/>
        <scheme val="minor"/>
      </rPr>
      <t>red</t>
    </r>
    <r>
      <rPr>
        <sz val="11"/>
        <color theme="1"/>
        <rFont val="Calibri"/>
        <family val="2"/>
        <scheme val="minor"/>
      </rPr>
      <t xml:space="preserve"> tabs. </t>
    </r>
  </si>
  <si>
    <r>
      <t xml:space="preserve">This is the weighted </t>
    </r>
    <r>
      <rPr>
        <b/>
        <sz val="11"/>
        <color theme="1"/>
        <rFont val="Calibri"/>
        <family val="2"/>
        <scheme val="minor"/>
      </rPr>
      <t>average annual heating load of area residences</t>
    </r>
    <r>
      <rPr>
        <sz val="11"/>
        <color theme="1"/>
        <rFont val="Calibri"/>
        <family val="2"/>
        <scheme val="minor"/>
      </rPr>
      <t xml:space="preserve">, in millions of Btu (for space and water heating combined), calculated from the entries in the </t>
    </r>
    <r>
      <rPr>
        <sz val="11"/>
        <color rgb="FFFF0000"/>
        <rFont val="Calibri"/>
        <family val="2"/>
        <scheme val="minor"/>
      </rPr>
      <t>red</t>
    </r>
    <r>
      <rPr>
        <sz val="11"/>
        <color theme="1"/>
        <rFont val="Calibri"/>
        <family val="2"/>
        <scheme val="minor"/>
      </rPr>
      <t xml:space="preserve"> tabs. The weights used to calculate the average are each municipality's share of all residential buildings in the region. </t>
    </r>
  </si>
  <si>
    <r>
      <t xml:space="preserve">This is the estimated </t>
    </r>
    <r>
      <rPr>
        <b/>
        <sz val="11"/>
        <color theme="1"/>
        <rFont val="Calibri"/>
        <family val="2"/>
        <scheme val="minor"/>
      </rPr>
      <t>total heat energy consumption of Commercial buildings in the area</t>
    </r>
    <r>
      <rPr>
        <sz val="11"/>
        <color theme="1"/>
        <rFont val="Calibri"/>
        <family val="2"/>
        <scheme val="minor"/>
      </rPr>
      <t xml:space="preserve">, in millions of Btu. The cell to the right calculates the municipality's share of the regional total once all municipalities have been estimated. The fomula in the cell to the right checks the results; It should be 100% or nearly 100%. </t>
    </r>
  </si>
  <si>
    <r>
      <t xml:space="preserve">This is the </t>
    </r>
    <r>
      <rPr>
        <b/>
        <sz val="11"/>
        <color theme="1"/>
        <rFont val="Calibri"/>
        <family val="2"/>
        <scheme val="minor"/>
      </rPr>
      <t>average annual number of miles travelled by an LDV in the area</t>
    </r>
    <r>
      <rPr>
        <sz val="11"/>
        <color theme="1"/>
        <rFont val="Calibri"/>
        <family val="2"/>
        <scheme val="minor"/>
      </rPr>
      <t xml:space="preserve">, calculated from the entries on the </t>
    </r>
    <r>
      <rPr>
        <sz val="11"/>
        <color rgb="FF00B0F0"/>
        <rFont val="Calibri"/>
        <family val="2"/>
        <scheme val="minor"/>
      </rPr>
      <t>blue</t>
    </r>
    <r>
      <rPr>
        <sz val="11"/>
        <color theme="1"/>
        <rFont val="Calibri"/>
        <family val="2"/>
        <scheme val="minor"/>
      </rPr>
      <t xml:space="preserve"> tabs. </t>
    </r>
  </si>
  <si>
    <r>
      <t xml:space="preserve">This is the </t>
    </r>
    <r>
      <rPr>
        <b/>
        <sz val="11"/>
        <color theme="1"/>
        <rFont val="Calibri"/>
        <family val="2"/>
        <scheme val="minor"/>
      </rPr>
      <t xml:space="preserve">average annual number of miles travelled by EVs in the area, </t>
    </r>
    <r>
      <rPr>
        <sz val="11"/>
        <color theme="1"/>
        <rFont val="Calibri"/>
        <family val="2"/>
        <scheme val="minor"/>
      </rPr>
      <t xml:space="preserve">calculated from the entries on the </t>
    </r>
    <r>
      <rPr>
        <sz val="11"/>
        <color rgb="FF00B0F0"/>
        <rFont val="Calibri"/>
        <family val="2"/>
        <scheme val="minor"/>
      </rPr>
      <t>blue</t>
    </r>
    <r>
      <rPr>
        <sz val="11"/>
        <color theme="1"/>
        <rFont val="Calibri"/>
        <family val="2"/>
        <scheme val="minor"/>
      </rPr>
      <t xml:space="preserve"> tabs.</t>
    </r>
  </si>
  <si>
    <r>
      <t xml:space="preserve">This is the estimated </t>
    </r>
    <r>
      <rPr>
        <b/>
        <sz val="11"/>
        <color theme="1"/>
        <rFont val="Calibri"/>
        <family val="2"/>
        <scheme val="minor"/>
      </rPr>
      <t>total heat energy consumption of Residential buildings in the area</t>
    </r>
    <r>
      <rPr>
        <sz val="11"/>
        <color theme="1"/>
        <rFont val="Calibri"/>
        <family val="2"/>
        <scheme val="minor"/>
      </rPr>
      <t xml:space="preserve">, in millions of Btu. The fomula in the cell to the right checks the results; It should be 100% or nearly 100%. </t>
    </r>
  </si>
  <si>
    <r>
      <t xml:space="preserve">This is the estimated total </t>
    </r>
    <r>
      <rPr>
        <b/>
        <sz val="11"/>
        <color theme="1"/>
        <rFont val="Calibri"/>
        <family val="2"/>
        <scheme val="minor"/>
      </rPr>
      <t xml:space="preserve">annual energy consumption amount for light-duty passenger transportation purposes </t>
    </r>
    <r>
      <rPr>
        <sz val="11"/>
        <color theme="1"/>
        <rFont val="Calibri"/>
        <family val="2"/>
        <scheme val="minor"/>
      </rPr>
      <t xml:space="preserve">in the area, in millions of Btu. The fomula in the cell to the right checks the results; It should be 100% or nearly 100%. </t>
    </r>
  </si>
  <si>
    <r>
      <t xml:space="preserve">This is the </t>
    </r>
    <r>
      <rPr>
        <b/>
        <sz val="11"/>
        <color theme="1"/>
        <rFont val="Calibri"/>
        <family val="2"/>
        <scheme val="minor"/>
      </rPr>
      <t>average fuel economy of fossil fuel burning LDV fleet in the area</t>
    </r>
    <r>
      <rPr>
        <sz val="11"/>
        <color theme="1"/>
        <rFont val="Calibri"/>
        <family val="2"/>
        <scheme val="minor"/>
      </rPr>
      <t xml:space="preserve">, in miles per gallon (MPG), calculated from the entries on the </t>
    </r>
    <r>
      <rPr>
        <sz val="11"/>
        <color rgb="FF00B0F0"/>
        <rFont val="Calibri"/>
        <family val="2"/>
        <scheme val="minor"/>
      </rPr>
      <t>blue</t>
    </r>
    <r>
      <rPr>
        <sz val="11"/>
        <color theme="1"/>
        <rFont val="Calibri"/>
        <family val="2"/>
        <scheme val="minor"/>
      </rPr>
      <t xml:space="preserve"> tabs. </t>
    </r>
  </si>
  <si>
    <r>
      <t xml:space="preserve">This is the average </t>
    </r>
    <r>
      <rPr>
        <b/>
        <sz val="11"/>
        <color theme="1"/>
        <rFont val="Calibri"/>
        <family val="2"/>
        <scheme val="minor"/>
      </rPr>
      <t>percentage of ethanol blended into area fuel supplies "at the pump,"</t>
    </r>
    <r>
      <rPr>
        <sz val="11"/>
        <color theme="1"/>
        <rFont val="Calibri"/>
        <family val="2"/>
        <scheme val="minor"/>
      </rPr>
      <t xml:space="preserve">calculated from the entries on the </t>
    </r>
    <r>
      <rPr>
        <sz val="11"/>
        <color rgb="FF00B0F0"/>
        <rFont val="Calibri"/>
        <family val="2"/>
        <scheme val="minor"/>
      </rPr>
      <t>blue</t>
    </r>
    <r>
      <rPr>
        <sz val="11"/>
        <color theme="1"/>
        <rFont val="Calibri"/>
        <family val="2"/>
        <scheme val="minor"/>
      </rPr>
      <t xml:space="preserve"> tabs. </t>
    </r>
  </si>
  <si>
    <r>
      <t xml:space="preserve">This formula computes an estimate of the </t>
    </r>
    <r>
      <rPr>
        <b/>
        <sz val="11"/>
        <color theme="1"/>
        <rFont val="Calibri"/>
        <family val="2"/>
        <scheme val="minor"/>
      </rPr>
      <t>number of gallons of ethanol consumed annually</t>
    </r>
    <r>
      <rPr>
        <sz val="11"/>
        <color theme="1"/>
        <rFont val="Calibri"/>
        <family val="2"/>
        <scheme val="minor"/>
      </rPr>
      <t xml:space="preserve"> in the area from the values above</t>
    </r>
  </si>
  <si>
    <r>
      <t xml:space="preserve">This is the total </t>
    </r>
    <r>
      <rPr>
        <b/>
        <sz val="11"/>
        <color theme="1"/>
        <rFont val="Calibri"/>
        <family val="2"/>
        <scheme val="minor"/>
      </rPr>
      <t xml:space="preserve">number of fossil-fuel burning LDV in the area, </t>
    </r>
    <r>
      <rPr>
        <sz val="11"/>
        <color theme="1"/>
        <rFont val="Calibri"/>
        <family val="2"/>
        <scheme val="minor"/>
      </rPr>
      <t xml:space="preserve">summed from the entries on the </t>
    </r>
    <r>
      <rPr>
        <sz val="11"/>
        <color rgb="FF00B0F0"/>
        <rFont val="Calibri"/>
        <family val="2"/>
        <scheme val="minor"/>
      </rPr>
      <t>blue</t>
    </r>
    <r>
      <rPr>
        <sz val="11"/>
        <color theme="1"/>
        <rFont val="Calibri"/>
        <family val="2"/>
        <scheme val="minor"/>
      </rPr>
      <t xml:space="preserve"> tabs. </t>
    </r>
  </si>
  <si>
    <r>
      <t xml:space="preserve">To use this template, enter the necessary assumptions into the input cells in the </t>
    </r>
    <r>
      <rPr>
        <sz val="11"/>
        <color rgb="FF00B0F0"/>
        <rFont val="Calibri"/>
        <family val="2"/>
        <scheme val="minor"/>
      </rPr>
      <t>blue</t>
    </r>
    <r>
      <rPr>
        <sz val="11"/>
        <color theme="1"/>
        <rFont val="Calibri"/>
        <family val="2"/>
        <scheme val="minor"/>
      </rPr>
      <t xml:space="preserve"> and </t>
    </r>
    <r>
      <rPr>
        <sz val="11"/>
        <color rgb="FFFF0000"/>
        <rFont val="Calibri"/>
        <family val="2"/>
        <scheme val="minor"/>
      </rPr>
      <t>red</t>
    </r>
    <r>
      <rPr>
        <sz val="11"/>
        <color theme="1"/>
        <rFont val="Calibri"/>
        <family val="2"/>
        <scheme val="minor"/>
      </rPr>
      <t xml:space="preserve"> tabs. The </t>
    </r>
    <r>
      <rPr>
        <sz val="11"/>
        <color rgb="FF00B0F0"/>
        <rFont val="Calibri"/>
        <family val="2"/>
        <scheme val="minor"/>
      </rPr>
      <t>blue</t>
    </r>
    <r>
      <rPr>
        <sz val="11"/>
        <color theme="1"/>
        <rFont val="Calibri"/>
        <family val="2"/>
        <scheme val="minor"/>
      </rPr>
      <t xml:space="preserve"> tabs are for estimating municipal transportation energy consumption and the </t>
    </r>
    <r>
      <rPr>
        <sz val="11"/>
        <color rgb="FFFF0000"/>
        <rFont val="Calibri"/>
        <family val="2"/>
        <scheme val="minor"/>
      </rPr>
      <t>red</t>
    </r>
    <r>
      <rPr>
        <sz val="11"/>
        <color theme="1"/>
        <rFont val="Calibri"/>
        <family val="2"/>
        <scheme val="minor"/>
      </rPr>
      <t xml:space="preserve"> tabs are for estimating municipal building heat energy consumption. There should be one </t>
    </r>
    <r>
      <rPr>
        <sz val="11"/>
        <color rgb="FF00B0F0"/>
        <rFont val="Calibri"/>
        <family val="2"/>
        <scheme val="minor"/>
      </rPr>
      <t>blue</t>
    </r>
    <r>
      <rPr>
        <sz val="11"/>
        <color theme="1"/>
        <rFont val="Calibri"/>
        <family val="2"/>
        <scheme val="minor"/>
      </rPr>
      <t xml:space="preserve"> tab and one </t>
    </r>
    <r>
      <rPr>
        <sz val="11"/>
        <color rgb="FFFF0000"/>
        <rFont val="Calibri"/>
        <family val="2"/>
        <scheme val="minor"/>
      </rPr>
      <t>red</t>
    </r>
    <r>
      <rPr>
        <sz val="11"/>
        <color theme="1"/>
        <rFont val="Calibri"/>
        <family val="2"/>
        <scheme val="minor"/>
      </rPr>
      <t xml:space="preserve"> tab for each town in the region. Tabs can be added, deleted and renamed, but any new tabs must be inserted between the two sets of </t>
    </r>
    <r>
      <rPr>
        <sz val="11"/>
        <rFont val="Calibri"/>
        <family val="2"/>
        <scheme val="minor"/>
      </rPr>
      <t xml:space="preserve">yellow </t>
    </r>
    <r>
      <rPr>
        <sz val="11"/>
        <color theme="1"/>
        <rFont val="Calibri"/>
        <family val="2"/>
        <scheme val="minor"/>
      </rPr>
      <t xml:space="preserve">tabs labeled "BeginTrans" and "EndTrans," and "BeginHeat" and "EndHeat." To insert a new template for a municipality, create a copy of one </t>
    </r>
    <r>
      <rPr>
        <sz val="11"/>
        <color rgb="FF00B0F0"/>
        <rFont val="Calibri"/>
        <family val="2"/>
        <scheme val="minor"/>
      </rPr>
      <t>blue</t>
    </r>
    <r>
      <rPr>
        <sz val="11"/>
        <color theme="1"/>
        <rFont val="Calibri"/>
        <family val="2"/>
        <scheme val="minor"/>
      </rPr>
      <t xml:space="preserve"> tab and one </t>
    </r>
    <r>
      <rPr>
        <sz val="11"/>
        <color rgb="FFFF0000"/>
        <rFont val="Calibri"/>
        <family val="2"/>
        <scheme val="minor"/>
      </rPr>
      <t>red</t>
    </r>
    <r>
      <rPr>
        <sz val="11"/>
        <color theme="1"/>
        <rFont val="Calibri"/>
        <family val="2"/>
        <scheme val="minor"/>
      </rPr>
      <t xml:space="preserve"> tab in between the appropriate sets of yellow tabs. Do this for as many municipalities as exist in the region.  </t>
    </r>
  </si>
  <si>
    <r>
      <t xml:space="preserve">This sheet automatically  rolls up the individual muncipality estimates into a regional total based on the entries on the </t>
    </r>
    <r>
      <rPr>
        <sz val="12"/>
        <color rgb="FF00B0F0"/>
        <rFont val="Calibri"/>
        <family val="2"/>
        <scheme val="minor"/>
      </rPr>
      <t>blue</t>
    </r>
    <r>
      <rPr>
        <sz val="12"/>
        <color theme="1"/>
        <rFont val="Calibri"/>
        <family val="2"/>
        <scheme val="minor"/>
      </rPr>
      <t xml:space="preserve"> and </t>
    </r>
    <r>
      <rPr>
        <sz val="12"/>
        <color rgb="FFFF0000"/>
        <rFont val="Calibri"/>
        <family val="2"/>
        <scheme val="minor"/>
      </rPr>
      <t>red</t>
    </r>
    <r>
      <rPr>
        <sz val="12"/>
        <color theme="1"/>
        <rFont val="Calibri"/>
        <family val="2"/>
        <scheme val="minor"/>
      </rPr>
      <t xml:space="preserve"> tabs. </t>
    </r>
  </si>
  <si>
    <r>
      <t xml:space="preserve">This formula computes an estimate of the </t>
    </r>
    <r>
      <rPr>
        <b/>
        <sz val="11"/>
        <color theme="1"/>
        <rFont val="Calibri"/>
        <family val="2"/>
        <scheme val="minor"/>
      </rPr>
      <t>number of gallons of fossil fuel consumed annually</t>
    </r>
    <r>
      <rPr>
        <sz val="11"/>
        <color theme="1"/>
        <rFont val="Calibri"/>
        <family val="2"/>
        <scheme val="minor"/>
      </rPr>
      <t xml:space="preserve"> in the area from the values inputted above. </t>
    </r>
  </si>
  <si>
    <r>
      <t xml:space="preserve">This is the estimated </t>
    </r>
    <r>
      <rPr>
        <b/>
        <sz val="11"/>
        <color theme="1"/>
        <rFont val="Calibri"/>
        <family val="2"/>
        <scheme val="minor"/>
      </rPr>
      <t xml:space="preserve">number of Electric Vehicles </t>
    </r>
    <r>
      <rPr>
        <sz val="11"/>
        <color theme="1"/>
        <rFont val="Calibri"/>
        <family val="2"/>
        <scheme val="minor"/>
      </rPr>
      <t>in the area</t>
    </r>
    <r>
      <rPr>
        <b/>
        <sz val="11"/>
        <color theme="1"/>
        <rFont val="Calibri"/>
        <family val="2"/>
        <scheme val="minor"/>
      </rPr>
      <t xml:space="preserve">, </t>
    </r>
    <r>
      <rPr>
        <sz val="11"/>
        <color theme="1"/>
        <rFont val="Calibri"/>
        <family val="2"/>
        <scheme val="minor"/>
      </rPr>
      <t xml:space="preserve">summed from the entries on the </t>
    </r>
    <r>
      <rPr>
        <sz val="11"/>
        <color rgb="FF00B0F0"/>
        <rFont val="Calibri"/>
        <family val="2"/>
        <scheme val="minor"/>
      </rPr>
      <t>blue</t>
    </r>
    <r>
      <rPr>
        <sz val="11"/>
        <color theme="1"/>
        <rFont val="Calibri"/>
        <family val="2"/>
        <scheme val="minor"/>
      </rPr>
      <t xml:space="preserve"> tabs. </t>
    </r>
  </si>
  <si>
    <r>
      <t xml:space="preserve">This formula computes an estimate of the the </t>
    </r>
    <r>
      <rPr>
        <b/>
        <sz val="11"/>
        <color theme="1"/>
        <rFont val="Calibri"/>
        <family val="2"/>
        <scheme val="minor"/>
      </rPr>
      <t xml:space="preserve">number of kWh consumed annually by EVs </t>
    </r>
    <r>
      <rPr>
        <sz val="11"/>
        <color theme="1"/>
        <rFont val="Calibri"/>
        <family val="2"/>
        <scheme val="minor"/>
      </rPr>
      <t>in the area from the values above</t>
    </r>
  </si>
  <si>
    <r>
      <t xml:space="preserve">This is the weighted </t>
    </r>
    <r>
      <rPr>
        <b/>
        <sz val="11"/>
        <color theme="1"/>
        <rFont val="Calibri"/>
        <family val="2"/>
        <scheme val="minor"/>
      </rPr>
      <t>average annual heating load of commercial establishments in area</t>
    </r>
    <r>
      <rPr>
        <sz val="11"/>
        <color theme="1"/>
        <rFont val="Calibri"/>
        <family val="2"/>
        <scheme val="minor"/>
      </rPr>
      <t xml:space="preserve">, in millions of Btu (space and water heating loads combined), calculated from the entries in the </t>
    </r>
    <r>
      <rPr>
        <sz val="11"/>
        <color rgb="FFFF0000"/>
        <rFont val="Calibri"/>
        <family val="2"/>
        <scheme val="minor"/>
      </rPr>
      <t>red</t>
    </r>
    <r>
      <rPr>
        <sz val="11"/>
        <color theme="1"/>
        <rFont val="Calibri"/>
        <family val="2"/>
        <scheme val="minor"/>
      </rPr>
      <t xml:space="preserve"> tabs. The weights used to calculate the average are each municipality's share of all commercial buildings in the region. </t>
    </r>
  </si>
  <si>
    <r>
      <t xml:space="preserve">The Department recommends that planners use these municipal shares to disaggregate the regional LEAP scenarios into municipal level targets. This can be done in a variety of ways. The Department has developed another workbook tool to assist planners with this excercise. </t>
    </r>
    <r>
      <rPr>
        <i/>
        <sz val="11"/>
        <color theme="1"/>
        <rFont val="Calibri"/>
        <family val="2"/>
        <scheme val="minor"/>
      </rPr>
      <t xml:space="preserve">Analysis_&amp;_Targets_Aid_Regions_Bottom_Up </t>
    </r>
    <r>
      <rPr>
        <sz val="11"/>
        <color theme="1"/>
        <rFont val="Calibri"/>
        <family val="2"/>
        <scheme val="minor"/>
      </rPr>
      <t xml:space="preserve">found at http://publicservice.vermont.gov/content/act-174-recommendations-and-determination-standards. </t>
    </r>
  </si>
  <si>
    <t xml:space="preserve"> http://publicservice.vermont.gov/content/act-174-recommendations-and-determination-standards. </t>
  </si>
  <si>
    <r>
      <t xml:space="preserve">See file named </t>
    </r>
    <r>
      <rPr>
        <i/>
        <sz val="11"/>
        <color theme="1"/>
        <rFont val="Calibri"/>
        <family val="2"/>
        <scheme val="minor"/>
      </rPr>
      <t>Analysis_&amp;_Targets_Aid_Regions_Bottom_Up.xlsx</t>
    </r>
    <r>
      <rPr>
        <sz val="11"/>
        <color theme="1"/>
        <rFont val="Calibri"/>
        <family val="2"/>
        <scheme val="minor"/>
      </rPr>
      <t>,  found at: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</si>
</sst>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9"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u/>
      <sz val="14"/>
      <color theme="1"/>
      <name val="Calibri"/>
      <family val="2"/>
      <scheme val="minor"/>
    </font>
    <font>
      <sz val="12"/>
      <color theme="1"/>
      <name val="Calibri"/>
      <family val="2"/>
      <scheme val="minor"/>
    </font>
    <font>
      <b/>
      <u/>
      <sz val="11"/>
      <color theme="1"/>
      <name val="Calibri"/>
      <family val="2"/>
      <scheme val="minor"/>
    </font>
    <font>
      <u/>
      <sz val="11"/>
      <color theme="1"/>
      <name val="Calibri"/>
      <family val="2"/>
      <scheme val="minor"/>
    </font>
    <font>
      <u/>
      <sz val="11"/>
      <color theme="10"/>
      <name val="Calibri"/>
      <family val="2"/>
      <scheme val="minor"/>
    </font>
    <font>
      <b/>
      <u/>
      <sz val="16"/>
      <color theme="1"/>
      <name val="Calibri"/>
      <family val="2"/>
      <scheme val="minor"/>
    </font>
    <font>
      <sz val="10"/>
      <color theme="1"/>
      <name val="Calibri"/>
      <family val="2"/>
      <scheme val="minor"/>
    </font>
    <font>
      <u/>
      <sz val="12"/>
      <color theme="1"/>
      <name val="Calibri"/>
      <family val="2"/>
      <scheme val="minor"/>
    </font>
    <font>
      <sz val="10"/>
      <name val="Arial"/>
      <family val="2"/>
    </font>
    <font>
      <sz val="9"/>
      <name val="Arial"/>
      <family val="2"/>
    </font>
    <font>
      <sz val="8"/>
      <name val="Arial"/>
      <family val="2"/>
    </font>
    <font>
      <b/>
      <sz val="10"/>
      <color rgb="FF3F3F3F"/>
      <name val="Calibri"/>
      <family val="2"/>
      <scheme val="minor"/>
    </font>
    <font>
      <sz val="9"/>
      <color indexed="81"/>
      <name val="Tahoma"/>
      <family val="2"/>
    </font>
    <font>
      <sz val="11"/>
      <name val="Calibri"/>
      <family val="2"/>
      <scheme val="minor"/>
    </font>
    <font>
      <i/>
      <sz val="11"/>
      <color theme="1"/>
      <name val="Calibri"/>
      <family val="2"/>
      <scheme val="minor"/>
    </font>
    <font>
      <b/>
      <sz val="11"/>
      <color theme="1"/>
      <name val="Calibri"/>
      <family val="2"/>
      <scheme val="minor"/>
    </font>
    <font>
      <b/>
      <sz val="11"/>
      <color rgb="FFFA7D00"/>
      <name val="Calibri"/>
      <family val="2"/>
      <scheme val="minor"/>
    </font>
    <font>
      <sz val="9"/>
      <color theme="1"/>
      <name val="Calibri"/>
      <family val="2"/>
      <scheme val="minor"/>
    </font>
    <font>
      <b/>
      <sz val="11"/>
      <color rgb="FF3F3F76"/>
      <name val="Calibri"/>
      <family val="2"/>
      <scheme val="minor"/>
    </font>
    <font>
      <sz val="11"/>
      <color rgb="FFFF0000"/>
      <name val="Calibri"/>
      <family val="2"/>
      <scheme val="minor"/>
    </font>
    <font>
      <sz val="11"/>
      <color rgb="FF00B0F0"/>
      <name val="Calibri"/>
      <family val="2"/>
      <scheme val="minor"/>
    </font>
    <font>
      <sz val="11"/>
      <color rgb="FF00B050"/>
      <name val="Calibri"/>
      <family val="2"/>
      <scheme val="minor"/>
    </font>
    <font>
      <sz val="12"/>
      <color rgb="FF00B050"/>
      <name val="Calibri"/>
      <family val="2"/>
      <scheme val="minor"/>
    </font>
    <font>
      <sz val="12"/>
      <color rgb="FF00B0F0"/>
      <name val="Calibri"/>
      <family val="2"/>
      <scheme val="minor"/>
    </font>
    <font>
      <sz val="12"/>
      <color rgb="FFFF0000"/>
      <name val="Calibri"/>
      <family val="2"/>
      <scheme val="min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3F3F3F"/>
      </left>
      <right/>
      <top/>
      <bottom/>
      <diagonal/>
    </border>
    <border>
      <left style="thin">
        <color rgb="FF7F7F7F"/>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indexed="64"/>
      </top>
      <bottom style="thin">
        <color rgb="FF7F7F7F"/>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right style="thin">
        <color rgb="FF7F7F7F"/>
      </right>
      <top/>
      <bottom/>
      <diagonal/>
    </border>
    <border>
      <left style="thin">
        <color rgb="FF7F7F7F"/>
      </left>
      <right style="thin">
        <color indexed="64"/>
      </right>
      <top style="thin">
        <color rgb="FF7F7F7F"/>
      </top>
      <bottom style="thin">
        <color indexed="64"/>
      </bottom>
      <diagonal/>
    </border>
    <border>
      <left/>
      <right style="thin">
        <color rgb="FF7F7F7F"/>
      </right>
      <top style="thin">
        <color indexed="64"/>
      </top>
      <bottom/>
      <diagonal/>
    </border>
    <border>
      <left/>
      <right style="thin">
        <color rgb="FF7F7F7F"/>
      </right>
      <top/>
      <bottom style="thin">
        <color indexed="64"/>
      </bottom>
      <diagonal/>
    </border>
    <border>
      <left/>
      <right style="thin">
        <color rgb="FF3F3F3F"/>
      </right>
      <top/>
      <bottom/>
      <diagonal/>
    </border>
    <border>
      <left style="thin">
        <color rgb="FF7F7F7F"/>
      </left>
      <right style="thin">
        <color indexed="64"/>
      </right>
      <top style="thin">
        <color indexed="64"/>
      </top>
      <bottom style="thin">
        <color rgb="FF7F7F7F"/>
      </bottom>
      <diagonal/>
    </border>
    <border>
      <left style="thin">
        <color rgb="FF7F7F7F"/>
      </left>
      <right style="thin">
        <color indexed="64"/>
      </right>
      <top style="thin">
        <color rgb="FF7F7F7F"/>
      </top>
      <bottom style="thin">
        <color rgb="FF7F7F7F"/>
      </bottom>
      <diagonal/>
    </border>
    <border>
      <left style="thin">
        <color rgb="FF3F3F3F"/>
      </left>
      <right style="thin">
        <color indexed="64"/>
      </right>
      <top style="thin">
        <color rgb="FF3F3F3F"/>
      </top>
      <bottom style="thin">
        <color rgb="FF3F3F3F"/>
      </bottom>
      <diagonal/>
    </border>
  </borders>
  <cellStyleXfs count="8">
    <xf numFmtId="0" fontId="0" fillId="0" borderId="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1" fillId="4" borderId="3" applyNumberFormat="0" applyFont="0" applyAlignment="0" applyProtection="0"/>
    <xf numFmtId="0" fontId="8" fillId="0" borderId="0" applyNumberFormat="0" applyFill="0" applyBorder="0" applyAlignment="0" applyProtection="0"/>
    <xf numFmtId="0" fontId="20" fillId="3" borderId="1" applyNumberFormat="0" applyAlignment="0" applyProtection="0"/>
    <xf numFmtId="0" fontId="5" fillId="0" borderId="0"/>
  </cellStyleXfs>
  <cellXfs count="134">
    <xf numFmtId="0" fontId="0" fillId="0" borderId="0" xfId="0"/>
    <xf numFmtId="3" fontId="0" fillId="0" borderId="0" xfId="0" applyNumberFormat="1" applyAlignment="1">
      <alignment horizontal="left"/>
    </xf>
    <xf numFmtId="0" fontId="4" fillId="0" borderId="0" xfId="0" applyFont="1"/>
    <xf numFmtId="3" fontId="3" fillId="3" borderId="2" xfId="3" applyNumberFormat="1" applyAlignment="1">
      <alignment vertical="center"/>
    </xf>
    <xf numFmtId="0" fontId="6" fillId="0" borderId="0" xfId="0" applyFont="1"/>
    <xf numFmtId="0" fontId="7" fillId="0" borderId="0" xfId="0" applyFont="1"/>
    <xf numFmtId="3" fontId="2" fillId="2" borderId="1" xfId="2" applyNumberFormat="1" applyAlignment="1">
      <alignment horizontal="right" vertical="center"/>
    </xf>
    <xf numFmtId="3" fontId="0" fillId="0" borderId="0" xfId="0" applyNumberFormat="1"/>
    <xf numFmtId="0" fontId="0" fillId="0" borderId="0" xfId="0" applyAlignment="1">
      <alignment vertical="top"/>
    </xf>
    <xf numFmtId="0" fontId="0" fillId="0" borderId="0" xfId="0"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1" applyFont="1" applyAlignment="1">
      <alignment horizontal="right" vertical="center" wrapText="1"/>
    </xf>
    <xf numFmtId="3" fontId="0" fillId="0" borderId="0" xfId="0" applyNumberFormat="1" applyAlignment="1">
      <alignment vertical="center"/>
    </xf>
    <xf numFmtId="9" fontId="2" fillId="2" borderId="1" xfId="2" applyNumberFormat="1" applyAlignment="1">
      <alignment vertical="center"/>
    </xf>
    <xf numFmtId="3" fontId="2" fillId="2" borderId="1" xfId="2" applyNumberFormat="1" applyAlignment="1">
      <alignment vertical="center"/>
    </xf>
    <xf numFmtId="0" fontId="0" fillId="0" borderId="0" xfId="0" applyAlignment="1">
      <alignment vertical="center"/>
    </xf>
    <xf numFmtId="0" fontId="8" fillId="0" borderId="0" xfId="5" applyFill="1" applyAlignment="1">
      <alignment vertical="center"/>
    </xf>
    <xf numFmtId="9" fontId="0" fillId="0" borderId="0" xfId="1" applyFont="1"/>
    <xf numFmtId="3" fontId="0" fillId="0" borderId="0" xfId="0" applyNumberFormat="1" applyAlignment="1">
      <alignment horizontal="center" vertical="center"/>
    </xf>
    <xf numFmtId="0" fontId="9" fillId="0" borderId="0" xfId="0" applyFont="1"/>
    <xf numFmtId="3" fontId="3" fillId="3" borderId="2" xfId="3" applyNumberFormat="1" applyAlignment="1">
      <alignment horizontal="center" vertical="center"/>
    </xf>
    <xf numFmtId="0" fontId="0" fillId="0" borderId="0" xfId="0" applyAlignment="1">
      <alignment horizontal="center" vertical="center"/>
    </xf>
    <xf numFmtId="3" fontId="2" fillId="2" borderId="1" xfId="2" applyNumberFormat="1" applyAlignment="1">
      <alignment horizontal="center" vertical="center"/>
    </xf>
    <xf numFmtId="0" fontId="0" fillId="0" borderId="0" xfId="0" applyAlignment="1">
      <alignment horizontal="left"/>
    </xf>
    <xf numFmtId="0" fontId="0" fillId="0" borderId="0" xfId="0" applyFont="1" applyBorder="1" applyAlignment="1">
      <alignment horizontal="left" vertical="top" wrapText="1"/>
    </xf>
    <xf numFmtId="9" fontId="0" fillId="0" borderId="0" xfId="1" applyFont="1" applyAlignment="1">
      <alignment horizontal="center" vertical="center" wrapText="1"/>
    </xf>
    <xf numFmtId="0" fontId="0" fillId="0" borderId="0" xfId="0" applyFont="1" applyAlignment="1">
      <alignment horizontal="left" wrapText="1"/>
    </xf>
    <xf numFmtId="9" fontId="0" fillId="0" borderId="0" xfId="1" applyFont="1" applyAlignment="1">
      <alignment horizontal="center" vertical="center"/>
    </xf>
    <xf numFmtId="2" fontId="0" fillId="0" borderId="0" xfId="1" applyNumberFormat="1" applyFont="1" applyAlignment="1">
      <alignment horizontal="center" vertical="center"/>
    </xf>
    <xf numFmtId="0" fontId="11" fillId="0" borderId="0" xfId="0" applyFont="1"/>
    <xf numFmtId="0" fontId="8" fillId="0" borderId="0" xfId="5" applyAlignment="1">
      <alignment vertical="center"/>
    </xf>
    <xf numFmtId="0" fontId="12" fillId="0" borderId="14" xfId="0" applyFont="1" applyBorder="1" applyAlignment="1">
      <alignment horizontal="left"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3" fillId="0" borderId="4" xfId="0" applyFont="1" applyBorder="1" applyAlignment="1">
      <alignment vertical="top" wrapText="1"/>
    </xf>
    <xf numFmtId="3" fontId="12" fillId="0" borderId="5" xfId="0" applyNumberFormat="1" applyFont="1" applyBorder="1" applyAlignment="1">
      <alignment horizontal="center" vertical="center"/>
    </xf>
    <xf numFmtId="9" fontId="12" fillId="0" borderId="6" xfId="1" applyFont="1" applyBorder="1" applyAlignment="1">
      <alignment horizontal="center" vertical="center"/>
    </xf>
    <xf numFmtId="0" fontId="13" fillId="0" borderId="7" xfId="0" applyFont="1" applyBorder="1" applyAlignment="1">
      <alignment vertical="top" wrapText="1"/>
    </xf>
    <xf numFmtId="3" fontId="12" fillId="0" borderId="0" xfId="0" applyNumberFormat="1" applyFont="1" applyBorder="1" applyAlignment="1">
      <alignment horizontal="center" vertical="center"/>
    </xf>
    <xf numFmtId="9" fontId="12" fillId="0" borderId="8" xfId="1" applyFont="1" applyBorder="1" applyAlignment="1">
      <alignment horizontal="center" vertical="center"/>
    </xf>
    <xf numFmtId="0" fontId="14" fillId="0" borderId="7" xfId="0" applyFont="1" applyBorder="1" applyAlignment="1">
      <alignment vertical="top" wrapText="1"/>
    </xf>
    <xf numFmtId="0" fontId="13" fillId="0" borderId="14" xfId="0" applyFont="1" applyBorder="1"/>
    <xf numFmtId="0" fontId="12" fillId="0" borderId="15" xfId="0" applyFont="1" applyBorder="1" applyAlignment="1">
      <alignment horizontal="center" vertical="center"/>
    </xf>
    <xf numFmtId="3" fontId="12" fillId="4" borderId="18" xfId="4" applyNumberFormat="1" applyFont="1" applyBorder="1" applyAlignment="1">
      <alignment horizontal="center" vertical="center"/>
    </xf>
    <xf numFmtId="3" fontId="12" fillId="0" borderId="15" xfId="0" applyNumberFormat="1" applyFont="1" applyBorder="1" applyAlignment="1">
      <alignment horizontal="center" vertical="center"/>
    </xf>
    <xf numFmtId="3" fontId="15" fillId="3" borderId="19" xfId="3" applyNumberFormat="1" applyFont="1" applyBorder="1" applyAlignment="1">
      <alignment horizontal="center" vertical="center"/>
    </xf>
    <xf numFmtId="0" fontId="0" fillId="5" borderId="0" xfId="0" applyFill="1"/>
    <xf numFmtId="0" fontId="0" fillId="5" borderId="7" xfId="0" applyFill="1" applyBorder="1"/>
    <xf numFmtId="0" fontId="0" fillId="5" borderId="0" xfId="0" applyFill="1" applyAlignment="1">
      <alignment horizontal="left" wrapText="1"/>
    </xf>
    <xf numFmtId="0" fontId="17" fillId="5" borderId="7" xfId="0" applyFont="1" applyFill="1" applyBorder="1" applyAlignment="1">
      <alignment vertical="center" wrapText="1"/>
    </xf>
    <xf numFmtId="0" fontId="17" fillId="5" borderId="0" xfId="0" applyFont="1" applyFill="1" applyBorder="1" applyAlignment="1">
      <alignment vertical="center" wrapText="1"/>
    </xf>
    <xf numFmtId="0" fontId="17" fillId="5" borderId="8" xfId="0" applyFont="1" applyFill="1" applyBorder="1" applyAlignment="1">
      <alignment vertical="center" wrapText="1"/>
    </xf>
    <xf numFmtId="0" fontId="0" fillId="5" borderId="0" xfId="0" applyFill="1" applyBorder="1" applyAlignment="1">
      <alignment horizontal="left" wrapText="1"/>
    </xf>
    <xf numFmtId="0" fontId="0" fillId="0" borderId="0" xfId="0" applyAlignment="1">
      <alignment horizontal="left" vertical="center"/>
    </xf>
    <xf numFmtId="3" fontId="0" fillId="5" borderId="0" xfId="0" applyNumberFormat="1" applyFill="1"/>
    <xf numFmtId="0" fontId="0" fillId="5" borderId="7" xfId="0" applyFill="1" applyBorder="1" applyAlignment="1">
      <alignment horizontal="left" vertical="top" wrapText="1"/>
    </xf>
    <xf numFmtId="0" fontId="0" fillId="5" borderId="0" xfId="0" applyFill="1" applyBorder="1" applyAlignment="1">
      <alignment horizontal="left" vertical="top" wrapText="1"/>
    </xf>
    <xf numFmtId="0" fontId="0" fillId="5" borderId="8" xfId="0" applyFill="1" applyBorder="1" applyAlignment="1">
      <alignment horizontal="left" vertical="top" wrapText="1"/>
    </xf>
    <xf numFmtId="0" fontId="0" fillId="0" borderId="0" xfId="0" applyAlignment="1">
      <alignment horizontal="left" vertical="center"/>
    </xf>
    <xf numFmtId="0" fontId="0" fillId="0" borderId="0" xfId="0" applyAlignment="1">
      <alignment horizontal="left" wrapText="1"/>
    </xf>
    <xf numFmtId="3" fontId="3" fillId="3" borderId="2" xfId="3" applyNumberFormat="1" applyAlignment="1">
      <alignment horizontal="right" vertical="center"/>
    </xf>
    <xf numFmtId="164" fontId="0" fillId="0" borderId="0" xfId="0" applyNumberFormat="1" applyAlignment="1">
      <alignment horizontal="center" vertical="center"/>
    </xf>
    <xf numFmtId="165" fontId="0" fillId="0" borderId="0" xfId="0" applyNumberFormat="1" applyAlignment="1">
      <alignment horizontal="center" vertical="center"/>
    </xf>
    <xf numFmtId="166" fontId="0" fillId="0" borderId="0" xfId="1" applyNumberFormat="1" applyFont="1" applyAlignment="1">
      <alignment horizontal="center" vertical="center"/>
    </xf>
    <xf numFmtId="9" fontId="0" fillId="0" borderId="0" xfId="1" applyNumberFormat="1" applyFont="1" applyAlignment="1">
      <alignment horizontal="center" vertical="center"/>
    </xf>
    <xf numFmtId="0" fontId="21" fillId="0" borderId="0" xfId="0" applyFont="1" applyAlignment="1">
      <alignment horizontal="left" vertical="top" wrapText="1"/>
    </xf>
    <xf numFmtId="10" fontId="0" fillId="0" borderId="0" xfId="1" applyNumberFormat="1" applyFont="1"/>
    <xf numFmtId="0" fontId="12" fillId="0" borderId="0" xfId="0" applyFont="1" applyFill="1" applyBorder="1" applyAlignment="1">
      <alignment horizontal="center" vertical="center" wrapText="1"/>
    </xf>
    <xf numFmtId="9" fontId="12" fillId="0" borderId="5" xfId="1" applyFont="1" applyBorder="1" applyAlignment="1">
      <alignment horizontal="center" vertical="center"/>
    </xf>
    <xf numFmtId="9" fontId="12" fillId="0" borderId="0" xfId="1" applyFont="1" applyBorder="1" applyAlignment="1">
      <alignment horizontal="center" vertical="center"/>
    </xf>
    <xf numFmtId="0" fontId="5" fillId="0" borderId="0" xfId="7"/>
    <xf numFmtId="0" fontId="5" fillId="0" borderId="0" xfId="7" applyFill="1"/>
    <xf numFmtId="9" fontId="5" fillId="0" borderId="0" xfId="1" applyFont="1" applyFill="1"/>
    <xf numFmtId="0" fontId="1" fillId="0" borderId="0" xfId="0" applyFont="1"/>
    <xf numFmtId="166" fontId="0" fillId="0" borderId="0" xfId="1" applyNumberFormat="1" applyFont="1"/>
    <xf numFmtId="0" fontId="20" fillId="3" borderId="21" xfId="6" applyBorder="1" applyAlignment="1">
      <alignment horizontal="center" vertical="center"/>
    </xf>
    <xf numFmtId="0" fontId="0" fillId="5" borderId="0" xfId="0" applyFill="1" applyBorder="1" applyAlignment="1">
      <alignment horizontal="left" vertical="center" wrapText="1"/>
    </xf>
    <xf numFmtId="0" fontId="0" fillId="5" borderId="20" xfId="0" applyFill="1" applyBorder="1" applyAlignment="1">
      <alignment horizontal="left" vertical="center" wrapText="1"/>
    </xf>
    <xf numFmtId="0" fontId="0" fillId="5" borderId="7" xfId="0" applyFill="1" applyBorder="1" applyAlignment="1">
      <alignment horizontal="left" vertical="top" wrapText="1"/>
    </xf>
    <xf numFmtId="0" fontId="0" fillId="5" borderId="0" xfId="0" applyFill="1" applyBorder="1" applyAlignment="1">
      <alignment horizontal="left" vertical="top" wrapText="1"/>
    </xf>
    <xf numFmtId="0" fontId="0" fillId="5" borderId="8" xfId="0" applyFill="1" applyBorder="1" applyAlignment="1">
      <alignment horizontal="left" vertical="top" wrapText="1"/>
    </xf>
    <xf numFmtId="0" fontId="0" fillId="5" borderId="4" xfId="0" applyFill="1" applyBorder="1" applyAlignment="1">
      <alignment horizontal="left" vertical="top" wrapText="1"/>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0" fillId="0" borderId="0" xfId="0" applyAlignment="1">
      <alignment horizontal="left"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left" vertical="center" wrapText="1"/>
    </xf>
    <xf numFmtId="0" fontId="8" fillId="0" borderId="0" xfId="5" applyAlignment="1">
      <alignment horizontal="left" vertical="center"/>
    </xf>
    <xf numFmtId="0" fontId="0" fillId="0" borderId="0" xfId="0"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8" fillId="0" borderId="0" xfId="5" applyAlignment="1">
      <alignment horizontal="center" vertical="center"/>
    </xf>
    <xf numFmtId="0" fontId="0" fillId="0" borderId="13" xfId="0" applyFont="1" applyBorder="1" applyAlignment="1">
      <alignment horizontal="left" vertical="center" wrapText="1"/>
    </xf>
    <xf numFmtId="0" fontId="0" fillId="0" borderId="0" xfId="0" applyFont="1" applyAlignment="1">
      <alignment horizontal="left" vertical="center" wrapText="1"/>
    </xf>
    <xf numFmtId="0" fontId="10" fillId="0" borderId="7" xfId="0" applyFont="1" applyBorder="1" applyAlignment="1">
      <alignment horizontal="left" vertical="center" wrapText="1"/>
    </xf>
    <xf numFmtId="0" fontId="10" fillId="0" borderId="0" xfId="0" applyFont="1" applyBorder="1" applyAlignment="1">
      <alignment horizontal="left" vertical="center" wrapText="1"/>
    </xf>
    <xf numFmtId="0" fontId="0" fillId="0" borderId="13" xfId="0" applyBorder="1" applyAlignment="1">
      <alignment horizontal="left" vertical="top" wrapText="1"/>
    </xf>
    <xf numFmtId="0" fontId="0" fillId="0" borderId="0" xfId="0" applyAlignment="1">
      <alignment horizontal="left" vertical="top" wrapText="1"/>
    </xf>
    <xf numFmtId="0" fontId="22" fillId="2" borderId="1" xfId="2" applyFont="1" applyAlignment="1">
      <alignment horizontal="left" vertical="center"/>
    </xf>
    <xf numFmtId="4" fontId="0" fillId="0" borderId="0" xfId="0" applyNumberFormat="1" applyAlignment="1">
      <alignment horizontal="center" vertical="center"/>
    </xf>
    <xf numFmtId="10" fontId="0" fillId="0" borderId="0" xfId="1" applyNumberFormat="1" applyFont="1" applyAlignment="1">
      <alignment horizontal="center"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10" fontId="20" fillId="3" borderId="1" xfId="6" applyNumberFormat="1" applyAlignment="1">
      <alignment horizontal="center" vertical="center"/>
    </xf>
    <xf numFmtId="0" fontId="0" fillId="0" borderId="0" xfId="0" applyBorder="1" applyAlignment="1">
      <alignment horizontal="left" vertical="center" wrapText="1"/>
    </xf>
    <xf numFmtId="3" fontId="0" fillId="0" borderId="0" xfId="0" applyNumberFormat="1" applyAlignment="1">
      <alignment horizontal="right" vertical="center"/>
    </xf>
    <xf numFmtId="3" fontId="0" fillId="0" borderId="0" xfId="0" applyNumberFormat="1" applyBorder="1" applyAlignment="1">
      <alignment horizontal="right" vertical="center"/>
    </xf>
    <xf numFmtId="9" fontId="3" fillId="3" borderId="2" xfId="3" applyNumberFormat="1" applyAlignment="1">
      <alignment horizontal="right" vertical="center"/>
    </xf>
    <xf numFmtId="0" fontId="0" fillId="0" borderId="0" xfId="0" applyAlignment="1">
      <alignment horizontal="right"/>
    </xf>
    <xf numFmtId="0" fontId="0" fillId="5" borderId="7" xfId="0" applyFill="1" applyBorder="1" applyAlignment="1">
      <alignment vertical="top" wrapText="1"/>
    </xf>
    <xf numFmtId="0" fontId="0" fillId="5" borderId="0" xfId="0" applyFill="1" applyBorder="1" applyAlignment="1">
      <alignment vertical="top" wrapText="1"/>
    </xf>
    <xf numFmtId="0" fontId="0" fillId="5" borderId="8" xfId="0" applyFill="1" applyBorder="1" applyAlignment="1">
      <alignment vertical="top" wrapText="1"/>
    </xf>
    <xf numFmtId="0" fontId="0" fillId="5" borderId="24" xfId="0" applyFill="1" applyBorder="1" applyAlignment="1">
      <alignment horizontal="left" vertical="center" wrapText="1"/>
    </xf>
    <xf numFmtId="0" fontId="22" fillId="2" borderId="17" xfId="2" applyFont="1" applyBorder="1" applyAlignment="1">
      <alignment horizontal="left" vertical="center"/>
    </xf>
    <xf numFmtId="0" fontId="22" fillId="2" borderId="25" xfId="2" applyFont="1" applyBorder="1" applyAlignment="1">
      <alignment horizontal="left" vertical="center"/>
    </xf>
    <xf numFmtId="0" fontId="2" fillId="2" borderId="26" xfId="2" applyBorder="1" applyAlignment="1">
      <alignment horizontal="center"/>
    </xf>
    <xf numFmtId="0" fontId="3" fillId="3" borderId="27" xfId="3" applyBorder="1" applyAlignment="1">
      <alignment horizontal="center"/>
    </xf>
    <xf numFmtId="0" fontId="20" fillId="3" borderId="1" xfId="6" applyBorder="1" applyAlignment="1">
      <alignment horizontal="center" vertical="top" wrapText="1"/>
    </xf>
    <xf numFmtId="166" fontId="20" fillId="3" borderId="1" xfId="6" applyNumberFormat="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8" fillId="5" borderId="9" xfId="5" applyFill="1" applyBorder="1" applyAlignment="1">
      <alignment horizontal="left" vertical="top"/>
    </xf>
    <xf numFmtId="0" fontId="8" fillId="5" borderId="10" xfId="5" applyFill="1" applyBorder="1" applyAlignment="1">
      <alignment horizontal="left" vertical="top"/>
    </xf>
    <xf numFmtId="0" fontId="8" fillId="5" borderId="11" xfId="5" applyFill="1" applyBorder="1" applyAlignment="1">
      <alignment horizontal="left" vertical="top"/>
    </xf>
  </cellXfs>
  <cellStyles count="8">
    <cellStyle name="Calculation" xfId="6" builtinId="22"/>
    <cellStyle name="Hyperlink" xfId="5" builtinId="8"/>
    <cellStyle name="Input" xfId="2" builtinId="20"/>
    <cellStyle name="Normal" xfId="0" builtinId="0"/>
    <cellStyle name="Normal 9" xfId="7"/>
    <cellStyle name="Note" xfId="4" builtinId="10"/>
    <cellStyle name="Output" xfId="3" builtinId="21"/>
    <cellStyle name="Percent" xfId="1" builtinId="5"/>
  </cellStyles>
  <dxfs count="27">
    <dxf>
      <font>
        <b val="0"/>
        <i val="0"/>
        <strike val="0"/>
        <condense val="0"/>
        <extend val="0"/>
        <outline val="0"/>
        <shadow val="0"/>
        <u val="none"/>
        <vertAlign val="baseline"/>
        <sz val="11"/>
        <color theme="1"/>
        <name val="Calibri"/>
        <scheme val="minor"/>
      </font>
      <numFmt numFmtId="166" formatCode="0.0%"/>
    </dxf>
    <dxf>
      <font>
        <b val="0"/>
        <i val="0"/>
        <strike val="0"/>
        <condense val="0"/>
        <extend val="0"/>
        <outline val="0"/>
        <shadow val="0"/>
        <u val="none"/>
        <vertAlign val="baseline"/>
        <sz val="11"/>
        <color theme="1"/>
        <name val="Calibri"/>
        <scheme val="minor"/>
      </font>
      <numFmt numFmtId="14" formatCode="0.00%"/>
    </dxf>
    <dxf>
      <numFmt numFmtId="14" formatCode="0.00%"/>
    </dxf>
    <dxf>
      <numFmt numFmtId="3" formatCode="#,##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0" formatCode="General"/>
    </dxf>
    <dxf>
      <font>
        <b val="0"/>
        <i val="0"/>
        <strike val="0"/>
        <condense val="0"/>
        <extend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alysis_&amp;_Targets_Aid_Municipality%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ting"/>
      <sheetName val="Instructions"/>
      <sheetName val="1.Current Trans"/>
      <sheetName val="1.Current Heat"/>
      <sheetName val="2.Heat Targets"/>
      <sheetName val="2.Trans Targets"/>
      <sheetName val="2.Electric Targets"/>
      <sheetName val="LEAP Scenario"/>
      <sheetName val="LEAP Statewide"/>
      <sheetName val="LEAP Town"/>
      <sheetName val="LEAP Region"/>
      <sheetName val="Exchange Example"/>
      <sheetName val="Population"/>
      <sheetName val="Establishments"/>
      <sheetName val="Vehic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ables/table1.xml><?xml version="1.0" encoding="utf-8"?>
<table xmlns="http://schemas.openxmlformats.org/spreadsheetml/2006/main" id="3" name="town_population" displayName="town_population" ref="A1:E256" totalsRowShown="0" headerRowCellStyle="Normal 9" dataCellStyle="Normal 9">
  <sortState ref="A2:E256">
    <sortCondition ref="A1:A256"/>
  </sortState>
  <tableColumns count="5">
    <tableColumn id="1" name="Municipality" dataCellStyle="Normal 9"/>
    <tableColumn id="2" name="Regional Planning Commission" dataCellStyle="Normal 9"/>
    <tableColumn id="3" name="2014 Population" dataCellStyle="Normal 9"/>
    <tableColumn id="4" name="Pop Share of State" dataDxfId="26" dataCellStyle="Percent">
      <calculatedColumnFormula>C2/SUM($C$2:$C$256)</calculatedColumnFormula>
    </tableColumn>
    <tableColumn id="5" name="Pop Share of Region" dataCellStyle="Percent">
      <calculatedColumnFormula>town_population[[#This Row],[Pop Share of State]]/(INDEX(regional_population[Pop Share of State],MATCH(town_population[[#This Row],[Regional Planning Commission]],regional_population[Regional Planning Commission],0)))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4" name="regional_population" displayName="regional_population" ref="G1:H12" totalsRowShown="0">
  <sortState ref="G2:H12">
    <sortCondition ref="G1:G12"/>
  </sortState>
  <tableColumns count="2">
    <tableColumn id="1" name="Regional Planning Commission"/>
    <tableColumn id="2" name="Pop Share of State" dataDxfId="25" dataCellStyle="Percent">
      <calculatedColumnFormula>SUMIF(town_population[Regional Planning Commission],G2,town_population[Pop Share of State])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1" name="town_establishments" displayName="town_establishments" ref="A2:AH250" totalsRowShown="0" headerRowDxfId="24" dataDxfId="23" dataCellStyle="Percent">
  <autoFilter ref="A2:AH250"/>
  <sortState ref="A3:AH250">
    <sortCondition ref="B2:B250"/>
  </sortState>
  <tableColumns count="34">
    <tableColumn id="1" name="Municipality"/>
    <tableColumn id="32" name="Regional Planning Commission" dataDxfId="22">
      <calculatedColumnFormula>INDEX([1]!town_population[Regional Planning Commission],MATCH(town_establishments[[#This Row],[Municipality]],[1]!town_population[Municipality],0))</calculatedColumnFormula>
    </tableColumn>
    <tableColumn id="2" name="42. Wholesale trade"/>
    <tableColumn id="3" name="44-45. Retail trade"/>
    <tableColumn id="4" name="48-49. Transportation and warehousing"/>
    <tableColumn id="5" name="51. Information"/>
    <tableColumn id="6" name="52. Finance and insurance"/>
    <tableColumn id="7" name="53. Real estate and rental and leasing"/>
    <tableColumn id="8" name="54. Professional and technical services"/>
    <tableColumn id="9" name="55. Management of companies and enterprises"/>
    <tableColumn id="10" name="56. Administrative and waste services"/>
    <tableColumn id="11" name="61. Educational services"/>
    <tableColumn id="12" name="62. Health care and social assistance"/>
    <tableColumn id="13" name="71. Arts, entertainment, and recreation"/>
    <tableColumn id="14" name="72. Accommodation and food services"/>
    <tableColumn id="15" name="81. Other services, except public administration"/>
    <tableColumn id="16" name="TOTAL">
      <calculatedColumnFormula>SUM(C3:P3)</calculatedColumnFormula>
    </tableColumn>
    <tableColumn id="17" name="42. Wholesale trade2" dataDxfId="21" dataCellStyle="Percent">
      <calculatedColumnFormula>IF($Q3&lt;&gt;0,C3/$Q3,0)</calculatedColumnFormula>
    </tableColumn>
    <tableColumn id="18" name="44-45. Retail trade3" dataDxfId="20" dataCellStyle="Percent">
      <calculatedColumnFormula>IF($Q3&lt;&gt;0,D3/$Q3,0)</calculatedColumnFormula>
    </tableColumn>
    <tableColumn id="19" name="48-49. Transportation and warehousing4" dataDxfId="19" dataCellStyle="Percent">
      <calculatedColumnFormula>IF($Q3&lt;&gt;0,E3/$Q3,0)</calculatedColumnFormula>
    </tableColumn>
    <tableColumn id="20" name="51. Information5" dataDxfId="18" dataCellStyle="Percent">
      <calculatedColumnFormula>IF($Q3&lt;&gt;0,F3/$Q3,0)</calculatedColumnFormula>
    </tableColumn>
    <tableColumn id="21" name="52. Finance and insurance6" dataDxfId="17" dataCellStyle="Percent">
      <calculatedColumnFormula>IF($Q3&lt;&gt;0,G3/$Q3,0)</calculatedColumnFormula>
    </tableColumn>
    <tableColumn id="22" name="53. Real estate and rental and leasing7" dataDxfId="16" dataCellStyle="Percent">
      <calculatedColumnFormula>IF($Q3&lt;&gt;0,H3/$Q3,0)</calculatedColumnFormula>
    </tableColumn>
    <tableColumn id="23" name="54. Professional and technical services8" dataDxfId="15" dataCellStyle="Percent">
      <calculatedColumnFormula>IF($Q3&lt;&gt;0,I3/$Q3,0)</calculatedColumnFormula>
    </tableColumn>
    <tableColumn id="24" name="55. Management of companies and enterprises9" dataDxfId="14" dataCellStyle="Percent">
      <calculatedColumnFormula>IF($Q3&lt;&gt;0,J3/$Q3,0)</calculatedColumnFormula>
    </tableColumn>
    <tableColumn id="25" name="56. Administrative and waste services10" dataDxfId="13" dataCellStyle="Percent">
      <calculatedColumnFormula>IF($Q3&lt;&gt;0,K3/$Q3,0)</calculatedColumnFormula>
    </tableColumn>
    <tableColumn id="26" name="61. Educational services11" dataDxfId="12" dataCellStyle="Percent">
      <calculatedColumnFormula>IF($Q3&lt;&gt;0,L3/$Q3,0)</calculatedColumnFormula>
    </tableColumn>
    <tableColumn id="27" name="62. Health care and social assistance12" dataDxfId="11" dataCellStyle="Percent">
      <calculatedColumnFormula>IF($Q3&lt;&gt;0,M3/$Q3,0)</calculatedColumnFormula>
    </tableColumn>
    <tableColumn id="28" name="71. Arts, entertainment, and recreation13" dataDxfId="10" dataCellStyle="Percent">
      <calculatedColumnFormula>IF($Q3&lt;&gt;0,N3/$Q3,0)</calculatedColumnFormula>
    </tableColumn>
    <tableColumn id="29" name="72. Accommodation and food services14" dataDxfId="9" dataCellStyle="Percent">
      <calculatedColumnFormula>IF($Q3&lt;&gt;0,O3/$Q3,0)</calculatedColumnFormula>
    </tableColumn>
    <tableColumn id="30" name="81. Other services, except public administration15" dataDxfId="8" dataCellStyle="Percent">
      <calculatedColumnFormula>IF($Q3&lt;&gt;0,P3/$Q3,0)</calculatedColumnFormula>
    </tableColumn>
    <tableColumn id="31" name="share of state establishments" dataDxfId="7" dataCellStyle="Percent">
      <calculatedColumnFormula>Q3/Q$250</calculatedColumnFormula>
    </tableColumn>
    <tableColumn id="33" name="share of state establishments (no residual)" dataDxfId="6" dataCellStyle="Percent">
      <calculatedColumnFormula>town_establishments[[#This Row],[share of state establishments]]/($AF$250-$AF$249)</calculatedColumnFormula>
    </tableColumn>
    <tableColumn id="34" name="share of regional establishments" dataDxfId="5" dataCellStyle="Percent">
      <calculatedColumnFormula>town_establishments[[#This Row],[share of state establishments (no residual)]]/(INDEX(regional_establishments[share of state establishments],MATCH(town_establishments[[#This Row],[Regional Planning Commission]],regional_establishments[Regional Planning Commission],0)))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2" name="regional_establishments" displayName="regional_establishments" ref="AJ2:AK13" totalsRowShown="0">
  <tableColumns count="2">
    <tableColumn id="1" name="Regional Planning Commission"/>
    <tableColumn id="2" name="share of state establishments" dataDxfId="4" dataCellStyle="Percent">
      <calculatedColumnFormula>SUMIF(town_establishments[Regional Planning Commission],AJ3,town_establishments[share of state establishments (no residual)])</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5" name="town_vehicles" displayName="town_vehicles" ref="A1:E256" totalsRowShown="0">
  <autoFilter ref="A1:E256"/>
  <sortState ref="A2:E256">
    <sortCondition ref="A1:A256"/>
  </sortState>
  <tableColumns count="5">
    <tableColumn id="1" name="Municipality"/>
    <tableColumn id="2" name="Regional Planning Commission"/>
    <tableColumn id="3" name="Vehicles" dataDxfId="3"/>
    <tableColumn id="4" name="Share of State Vehicles" dataDxfId="2" dataCellStyle="Percent">
      <calculatedColumnFormula>town_vehicles[[#This Row],[Vehicles]]/SUM(town_vehicles[Vehicles])</calculatedColumnFormula>
    </tableColumn>
    <tableColumn id="5" name="Share of Region Vehicles" dataDxfId="1" dataCellStyle="Percent">
      <calculatedColumnFormula>town_vehicles[[#This Row],[Share of State Vehicles]]/INDEX(regional_vehicles[Share of State Vehicles],MATCH(town_vehicles[[#This Row],[Regional Planning Commission]],regional_vehicles[Regional Planning Commission]))</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6" name="regional_vehicles" displayName="regional_vehicles" ref="G1:H12" totalsRowShown="0">
  <tableColumns count="2">
    <tableColumn id="1" name="Regional Planning Commission"/>
    <tableColumn id="2" name="Share of State Vehicles" dataDxfId="0" dataCellStyle="Percent">
      <calculatedColumnFormula>SUMIF(town_vehicles[Regional Planning Commission],G2,town_vehicles[Share of State Vehicles])</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publicservice.vermont.gov/content/act-174-recommendations-and-determination-standards."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2.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3.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4.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5.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6.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7.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8.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9.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0.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2:O37"/>
  <sheetViews>
    <sheetView tabSelected="1" zoomScale="90" zoomScaleNormal="90" workbookViewId="0">
      <selection activeCell="I32" sqref="I32"/>
    </sheetView>
  </sheetViews>
  <sheetFormatPr defaultColWidth="9.140625" defaultRowHeight="15" x14ac:dyDescent="0.25"/>
  <cols>
    <col min="1" max="1" width="9.140625" style="47"/>
    <col min="2" max="11" width="9.5703125" style="47" customWidth="1"/>
    <col min="12" max="12" width="9.140625" style="47"/>
    <col min="13" max="13" width="11.140625" style="47" bestFit="1" customWidth="1"/>
    <col min="14" max="16384" width="9.140625" style="47"/>
  </cols>
  <sheetData>
    <row r="2" spans="1:15" ht="15" customHeight="1" x14ac:dyDescent="0.25">
      <c r="B2" s="82" t="s">
        <v>389</v>
      </c>
      <c r="C2" s="83"/>
      <c r="D2" s="83"/>
      <c r="E2" s="83"/>
      <c r="F2" s="83"/>
      <c r="G2" s="83"/>
      <c r="H2" s="83"/>
      <c r="I2" s="83"/>
      <c r="J2" s="83"/>
      <c r="K2" s="84"/>
    </row>
    <row r="3" spans="1:15" x14ac:dyDescent="0.25">
      <c r="B3" s="79"/>
      <c r="C3" s="80"/>
      <c r="D3" s="80"/>
      <c r="E3" s="80"/>
      <c r="F3" s="80"/>
      <c r="G3" s="80"/>
      <c r="H3" s="80"/>
      <c r="I3" s="80"/>
      <c r="J3" s="80"/>
      <c r="K3" s="81"/>
    </row>
    <row r="4" spans="1:15" x14ac:dyDescent="0.25">
      <c r="B4" s="56"/>
      <c r="C4" s="57"/>
      <c r="D4" s="57"/>
      <c r="E4" s="57"/>
      <c r="F4" s="57"/>
      <c r="G4" s="57"/>
      <c r="H4" s="57"/>
      <c r="I4" s="57"/>
      <c r="J4" s="57"/>
      <c r="K4" s="58"/>
    </row>
    <row r="5" spans="1:15" ht="15" customHeight="1" x14ac:dyDescent="0.25">
      <c r="B5" s="79" t="s">
        <v>409</v>
      </c>
      <c r="C5" s="80"/>
      <c r="D5" s="80"/>
      <c r="E5" s="80"/>
      <c r="F5" s="80"/>
      <c r="G5" s="80"/>
      <c r="H5" s="80"/>
      <c r="I5" s="80"/>
      <c r="J5" s="80"/>
      <c r="K5" s="81"/>
    </row>
    <row r="6" spans="1:15" x14ac:dyDescent="0.25">
      <c r="B6" s="79"/>
      <c r="C6" s="80"/>
      <c r="D6" s="80"/>
      <c r="E6" s="80"/>
      <c r="F6" s="80"/>
      <c r="G6" s="80"/>
      <c r="H6" s="80"/>
      <c r="I6" s="80"/>
      <c r="J6" s="80"/>
      <c r="K6" s="81"/>
      <c r="M6" s="55"/>
    </row>
    <row r="7" spans="1:15" x14ac:dyDescent="0.25">
      <c r="B7" s="79"/>
      <c r="C7" s="80"/>
      <c r="D7" s="80"/>
      <c r="E7" s="80"/>
      <c r="F7" s="80"/>
      <c r="G7" s="80"/>
      <c r="H7" s="80"/>
      <c r="I7" s="80"/>
      <c r="J7" s="80"/>
      <c r="K7" s="81"/>
      <c r="M7" s="55"/>
    </row>
    <row r="8" spans="1:15" x14ac:dyDescent="0.25">
      <c r="B8" s="79"/>
      <c r="C8" s="80"/>
      <c r="D8" s="80"/>
      <c r="E8" s="80"/>
      <c r="F8" s="80"/>
      <c r="G8" s="80"/>
      <c r="H8" s="80"/>
      <c r="I8" s="80"/>
      <c r="J8" s="80"/>
      <c r="K8" s="81"/>
      <c r="M8" s="55"/>
    </row>
    <row r="9" spans="1:15" x14ac:dyDescent="0.25">
      <c r="B9" s="79"/>
      <c r="C9" s="80"/>
      <c r="D9" s="80"/>
      <c r="E9" s="80"/>
      <c r="F9" s="80"/>
      <c r="G9" s="80"/>
      <c r="H9" s="80"/>
      <c r="I9" s="80"/>
      <c r="J9" s="80"/>
      <c r="K9" s="81"/>
      <c r="M9" s="55"/>
    </row>
    <row r="10" spans="1:15" x14ac:dyDescent="0.25">
      <c r="B10" s="79"/>
      <c r="C10" s="80"/>
      <c r="D10" s="80"/>
      <c r="E10" s="80"/>
      <c r="F10" s="80"/>
      <c r="G10" s="80"/>
      <c r="H10" s="80"/>
      <c r="I10" s="80"/>
      <c r="J10" s="80"/>
      <c r="K10" s="81"/>
      <c r="M10" s="55"/>
    </row>
    <row r="11" spans="1:15" x14ac:dyDescent="0.25">
      <c r="B11" s="79"/>
      <c r="C11" s="80"/>
      <c r="D11" s="80"/>
      <c r="E11" s="80"/>
      <c r="F11" s="80"/>
      <c r="G11" s="80"/>
      <c r="H11" s="80"/>
      <c r="I11" s="80"/>
      <c r="J11" s="80"/>
      <c r="K11" s="81"/>
      <c r="M11" s="55"/>
    </row>
    <row r="12" spans="1:15" x14ac:dyDescent="0.25">
      <c r="B12" s="56"/>
      <c r="C12" s="57"/>
      <c r="D12" s="57"/>
      <c r="E12" s="57"/>
      <c r="F12" s="57"/>
      <c r="G12" s="57"/>
      <c r="H12" s="57"/>
      <c r="I12" s="57"/>
      <c r="J12" s="57"/>
      <c r="K12" s="58"/>
      <c r="M12" s="55"/>
    </row>
    <row r="13" spans="1:15" ht="15" customHeight="1" x14ac:dyDescent="0.25">
      <c r="B13" s="48"/>
      <c r="C13" s="77" t="s">
        <v>376</v>
      </c>
      <c r="D13" s="77"/>
      <c r="E13" s="77"/>
      <c r="F13" s="77"/>
      <c r="G13" s="77"/>
      <c r="H13" s="77"/>
      <c r="I13" s="77"/>
      <c r="J13" s="78"/>
      <c r="K13" s="124" t="s">
        <v>50</v>
      </c>
    </row>
    <row r="14" spans="1:15" ht="15" customHeight="1" x14ac:dyDescent="0.25">
      <c r="B14" s="48"/>
      <c r="C14" s="77" t="s">
        <v>52</v>
      </c>
      <c r="D14" s="77"/>
      <c r="E14" s="77"/>
      <c r="F14" s="77"/>
      <c r="G14" s="77"/>
      <c r="H14" s="77"/>
      <c r="I14" s="77"/>
      <c r="J14" s="121"/>
      <c r="K14" s="125" t="s">
        <v>51</v>
      </c>
    </row>
    <row r="15" spans="1:15" s="49" customFormat="1" x14ac:dyDescent="0.25">
      <c r="A15" s="53"/>
      <c r="B15" s="50"/>
      <c r="C15" s="51"/>
      <c r="D15" s="51"/>
      <c r="E15" s="51"/>
      <c r="F15" s="51"/>
      <c r="G15" s="51"/>
      <c r="H15" s="51"/>
      <c r="I15" s="51"/>
      <c r="J15" s="51"/>
      <c r="K15" s="52"/>
      <c r="M15" s="55"/>
      <c r="O15" s="47"/>
    </row>
    <row r="16" spans="1:15" s="49" customFormat="1" ht="15" customHeight="1" x14ac:dyDescent="0.25">
      <c r="A16" s="53"/>
      <c r="B16" s="79" t="s">
        <v>378</v>
      </c>
      <c r="C16" s="80"/>
      <c r="D16" s="80"/>
      <c r="E16" s="80"/>
      <c r="F16" s="80"/>
      <c r="G16" s="80"/>
      <c r="H16" s="80"/>
      <c r="I16" s="80"/>
      <c r="J16" s="80"/>
      <c r="K16" s="81"/>
      <c r="M16" s="47"/>
      <c r="O16" s="47"/>
    </row>
    <row r="17" spans="1:15" s="49" customFormat="1" x14ac:dyDescent="0.25">
      <c r="A17" s="53"/>
      <c r="B17" s="79"/>
      <c r="C17" s="80"/>
      <c r="D17" s="80"/>
      <c r="E17" s="80"/>
      <c r="F17" s="80"/>
      <c r="G17" s="80"/>
      <c r="H17" s="80"/>
      <c r="I17" s="80"/>
      <c r="J17" s="80"/>
      <c r="K17" s="81"/>
      <c r="M17" s="47"/>
      <c r="O17" s="47"/>
    </row>
    <row r="18" spans="1:15" s="49" customFormat="1" x14ac:dyDescent="0.25">
      <c r="A18" s="53"/>
      <c r="B18" s="79"/>
      <c r="C18" s="80"/>
      <c r="D18" s="80"/>
      <c r="E18" s="80"/>
      <c r="F18" s="80"/>
      <c r="G18" s="80"/>
      <c r="H18" s="80"/>
      <c r="I18" s="80"/>
      <c r="J18" s="80"/>
      <c r="K18" s="81"/>
      <c r="M18" s="55"/>
      <c r="O18" s="47"/>
    </row>
    <row r="19" spans="1:15" x14ac:dyDescent="0.25">
      <c r="B19" s="79"/>
      <c r="C19" s="80"/>
      <c r="D19" s="80"/>
      <c r="E19" s="80"/>
      <c r="F19" s="80"/>
      <c r="G19" s="80"/>
      <c r="H19" s="80"/>
      <c r="I19" s="80"/>
      <c r="J19" s="80"/>
      <c r="K19" s="81"/>
    </row>
    <row r="20" spans="1:15" x14ac:dyDescent="0.25">
      <c r="B20" s="79"/>
      <c r="C20" s="80"/>
      <c r="D20" s="80"/>
      <c r="E20" s="80"/>
      <c r="F20" s="80"/>
      <c r="G20" s="80"/>
      <c r="H20" s="80"/>
      <c r="I20" s="80"/>
      <c r="J20" s="80"/>
      <c r="K20" s="81"/>
    </row>
    <row r="21" spans="1:15" ht="15" customHeight="1" x14ac:dyDescent="0.25">
      <c r="B21" s="118"/>
      <c r="C21" s="80" t="s">
        <v>377</v>
      </c>
      <c r="D21" s="80"/>
      <c r="E21" s="80"/>
      <c r="F21" s="80"/>
      <c r="G21" s="80"/>
      <c r="H21" s="80"/>
      <c r="I21" s="80"/>
      <c r="J21" s="80"/>
      <c r="K21" s="120"/>
      <c r="M21" s="55"/>
    </row>
    <row r="22" spans="1:15" ht="15" customHeight="1" x14ac:dyDescent="0.25">
      <c r="B22" s="118"/>
      <c r="C22" s="80" t="s">
        <v>390</v>
      </c>
      <c r="D22" s="80"/>
      <c r="E22" s="80"/>
      <c r="F22" s="80"/>
      <c r="G22" s="80"/>
      <c r="H22" s="119"/>
      <c r="I22" s="126" t="s">
        <v>372</v>
      </c>
      <c r="J22" s="119"/>
      <c r="K22" s="120"/>
      <c r="M22" s="55"/>
    </row>
    <row r="23" spans="1:15" x14ac:dyDescent="0.25">
      <c r="B23" s="118"/>
      <c r="C23" s="119"/>
      <c r="D23" s="119"/>
      <c r="E23" s="119"/>
      <c r="F23" s="119"/>
      <c r="G23" s="119"/>
      <c r="H23" s="119"/>
      <c r="I23" s="119"/>
      <c r="J23" s="119"/>
      <c r="K23" s="120"/>
      <c r="M23" s="55"/>
    </row>
    <row r="24" spans="1:15" ht="15" customHeight="1" x14ac:dyDescent="0.25">
      <c r="B24" s="79" t="s">
        <v>415</v>
      </c>
      <c r="C24" s="80"/>
      <c r="D24" s="80"/>
      <c r="E24" s="80"/>
      <c r="F24" s="80"/>
      <c r="G24" s="80"/>
      <c r="H24" s="80"/>
      <c r="I24" s="80"/>
      <c r="J24" s="80"/>
      <c r="K24" s="81"/>
      <c r="M24" s="55"/>
    </row>
    <row r="25" spans="1:15" x14ac:dyDescent="0.25">
      <c r="B25" s="79"/>
      <c r="C25" s="80"/>
      <c r="D25" s="80"/>
      <c r="E25" s="80"/>
      <c r="F25" s="80"/>
      <c r="G25" s="80"/>
      <c r="H25" s="80"/>
      <c r="I25" s="80"/>
      <c r="J25" s="80"/>
      <c r="K25" s="81"/>
      <c r="M25" s="55"/>
    </row>
    <row r="26" spans="1:15" x14ac:dyDescent="0.25">
      <c r="B26" s="79"/>
      <c r="C26" s="80"/>
      <c r="D26" s="80"/>
      <c r="E26" s="80"/>
      <c r="F26" s="80"/>
      <c r="G26" s="80"/>
      <c r="H26" s="80"/>
      <c r="I26" s="80"/>
      <c r="J26" s="80"/>
      <c r="K26" s="81"/>
      <c r="M26" s="55"/>
    </row>
    <row r="27" spans="1:15" x14ac:dyDescent="0.25">
      <c r="B27" s="79"/>
      <c r="C27" s="80"/>
      <c r="D27" s="80"/>
      <c r="E27" s="80"/>
      <c r="F27" s="80"/>
      <c r="G27" s="80"/>
      <c r="H27" s="80"/>
      <c r="I27" s="80"/>
      <c r="J27" s="80"/>
      <c r="K27" s="81"/>
      <c r="M27" s="55"/>
    </row>
    <row r="28" spans="1:15" ht="15" customHeight="1" x14ac:dyDescent="0.25">
      <c r="B28" s="79" t="s">
        <v>417</v>
      </c>
      <c r="C28" s="80"/>
      <c r="D28" s="80"/>
      <c r="E28" s="80"/>
      <c r="F28" s="80"/>
      <c r="G28" s="80"/>
      <c r="H28" s="80"/>
      <c r="I28" s="80"/>
      <c r="J28" s="80"/>
      <c r="K28" s="81"/>
      <c r="M28" s="55"/>
    </row>
    <row r="29" spans="1:15" x14ac:dyDescent="0.25">
      <c r="B29" s="131" t="s">
        <v>416</v>
      </c>
      <c r="C29" s="132"/>
      <c r="D29" s="132"/>
      <c r="E29" s="132"/>
      <c r="F29" s="132"/>
      <c r="G29" s="132"/>
      <c r="H29" s="132"/>
      <c r="I29" s="132"/>
      <c r="J29" s="132"/>
      <c r="K29" s="133"/>
    </row>
    <row r="31" spans="1:15" x14ac:dyDescent="0.25">
      <c r="B31" s="55"/>
      <c r="M31" s="55"/>
    </row>
    <row r="33" spans="2:13" x14ac:dyDescent="0.25">
      <c r="B33" s="55"/>
    </row>
    <row r="34" spans="2:13" x14ac:dyDescent="0.25">
      <c r="M34" s="55"/>
    </row>
    <row r="35" spans="2:13" x14ac:dyDescent="0.25">
      <c r="B35" s="55"/>
    </row>
    <row r="37" spans="2:13" x14ac:dyDescent="0.25">
      <c r="M37" s="55"/>
    </row>
  </sheetData>
  <mergeCells count="10">
    <mergeCell ref="C22:G22"/>
    <mergeCell ref="B24:K27"/>
    <mergeCell ref="B28:K28"/>
    <mergeCell ref="B29:K29"/>
    <mergeCell ref="B2:K3"/>
    <mergeCell ref="C13:J13"/>
    <mergeCell ref="C14:J14"/>
    <mergeCell ref="B16:K20"/>
    <mergeCell ref="C21:J21"/>
    <mergeCell ref="B5:K11"/>
  </mergeCells>
  <hyperlinks>
    <hyperlink ref="B29:K29" r:id="rId1" display=" http://publicservice.vermont.gov/content/act-174-recommendations-and-determination-standards.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autoPageBreaks="0"/>
  </sheetPr>
  <dimension ref="A1:O70"/>
  <sheetViews>
    <sheetView zoomScale="70" zoomScaleNormal="70" workbookViewId="0"/>
  </sheetViews>
  <sheetFormatPr defaultRowHeight="15" x14ac:dyDescent="0.25"/>
  <cols>
    <col min="1" max="1" width="2.5703125" style="1" bestFit="1" customWidth="1"/>
    <col min="2" max="14" width="15.85546875" customWidth="1"/>
    <col min="15" max="15" width="12.5703125" customWidth="1"/>
  </cols>
  <sheetData>
    <row r="1" spans="1:15" ht="21" x14ac:dyDescent="0.35">
      <c r="B1" s="20" t="s">
        <v>0</v>
      </c>
    </row>
    <row r="2" spans="1:15" ht="14.25" customHeight="1" x14ac:dyDescent="0.3">
      <c r="B2" s="2"/>
    </row>
    <row r="3" spans="1:15" ht="23.25" customHeight="1" x14ac:dyDescent="0.25">
      <c r="B3" s="86" t="s">
        <v>382</v>
      </c>
      <c r="C3" s="87"/>
      <c r="D3" s="87"/>
      <c r="E3" s="87"/>
      <c r="F3" s="87"/>
      <c r="G3" s="87"/>
      <c r="H3" s="87"/>
      <c r="I3" s="87"/>
      <c r="J3" s="87"/>
      <c r="K3" s="87"/>
      <c r="L3" s="110"/>
      <c r="M3" s="122" t="s">
        <v>264</v>
      </c>
      <c r="N3" s="123"/>
    </row>
    <row r="4" spans="1:15" ht="23.25" customHeight="1" x14ac:dyDescent="0.25">
      <c r="B4" s="88" t="s">
        <v>383</v>
      </c>
      <c r="C4" s="89"/>
      <c r="D4" s="89"/>
      <c r="E4" s="89"/>
      <c r="F4" s="89"/>
      <c r="G4" s="89"/>
      <c r="H4" s="89"/>
      <c r="I4" s="89"/>
      <c r="J4" s="89"/>
      <c r="K4" s="89"/>
      <c r="L4" s="89"/>
      <c r="M4" s="89"/>
      <c r="N4" s="90"/>
    </row>
    <row r="5" spans="1:15" ht="23.25" customHeight="1" x14ac:dyDescent="0.25">
      <c r="B5" s="91" t="s">
        <v>381</v>
      </c>
      <c r="C5" s="92"/>
      <c r="D5" s="92"/>
      <c r="E5" s="92"/>
      <c r="F5" s="92"/>
      <c r="G5" s="92"/>
      <c r="H5" s="92"/>
      <c r="I5" s="92"/>
      <c r="J5" s="92"/>
      <c r="K5" s="92"/>
      <c r="L5" s="92"/>
      <c r="M5" s="111"/>
      <c r="N5" s="76" t="s">
        <v>372</v>
      </c>
    </row>
    <row r="7" spans="1:15" ht="40.5" customHeight="1" x14ac:dyDescent="0.25">
      <c r="B7" s="3">
        <f>SUM(B28,B40)</f>
        <v>12854.083257499999</v>
      </c>
      <c r="C7" s="93" t="s">
        <v>384</v>
      </c>
      <c r="D7" s="94"/>
      <c r="E7" s="94"/>
      <c r="F7" s="94"/>
      <c r="G7" s="94"/>
      <c r="H7" s="94"/>
      <c r="I7" s="94"/>
      <c r="J7" s="94"/>
      <c r="K7" s="94"/>
      <c r="L7" s="94"/>
      <c r="M7" s="94"/>
      <c r="N7" s="94"/>
      <c r="O7" s="112">
        <f>B7/regional_ldv_mmbtu</f>
        <v>0.11632291294451221</v>
      </c>
    </row>
    <row r="9" spans="1:15" ht="18.75" x14ac:dyDescent="0.3">
      <c r="C9" s="2" t="s">
        <v>1</v>
      </c>
    </row>
    <row r="10" spans="1:15" x14ac:dyDescent="0.25">
      <c r="C10" s="5"/>
    </row>
    <row r="11" spans="1:15" ht="39" customHeight="1" x14ac:dyDescent="0.25">
      <c r="A11" s="1">
        <v>1</v>
      </c>
      <c r="B11" s="115">
        <f>IF(ISNA(INDEX(town_vehicles[Vehicles],MATCH(M3,town_vehicles[Municipality]))),0,INDEX(town_vehicles[Vehicles],MATCH(M3,town_vehicles[Municipality])))-B34</f>
        <v>189</v>
      </c>
      <c r="C11" s="113" t="s">
        <v>374</v>
      </c>
      <c r="D11" s="94"/>
      <c r="E11" s="94"/>
      <c r="F11" s="94"/>
      <c r="G11" s="94"/>
      <c r="H11" s="94"/>
      <c r="I11" s="94"/>
      <c r="J11" s="94"/>
      <c r="K11" s="94"/>
      <c r="L11" s="94"/>
      <c r="M11" s="94"/>
      <c r="N11" s="94"/>
      <c r="O11" s="28">
        <f>B11/regional_ldv_count</f>
        <v>0.12684563758389261</v>
      </c>
    </row>
    <row r="12" spans="1:15" ht="39" customHeight="1" x14ac:dyDescent="0.25">
      <c r="B12" s="7"/>
      <c r="C12" s="8"/>
      <c r="D12" s="9" t="s">
        <v>386</v>
      </c>
      <c r="E12" s="96" t="s">
        <v>3</v>
      </c>
      <c r="F12" s="96"/>
      <c r="G12" s="97" t="s">
        <v>385</v>
      </c>
      <c r="H12" s="97"/>
      <c r="I12" s="97"/>
      <c r="J12" s="97"/>
      <c r="K12" s="97"/>
      <c r="L12" s="97"/>
      <c r="M12" s="97"/>
      <c r="N12" s="97"/>
    </row>
    <row r="13" spans="1:15" ht="39" customHeight="1" x14ac:dyDescent="0.25">
      <c r="B13" s="7"/>
      <c r="C13" s="8"/>
      <c r="D13" s="9" t="s">
        <v>5</v>
      </c>
      <c r="E13" s="97" t="s">
        <v>4</v>
      </c>
      <c r="F13" s="97"/>
      <c r="G13" s="94" t="s">
        <v>387</v>
      </c>
      <c r="H13" s="94"/>
      <c r="I13" s="94"/>
      <c r="J13" s="94"/>
      <c r="K13" s="94"/>
      <c r="L13" s="94"/>
      <c r="M13" s="94"/>
      <c r="N13" s="94"/>
    </row>
    <row r="14" spans="1:15" ht="39" customHeight="1" x14ac:dyDescent="0.25">
      <c r="B14" s="7"/>
      <c r="C14" s="8"/>
      <c r="D14" s="9" t="s">
        <v>5</v>
      </c>
      <c r="E14" s="97" t="s">
        <v>6</v>
      </c>
      <c r="F14" s="97"/>
      <c r="G14" s="97"/>
      <c r="H14" s="97"/>
      <c r="I14" s="97"/>
      <c r="J14" s="97"/>
      <c r="K14" s="97"/>
      <c r="L14" s="97"/>
      <c r="M14" s="97"/>
      <c r="N14" s="97"/>
    </row>
    <row r="15" spans="1:15" ht="48.75" customHeight="1" x14ac:dyDescent="0.25">
      <c r="A15" s="1">
        <v>2</v>
      </c>
      <c r="B15" s="6">
        <v>10000</v>
      </c>
      <c r="C15" s="95" t="s">
        <v>63</v>
      </c>
      <c r="D15" s="94"/>
      <c r="E15" s="94"/>
      <c r="F15" s="94"/>
      <c r="G15" s="94"/>
      <c r="H15" s="94"/>
      <c r="I15" s="94"/>
      <c r="J15" s="94"/>
      <c r="K15" s="94"/>
      <c r="L15" s="94"/>
      <c r="M15" s="94"/>
      <c r="N15" s="94"/>
      <c r="O15" s="19">
        <f>B15*O11</f>
        <v>1268.4563758389261</v>
      </c>
    </row>
    <row r="16" spans="1:15" ht="60.75" customHeight="1" x14ac:dyDescent="0.25">
      <c r="A16" s="1">
        <v>3</v>
      </c>
      <c r="B16" s="6">
        <v>20</v>
      </c>
      <c r="C16" s="95" t="s">
        <v>64</v>
      </c>
      <c r="D16" s="94"/>
      <c r="E16" s="94"/>
      <c r="F16" s="94"/>
      <c r="G16" s="94"/>
      <c r="H16" s="94"/>
      <c r="I16" s="94"/>
      <c r="J16" s="94"/>
      <c r="K16" s="94"/>
      <c r="L16" s="94"/>
      <c r="M16" s="94"/>
      <c r="N16" s="94"/>
      <c r="O16" s="63">
        <f>B16*O11</f>
        <v>2.5369127516778525</v>
      </c>
    </row>
    <row r="17" spans="1:15" s="60" customFormat="1" ht="39" customHeight="1" x14ac:dyDescent="0.25">
      <c r="A17" s="10"/>
      <c r="D17" s="12">
        <v>0.4</v>
      </c>
      <c r="E17" s="85" t="s">
        <v>7</v>
      </c>
      <c r="F17" s="85"/>
      <c r="G17" s="85"/>
      <c r="H17" s="85"/>
      <c r="I17" s="85"/>
      <c r="J17" s="85"/>
      <c r="K17" s="85"/>
      <c r="L17" s="85"/>
      <c r="M17" s="85"/>
      <c r="N17" s="85"/>
    </row>
    <row r="18" spans="1:15" s="60" customFormat="1" ht="39" customHeight="1" x14ac:dyDescent="0.25">
      <c r="A18" s="10"/>
      <c r="D18" s="12">
        <f>150000/583770</f>
        <v>0.25695051133151753</v>
      </c>
      <c r="E18" s="94" t="s">
        <v>8</v>
      </c>
      <c r="F18" s="94"/>
      <c r="G18" s="94"/>
      <c r="H18" s="94"/>
      <c r="I18" s="94"/>
      <c r="J18" s="94"/>
      <c r="K18" s="94"/>
      <c r="L18" s="94"/>
      <c r="M18" s="94"/>
      <c r="N18" s="94"/>
    </row>
    <row r="19" spans="1:15" s="60" customFormat="1" ht="39" customHeight="1" x14ac:dyDescent="0.25">
      <c r="A19" s="10"/>
      <c r="D19" s="12">
        <v>0.86</v>
      </c>
      <c r="E19" s="94" t="s">
        <v>9</v>
      </c>
      <c r="F19" s="94"/>
      <c r="G19" s="94"/>
      <c r="H19" s="94"/>
      <c r="I19" s="94"/>
      <c r="J19" s="94"/>
      <c r="K19" s="94"/>
      <c r="L19" s="94"/>
      <c r="M19" s="94"/>
      <c r="N19" s="94"/>
    </row>
    <row r="20" spans="1:15" ht="55.5" customHeight="1" x14ac:dyDescent="0.25">
      <c r="B20" s="13">
        <f>B11*B15/B16</f>
        <v>94500</v>
      </c>
      <c r="C20" s="94" t="s">
        <v>65</v>
      </c>
      <c r="D20" s="94"/>
      <c r="E20" s="94"/>
      <c r="F20" s="94"/>
      <c r="G20" s="94"/>
      <c r="H20" s="94"/>
      <c r="I20" s="94"/>
      <c r="J20" s="94"/>
      <c r="K20" s="94"/>
      <c r="L20" s="94"/>
      <c r="M20" s="94"/>
      <c r="N20" s="94"/>
      <c r="O20" s="28">
        <f>B20/regional_gsl_gallons</f>
        <v>0.12470652876767876</v>
      </c>
    </row>
    <row r="21" spans="1:15" ht="55.5" customHeight="1" x14ac:dyDescent="0.25">
      <c r="A21" s="1">
        <v>4</v>
      </c>
      <c r="B21" s="14">
        <v>0.09</v>
      </c>
      <c r="C21" s="95" t="s">
        <v>66</v>
      </c>
      <c r="D21" s="94"/>
      <c r="E21" s="94"/>
      <c r="F21" s="94"/>
      <c r="G21" s="94"/>
      <c r="H21" s="94"/>
      <c r="I21" s="94"/>
      <c r="J21" s="94"/>
      <c r="K21" s="94"/>
      <c r="L21" s="94"/>
      <c r="M21" s="94"/>
      <c r="N21" s="94"/>
      <c r="O21" s="64">
        <f>B21*O20</f>
        <v>1.1223587589091089E-2</v>
      </c>
    </row>
    <row r="22" spans="1:15" ht="39" customHeight="1" x14ac:dyDescent="0.25">
      <c r="B22" s="13">
        <f>(1-B21)*B20</f>
        <v>85995</v>
      </c>
      <c r="C22" s="94" t="s">
        <v>54</v>
      </c>
      <c r="D22" s="94"/>
      <c r="E22" s="94"/>
      <c r="F22" s="94"/>
      <c r="G22" s="94"/>
      <c r="H22" s="94"/>
      <c r="I22" s="94"/>
      <c r="J22" s="94"/>
      <c r="K22" s="94"/>
      <c r="L22" s="94"/>
      <c r="M22" s="94"/>
      <c r="N22" s="94"/>
    </row>
    <row r="23" spans="1:15" ht="39" customHeight="1" x14ac:dyDescent="0.25">
      <c r="B23" s="13">
        <f>fossilBtu</f>
        <v>121258.5</v>
      </c>
      <c r="C23" s="94" t="s">
        <v>10</v>
      </c>
      <c r="D23" s="94"/>
      <c r="E23" s="94"/>
      <c r="F23" s="94"/>
      <c r="G23" s="94"/>
      <c r="H23" s="94"/>
      <c r="I23" s="94"/>
      <c r="J23" s="94"/>
      <c r="K23" s="94"/>
      <c r="L23" s="94"/>
      <c r="M23" s="94"/>
      <c r="N23" s="94"/>
    </row>
    <row r="24" spans="1:15" ht="39" customHeight="1" x14ac:dyDescent="0.25">
      <c r="B24" s="13">
        <f>B22*B23/1000000</f>
        <v>10427.624707499999</v>
      </c>
      <c r="C24" s="94" t="s">
        <v>11</v>
      </c>
      <c r="D24" s="94"/>
      <c r="E24" s="94"/>
      <c r="F24" s="94"/>
      <c r="G24" s="94"/>
      <c r="H24" s="94"/>
      <c r="I24" s="94"/>
      <c r="J24" s="94"/>
      <c r="K24" s="94"/>
      <c r="L24" s="94"/>
      <c r="M24" s="94"/>
      <c r="N24" s="94"/>
    </row>
    <row r="25" spans="1:15" ht="39" customHeight="1" x14ac:dyDescent="0.25">
      <c r="B25" s="13">
        <f>B20-B22</f>
        <v>8505</v>
      </c>
      <c r="C25" s="94" t="s">
        <v>55</v>
      </c>
      <c r="D25" s="94"/>
      <c r="E25" s="94"/>
      <c r="F25" s="94"/>
      <c r="G25" s="94"/>
      <c r="H25" s="94"/>
      <c r="I25" s="94"/>
      <c r="J25" s="94"/>
      <c r="K25" s="94"/>
      <c r="L25" s="94"/>
      <c r="M25" s="94"/>
      <c r="N25" s="94"/>
    </row>
    <row r="26" spans="1:15" ht="39" customHeight="1" x14ac:dyDescent="0.25">
      <c r="B26" s="13">
        <v>84710</v>
      </c>
      <c r="C26" s="94" t="s">
        <v>12</v>
      </c>
      <c r="D26" s="94"/>
      <c r="E26" s="94"/>
      <c r="F26" s="94"/>
      <c r="G26" s="94"/>
      <c r="H26" s="94"/>
      <c r="I26" s="94"/>
      <c r="J26" s="94"/>
      <c r="K26" s="94"/>
      <c r="L26" s="94"/>
      <c r="M26" s="94"/>
      <c r="N26" s="94"/>
    </row>
    <row r="27" spans="1:15" ht="39" customHeight="1" x14ac:dyDescent="0.25">
      <c r="B27" s="13">
        <f>B25*B26/1000000</f>
        <v>720.45854999999995</v>
      </c>
      <c r="C27" s="94" t="s">
        <v>13</v>
      </c>
      <c r="D27" s="94"/>
      <c r="E27" s="94"/>
      <c r="F27" s="94"/>
      <c r="G27" s="94"/>
      <c r="H27" s="94"/>
      <c r="I27" s="94"/>
      <c r="J27" s="94"/>
      <c r="K27" s="94"/>
      <c r="L27" s="94"/>
      <c r="M27" s="94"/>
      <c r="N27" s="94"/>
    </row>
    <row r="28" spans="1:15" ht="39" customHeight="1" x14ac:dyDescent="0.25">
      <c r="B28" s="3">
        <f>B24+B27</f>
        <v>11148.083257499999</v>
      </c>
      <c r="C28" s="93" t="s">
        <v>56</v>
      </c>
      <c r="D28" s="94"/>
      <c r="E28" s="94"/>
      <c r="F28" s="94"/>
      <c r="G28" s="94"/>
      <c r="H28" s="94"/>
      <c r="I28" s="94"/>
      <c r="J28" s="94"/>
      <c r="K28" s="94"/>
      <c r="L28" s="94"/>
      <c r="M28" s="94"/>
      <c r="N28" s="94"/>
    </row>
    <row r="29" spans="1:15" x14ac:dyDescent="0.25">
      <c r="B29" s="7"/>
    </row>
    <row r="30" spans="1:15" x14ac:dyDescent="0.25">
      <c r="B30" s="7"/>
      <c r="C30" s="4" t="s">
        <v>14</v>
      </c>
    </row>
    <row r="31" spans="1:15" x14ac:dyDescent="0.25">
      <c r="B31" s="7"/>
      <c r="C31" s="4"/>
    </row>
    <row r="32" spans="1:15" x14ac:dyDescent="0.25">
      <c r="B32" s="7" t="s">
        <v>15</v>
      </c>
      <c r="C32" s="5"/>
    </row>
    <row r="33" spans="1:15" x14ac:dyDescent="0.25">
      <c r="B33" s="7"/>
      <c r="C33" s="5"/>
    </row>
    <row r="34" spans="1:15" ht="39" customHeight="1" x14ac:dyDescent="0.25">
      <c r="A34" s="1">
        <v>1</v>
      </c>
      <c r="B34" s="15">
        <v>150</v>
      </c>
      <c r="C34" s="95" t="s">
        <v>67</v>
      </c>
      <c r="D34" s="94"/>
      <c r="E34" s="94"/>
      <c r="F34" s="94"/>
      <c r="G34" s="94"/>
      <c r="H34" s="94"/>
      <c r="I34" s="94"/>
      <c r="J34" s="94"/>
      <c r="K34" s="94"/>
      <c r="L34" s="94"/>
      <c r="M34" s="94"/>
      <c r="O34" s="28">
        <f>B34/regional_ev_count</f>
        <v>7.8947368421052627E-2</v>
      </c>
    </row>
    <row r="35" spans="1:15" ht="39" customHeight="1" x14ac:dyDescent="0.25">
      <c r="B35" s="16"/>
      <c r="C35" s="16"/>
      <c r="D35" s="9" t="s">
        <v>2</v>
      </c>
      <c r="E35" s="17" t="s">
        <v>16</v>
      </c>
      <c r="F35" s="16"/>
      <c r="G35" s="16"/>
      <c r="H35" s="16"/>
      <c r="I35" s="16"/>
      <c r="J35" s="16"/>
      <c r="K35" s="16"/>
      <c r="L35" s="16"/>
      <c r="M35" s="16"/>
      <c r="N35" s="16"/>
    </row>
    <row r="36" spans="1:15" ht="39" customHeight="1" x14ac:dyDescent="0.25">
      <c r="B36" s="15">
        <v>10000</v>
      </c>
      <c r="C36" s="94" t="s">
        <v>388</v>
      </c>
      <c r="D36" s="94"/>
      <c r="E36" s="94"/>
      <c r="F36" s="94"/>
      <c r="G36" s="94"/>
      <c r="H36" s="94"/>
      <c r="I36" s="94"/>
      <c r="J36" s="94"/>
      <c r="K36" s="94"/>
      <c r="L36" s="94"/>
      <c r="M36" s="94"/>
      <c r="N36" s="94"/>
      <c r="O36" s="19">
        <f>B36*O34</f>
        <v>789.47368421052624</v>
      </c>
    </row>
    <row r="37" spans="1:15" ht="39" customHeight="1" x14ac:dyDescent="0.25">
      <c r="B37" s="13">
        <v>3</v>
      </c>
      <c r="C37" s="97" t="s">
        <v>17</v>
      </c>
      <c r="D37" s="97"/>
      <c r="E37" s="97"/>
      <c r="F37" s="97"/>
      <c r="G37" s="97"/>
      <c r="H37" s="97"/>
      <c r="I37" s="97"/>
      <c r="J37" s="97"/>
      <c r="K37" s="97"/>
      <c r="L37" s="97"/>
      <c r="M37" s="97"/>
      <c r="N37" s="97"/>
    </row>
    <row r="38" spans="1:15" ht="39" customHeight="1" x14ac:dyDescent="0.25">
      <c r="B38" s="13">
        <f>B34*B36/B37</f>
        <v>500000</v>
      </c>
      <c r="C38" s="97" t="s">
        <v>57</v>
      </c>
      <c r="D38" s="97"/>
      <c r="E38" s="97"/>
      <c r="F38" s="97"/>
      <c r="G38" s="97"/>
      <c r="H38" s="97"/>
      <c r="I38" s="97"/>
      <c r="J38" s="97"/>
      <c r="K38" s="97"/>
      <c r="L38" s="97"/>
      <c r="M38" s="97"/>
      <c r="N38" s="97"/>
    </row>
    <row r="39" spans="1:15" ht="39" customHeight="1" x14ac:dyDescent="0.25">
      <c r="B39" s="13">
        <v>3412</v>
      </c>
      <c r="C39" s="97" t="s">
        <v>18</v>
      </c>
      <c r="D39" s="97"/>
      <c r="E39" s="97"/>
      <c r="F39" s="97"/>
      <c r="G39" s="97"/>
      <c r="H39" s="97"/>
      <c r="I39" s="97"/>
      <c r="J39" s="97"/>
      <c r="K39" s="97"/>
      <c r="L39" s="97"/>
      <c r="M39" s="97"/>
      <c r="N39" s="97"/>
    </row>
    <row r="40" spans="1:15" ht="39" customHeight="1" x14ac:dyDescent="0.25">
      <c r="B40" s="3">
        <f>B38*B39/1000000</f>
        <v>1706</v>
      </c>
      <c r="C40" s="99" t="s">
        <v>19</v>
      </c>
      <c r="D40" s="97"/>
      <c r="E40" s="97"/>
      <c r="F40" s="97"/>
      <c r="G40" s="97"/>
      <c r="H40" s="97"/>
      <c r="I40" s="97"/>
      <c r="J40" s="97"/>
      <c r="K40" s="97"/>
      <c r="L40" s="97"/>
      <c r="M40" s="97"/>
      <c r="N40" s="97"/>
    </row>
    <row r="41" spans="1:15" x14ac:dyDescent="0.25">
      <c r="B41" s="7"/>
    </row>
    <row r="43" spans="1:15" x14ac:dyDescent="0.25">
      <c r="C43" s="5"/>
    </row>
    <row r="45" spans="1:15" x14ac:dyDescent="0.25">
      <c r="B45" s="7"/>
    </row>
    <row r="50" spans="2:2" x14ac:dyDescent="0.25">
      <c r="B50" s="7"/>
    </row>
    <row r="52" spans="2:2" x14ac:dyDescent="0.25">
      <c r="B52" s="7"/>
    </row>
    <row r="54" spans="2:2" x14ac:dyDescent="0.25">
      <c r="B54" s="18"/>
    </row>
    <row r="55" spans="2:2" x14ac:dyDescent="0.25">
      <c r="B55" s="18"/>
    </row>
    <row r="56" spans="2:2" x14ac:dyDescent="0.25">
      <c r="B56" s="18"/>
    </row>
    <row r="70" spans="2:2" x14ac:dyDescent="0.25">
      <c r="B70" s="7"/>
    </row>
  </sheetData>
  <mergeCells count="31">
    <mergeCell ref="C40:N40"/>
    <mergeCell ref="C28:N28"/>
    <mergeCell ref="C34:M34"/>
    <mergeCell ref="C36:N36"/>
    <mergeCell ref="C37:N37"/>
    <mergeCell ref="C38:N38"/>
    <mergeCell ref="C39:N39"/>
    <mergeCell ref="C22:N22"/>
    <mergeCell ref="C23:N23"/>
    <mergeCell ref="C24:N24"/>
    <mergeCell ref="C25:N25"/>
    <mergeCell ref="C26:N26"/>
    <mergeCell ref="C27:N27"/>
    <mergeCell ref="C16:N16"/>
    <mergeCell ref="E17:N17"/>
    <mergeCell ref="E18:N18"/>
    <mergeCell ref="E19:N19"/>
    <mergeCell ref="C20:N20"/>
    <mergeCell ref="C21:N21"/>
    <mergeCell ref="E12:F12"/>
    <mergeCell ref="G12:N12"/>
    <mergeCell ref="E13:F13"/>
    <mergeCell ref="G13:N13"/>
    <mergeCell ref="E14:N14"/>
    <mergeCell ref="C15:N15"/>
    <mergeCell ref="B3:L3"/>
    <mergeCell ref="M3:N3"/>
    <mergeCell ref="B4:N4"/>
    <mergeCell ref="B5:M5"/>
    <mergeCell ref="C7:N7"/>
    <mergeCell ref="C11:N11"/>
  </mergeCells>
  <dataValidations count="1">
    <dataValidation type="list" allowBlank="1" showInputMessage="1" showErrorMessage="1" sqref="M3:N3">
      <formula1>INDIRECT("town_population[Municipality]")</formula1>
    </dataValidation>
  </dataValidations>
  <hyperlinks>
    <hyperlink ref="E12" r:id="rId1" display="Census data"/>
    <hyperlink ref="E35" r:id="rId2"/>
  </hyperlinks>
  <pageMargins left="0.7" right="0.7" top="0.75" bottom="0.75" header="0.3" footer="0.3"/>
  <pageSetup paperSize="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autoPageBreaks="0"/>
  </sheetPr>
  <dimension ref="A1:O70"/>
  <sheetViews>
    <sheetView zoomScale="70" zoomScaleNormal="70" workbookViewId="0"/>
  </sheetViews>
  <sheetFormatPr defaultRowHeight="15" x14ac:dyDescent="0.25"/>
  <cols>
    <col min="1" max="1" width="2.5703125" style="1" bestFit="1" customWidth="1"/>
    <col min="2" max="14" width="15.85546875" customWidth="1"/>
    <col min="15" max="15" width="12.5703125" customWidth="1"/>
  </cols>
  <sheetData>
    <row r="1" spans="1:15" ht="21" x14ac:dyDescent="0.35">
      <c r="B1" s="20" t="s">
        <v>0</v>
      </c>
    </row>
    <row r="2" spans="1:15" ht="14.25" customHeight="1" x14ac:dyDescent="0.3">
      <c r="B2" s="2"/>
    </row>
    <row r="3" spans="1:15" ht="23.25" customHeight="1" x14ac:dyDescent="0.25">
      <c r="B3" s="86" t="s">
        <v>382</v>
      </c>
      <c r="C3" s="87"/>
      <c r="D3" s="87"/>
      <c r="E3" s="87"/>
      <c r="F3" s="87"/>
      <c r="G3" s="87"/>
      <c r="H3" s="87"/>
      <c r="I3" s="87"/>
      <c r="J3" s="87"/>
      <c r="K3" s="87"/>
      <c r="L3" s="110"/>
      <c r="M3" s="122" t="s">
        <v>264</v>
      </c>
      <c r="N3" s="123"/>
    </row>
    <row r="4" spans="1:15" ht="23.25" customHeight="1" x14ac:dyDescent="0.25">
      <c r="B4" s="88" t="s">
        <v>383</v>
      </c>
      <c r="C4" s="89"/>
      <c r="D4" s="89"/>
      <c r="E4" s="89"/>
      <c r="F4" s="89"/>
      <c r="G4" s="89"/>
      <c r="H4" s="89"/>
      <c r="I4" s="89"/>
      <c r="J4" s="89"/>
      <c r="K4" s="89"/>
      <c r="L4" s="89"/>
      <c r="M4" s="89"/>
      <c r="N4" s="90"/>
    </row>
    <row r="5" spans="1:15" ht="23.25" customHeight="1" x14ac:dyDescent="0.25">
      <c r="B5" s="91" t="s">
        <v>381</v>
      </c>
      <c r="C5" s="92"/>
      <c r="D5" s="92"/>
      <c r="E5" s="92"/>
      <c r="F5" s="92"/>
      <c r="G5" s="92"/>
      <c r="H5" s="92"/>
      <c r="I5" s="92"/>
      <c r="J5" s="92"/>
      <c r="K5" s="92"/>
      <c r="L5" s="92"/>
      <c r="M5" s="111"/>
      <c r="N5" s="76" t="s">
        <v>372</v>
      </c>
    </row>
    <row r="7" spans="1:15" ht="40.5" customHeight="1" x14ac:dyDescent="0.25">
      <c r="B7" s="3">
        <f>SUM(B28,B40)</f>
        <v>14299.653827666665</v>
      </c>
      <c r="C7" s="93" t="s">
        <v>384</v>
      </c>
      <c r="D7" s="94"/>
      <c r="E7" s="94"/>
      <c r="F7" s="94"/>
      <c r="G7" s="94"/>
      <c r="H7" s="94"/>
      <c r="I7" s="94"/>
      <c r="J7" s="94"/>
      <c r="K7" s="94"/>
      <c r="L7" s="94"/>
      <c r="M7" s="94"/>
      <c r="N7" s="94"/>
      <c r="O7" s="112">
        <f>B7/regional_ldv_mmbtu</f>
        <v>0.12940459105567068</v>
      </c>
    </row>
    <row r="9" spans="1:15" ht="18.75" x14ac:dyDescent="0.3">
      <c r="C9" s="2" t="s">
        <v>1</v>
      </c>
    </row>
    <row r="10" spans="1:15" x14ac:dyDescent="0.25">
      <c r="C10" s="5"/>
    </row>
    <row r="11" spans="1:15" ht="39" customHeight="1" x14ac:dyDescent="0.25">
      <c r="A11" s="1">
        <v>1</v>
      </c>
      <c r="B11" s="115">
        <f>IF(ISNA(INDEX(town_vehicles[Vehicles],MATCH(M3,town_vehicles[Municipality]))),0,INDEX(town_vehicles[Vehicles],MATCH(M3,town_vehicles[Municipality])))-B34</f>
        <v>139</v>
      </c>
      <c r="C11" s="113" t="s">
        <v>374</v>
      </c>
      <c r="D11" s="94"/>
      <c r="E11" s="94"/>
      <c r="F11" s="94"/>
      <c r="G11" s="94"/>
      <c r="H11" s="94"/>
      <c r="I11" s="94"/>
      <c r="J11" s="94"/>
      <c r="K11" s="94"/>
      <c r="L11" s="94"/>
      <c r="M11" s="94"/>
      <c r="N11" s="94"/>
      <c r="O11" s="28">
        <f>B11/regional_ldv_count</f>
        <v>9.3288590604026847E-2</v>
      </c>
    </row>
    <row r="12" spans="1:15" ht="39" customHeight="1" x14ac:dyDescent="0.25">
      <c r="B12" s="7"/>
      <c r="C12" s="8"/>
      <c r="D12" s="9" t="s">
        <v>386</v>
      </c>
      <c r="E12" s="96" t="s">
        <v>3</v>
      </c>
      <c r="F12" s="96"/>
      <c r="G12" s="97" t="s">
        <v>385</v>
      </c>
      <c r="H12" s="97"/>
      <c r="I12" s="97"/>
      <c r="J12" s="97"/>
      <c r="K12" s="97"/>
      <c r="L12" s="97"/>
      <c r="M12" s="97"/>
      <c r="N12" s="97"/>
    </row>
    <row r="13" spans="1:15" ht="39" customHeight="1" x14ac:dyDescent="0.25">
      <c r="B13" s="7"/>
      <c r="C13" s="8"/>
      <c r="D13" s="9" t="s">
        <v>5</v>
      </c>
      <c r="E13" s="97" t="s">
        <v>4</v>
      </c>
      <c r="F13" s="97"/>
      <c r="G13" s="94" t="s">
        <v>387</v>
      </c>
      <c r="H13" s="94"/>
      <c r="I13" s="94"/>
      <c r="J13" s="94"/>
      <c r="K13" s="94"/>
      <c r="L13" s="94"/>
      <c r="M13" s="94"/>
      <c r="N13" s="94"/>
    </row>
    <row r="14" spans="1:15" ht="39" customHeight="1" x14ac:dyDescent="0.25">
      <c r="B14" s="7"/>
      <c r="C14" s="8"/>
      <c r="D14" s="9" t="s">
        <v>5</v>
      </c>
      <c r="E14" s="97" t="s">
        <v>6</v>
      </c>
      <c r="F14" s="97"/>
      <c r="G14" s="97"/>
      <c r="H14" s="97"/>
      <c r="I14" s="97"/>
      <c r="J14" s="97"/>
      <c r="K14" s="97"/>
      <c r="L14" s="97"/>
      <c r="M14" s="97"/>
      <c r="N14" s="97"/>
    </row>
    <row r="15" spans="1:15" ht="48.75" customHeight="1" x14ac:dyDescent="0.25">
      <c r="A15" s="1">
        <v>2</v>
      </c>
      <c r="B15" s="6">
        <v>11000</v>
      </c>
      <c r="C15" s="95" t="s">
        <v>63</v>
      </c>
      <c r="D15" s="94"/>
      <c r="E15" s="94"/>
      <c r="F15" s="94"/>
      <c r="G15" s="94"/>
      <c r="H15" s="94"/>
      <c r="I15" s="94"/>
      <c r="J15" s="94"/>
      <c r="K15" s="94"/>
      <c r="L15" s="94"/>
      <c r="M15" s="94"/>
      <c r="N15" s="94"/>
      <c r="O15" s="19">
        <f>B15*O11</f>
        <v>1026.1744966442952</v>
      </c>
    </row>
    <row r="16" spans="1:15" ht="60.75" customHeight="1" x14ac:dyDescent="0.25">
      <c r="A16" s="1">
        <v>3</v>
      </c>
      <c r="B16" s="6">
        <v>15</v>
      </c>
      <c r="C16" s="95" t="s">
        <v>64</v>
      </c>
      <c r="D16" s="94"/>
      <c r="E16" s="94"/>
      <c r="F16" s="94"/>
      <c r="G16" s="94"/>
      <c r="H16" s="94"/>
      <c r="I16" s="94"/>
      <c r="J16" s="94"/>
      <c r="K16" s="94"/>
      <c r="L16" s="94"/>
      <c r="M16" s="94"/>
      <c r="N16" s="94"/>
      <c r="O16" s="63">
        <f>B16*O11</f>
        <v>1.3993288590604027</v>
      </c>
    </row>
    <row r="17" spans="1:15" s="60" customFormat="1" ht="39" customHeight="1" x14ac:dyDescent="0.25">
      <c r="A17" s="10"/>
      <c r="D17" s="12">
        <v>0.4</v>
      </c>
      <c r="E17" s="85" t="s">
        <v>7</v>
      </c>
      <c r="F17" s="85"/>
      <c r="G17" s="85"/>
      <c r="H17" s="85"/>
      <c r="I17" s="85"/>
      <c r="J17" s="85"/>
      <c r="K17" s="85"/>
      <c r="L17" s="85"/>
      <c r="M17" s="85"/>
      <c r="N17" s="85"/>
    </row>
    <row r="18" spans="1:15" s="60" customFormat="1" ht="39" customHeight="1" x14ac:dyDescent="0.25">
      <c r="A18" s="10"/>
      <c r="D18" s="12">
        <f>150000/583770</f>
        <v>0.25695051133151753</v>
      </c>
      <c r="E18" s="94" t="s">
        <v>8</v>
      </c>
      <c r="F18" s="94"/>
      <c r="G18" s="94"/>
      <c r="H18" s="94"/>
      <c r="I18" s="94"/>
      <c r="J18" s="94"/>
      <c r="K18" s="94"/>
      <c r="L18" s="94"/>
      <c r="M18" s="94"/>
      <c r="N18" s="94"/>
    </row>
    <row r="19" spans="1:15" s="60" customFormat="1" ht="39" customHeight="1" x14ac:dyDescent="0.25">
      <c r="A19" s="10"/>
      <c r="D19" s="12">
        <v>0.86</v>
      </c>
      <c r="E19" s="94" t="s">
        <v>9</v>
      </c>
      <c r="F19" s="94"/>
      <c r="G19" s="94"/>
      <c r="H19" s="94"/>
      <c r="I19" s="94"/>
      <c r="J19" s="94"/>
      <c r="K19" s="94"/>
      <c r="L19" s="94"/>
      <c r="M19" s="94"/>
      <c r="N19" s="94"/>
    </row>
    <row r="20" spans="1:15" ht="55.5" customHeight="1" x14ac:dyDescent="0.25">
      <c r="B20" s="13">
        <f>B11*B15/B16</f>
        <v>101933.33333333333</v>
      </c>
      <c r="C20" s="94" t="s">
        <v>65</v>
      </c>
      <c r="D20" s="94"/>
      <c r="E20" s="94"/>
      <c r="F20" s="94"/>
      <c r="G20" s="94"/>
      <c r="H20" s="94"/>
      <c r="I20" s="94"/>
      <c r="J20" s="94"/>
      <c r="K20" s="94"/>
      <c r="L20" s="94"/>
      <c r="M20" s="94"/>
      <c r="N20" s="94"/>
      <c r="O20" s="28">
        <f>B20/regional_gsl_gallons</f>
        <v>0.13451589593353144</v>
      </c>
    </row>
    <row r="21" spans="1:15" ht="55.5" customHeight="1" x14ac:dyDescent="0.25">
      <c r="A21" s="1">
        <v>4</v>
      </c>
      <c r="B21" s="14">
        <v>0.09</v>
      </c>
      <c r="C21" s="95" t="s">
        <v>66</v>
      </c>
      <c r="D21" s="94"/>
      <c r="E21" s="94"/>
      <c r="F21" s="94"/>
      <c r="G21" s="94"/>
      <c r="H21" s="94"/>
      <c r="I21" s="94"/>
      <c r="J21" s="94"/>
      <c r="K21" s="94"/>
      <c r="L21" s="94"/>
      <c r="M21" s="94"/>
      <c r="N21" s="94"/>
      <c r="O21" s="64">
        <f>B21*O20</f>
        <v>1.2106430634017829E-2</v>
      </c>
    </row>
    <row r="22" spans="1:15" ht="39" customHeight="1" x14ac:dyDescent="0.25">
      <c r="B22" s="13">
        <f>(1-B21)*B20</f>
        <v>92759.333333333328</v>
      </c>
      <c r="C22" s="94" t="s">
        <v>54</v>
      </c>
      <c r="D22" s="94"/>
      <c r="E22" s="94"/>
      <c r="F22" s="94"/>
      <c r="G22" s="94"/>
      <c r="H22" s="94"/>
      <c r="I22" s="94"/>
      <c r="J22" s="94"/>
      <c r="K22" s="94"/>
      <c r="L22" s="94"/>
      <c r="M22" s="94"/>
      <c r="N22" s="94"/>
    </row>
    <row r="23" spans="1:15" ht="39" customHeight="1" x14ac:dyDescent="0.25">
      <c r="B23" s="13">
        <f>fossilBtu</f>
        <v>121258.5</v>
      </c>
      <c r="C23" s="94" t="s">
        <v>10</v>
      </c>
      <c r="D23" s="94"/>
      <c r="E23" s="94"/>
      <c r="F23" s="94"/>
      <c r="G23" s="94"/>
      <c r="H23" s="94"/>
      <c r="I23" s="94"/>
      <c r="J23" s="94"/>
      <c r="K23" s="94"/>
      <c r="L23" s="94"/>
      <c r="M23" s="94"/>
      <c r="N23" s="94"/>
    </row>
    <row r="24" spans="1:15" ht="39" customHeight="1" x14ac:dyDescent="0.25">
      <c r="B24" s="13">
        <f>B22*B23/1000000</f>
        <v>11247.857620999999</v>
      </c>
      <c r="C24" s="94" t="s">
        <v>11</v>
      </c>
      <c r="D24" s="94"/>
      <c r="E24" s="94"/>
      <c r="F24" s="94"/>
      <c r="G24" s="94"/>
      <c r="H24" s="94"/>
      <c r="I24" s="94"/>
      <c r="J24" s="94"/>
      <c r="K24" s="94"/>
      <c r="L24" s="94"/>
      <c r="M24" s="94"/>
      <c r="N24" s="94"/>
    </row>
    <row r="25" spans="1:15" ht="39" customHeight="1" x14ac:dyDescent="0.25">
      <c r="B25" s="13">
        <f>B20-B22</f>
        <v>9174</v>
      </c>
      <c r="C25" s="94" t="s">
        <v>55</v>
      </c>
      <c r="D25" s="94"/>
      <c r="E25" s="94"/>
      <c r="F25" s="94"/>
      <c r="G25" s="94"/>
      <c r="H25" s="94"/>
      <c r="I25" s="94"/>
      <c r="J25" s="94"/>
      <c r="K25" s="94"/>
      <c r="L25" s="94"/>
      <c r="M25" s="94"/>
      <c r="N25" s="94"/>
    </row>
    <row r="26" spans="1:15" ht="39" customHeight="1" x14ac:dyDescent="0.25">
      <c r="B26" s="13">
        <v>84710</v>
      </c>
      <c r="C26" s="94" t="s">
        <v>12</v>
      </c>
      <c r="D26" s="94"/>
      <c r="E26" s="94"/>
      <c r="F26" s="94"/>
      <c r="G26" s="94"/>
      <c r="H26" s="94"/>
      <c r="I26" s="94"/>
      <c r="J26" s="94"/>
      <c r="K26" s="94"/>
      <c r="L26" s="94"/>
      <c r="M26" s="94"/>
      <c r="N26" s="94"/>
    </row>
    <row r="27" spans="1:15" ht="39" customHeight="1" x14ac:dyDescent="0.25">
      <c r="B27" s="13">
        <f>B25*B26/1000000</f>
        <v>777.12954000000002</v>
      </c>
      <c r="C27" s="94" t="s">
        <v>13</v>
      </c>
      <c r="D27" s="94"/>
      <c r="E27" s="94"/>
      <c r="F27" s="94"/>
      <c r="G27" s="94"/>
      <c r="H27" s="94"/>
      <c r="I27" s="94"/>
      <c r="J27" s="94"/>
      <c r="K27" s="94"/>
      <c r="L27" s="94"/>
      <c r="M27" s="94"/>
      <c r="N27" s="94"/>
    </row>
    <row r="28" spans="1:15" ht="39" customHeight="1" x14ac:dyDescent="0.25">
      <c r="B28" s="3">
        <f>B24+B27</f>
        <v>12024.987160999999</v>
      </c>
      <c r="C28" s="93" t="s">
        <v>56</v>
      </c>
      <c r="D28" s="94"/>
      <c r="E28" s="94"/>
      <c r="F28" s="94"/>
      <c r="G28" s="94"/>
      <c r="H28" s="94"/>
      <c r="I28" s="94"/>
      <c r="J28" s="94"/>
      <c r="K28" s="94"/>
      <c r="L28" s="94"/>
      <c r="M28" s="94"/>
      <c r="N28" s="94"/>
    </row>
    <row r="29" spans="1:15" x14ac:dyDescent="0.25">
      <c r="B29" s="7"/>
    </row>
    <row r="30" spans="1:15" x14ac:dyDescent="0.25">
      <c r="B30" s="7"/>
      <c r="C30" s="4" t="s">
        <v>14</v>
      </c>
    </row>
    <row r="31" spans="1:15" x14ac:dyDescent="0.25">
      <c r="B31" s="7"/>
      <c r="C31" s="4"/>
    </row>
    <row r="32" spans="1:15" x14ac:dyDescent="0.25">
      <c r="B32" s="7" t="s">
        <v>15</v>
      </c>
      <c r="C32" s="5"/>
    </row>
    <row r="33" spans="1:15" x14ac:dyDescent="0.25">
      <c r="B33" s="7"/>
      <c r="C33" s="5"/>
    </row>
    <row r="34" spans="1:15" ht="39" customHeight="1" x14ac:dyDescent="0.25">
      <c r="A34" s="1">
        <v>1</v>
      </c>
      <c r="B34" s="15">
        <v>200</v>
      </c>
      <c r="C34" s="95" t="s">
        <v>67</v>
      </c>
      <c r="D34" s="94"/>
      <c r="E34" s="94"/>
      <c r="F34" s="94"/>
      <c r="G34" s="94"/>
      <c r="H34" s="94"/>
      <c r="I34" s="94"/>
      <c r="J34" s="94"/>
      <c r="K34" s="94"/>
      <c r="L34" s="94"/>
      <c r="M34" s="94"/>
      <c r="O34" s="28">
        <f>B34/regional_ev_count</f>
        <v>0.10526315789473684</v>
      </c>
    </row>
    <row r="35" spans="1:15" ht="39" customHeight="1" x14ac:dyDescent="0.25">
      <c r="B35" s="16"/>
      <c r="C35" s="16"/>
      <c r="D35" s="9" t="s">
        <v>2</v>
      </c>
      <c r="E35" s="17" t="s">
        <v>16</v>
      </c>
      <c r="F35" s="16"/>
      <c r="G35" s="16"/>
      <c r="H35" s="16"/>
      <c r="I35" s="16"/>
      <c r="J35" s="16"/>
      <c r="K35" s="16"/>
      <c r="L35" s="16"/>
      <c r="M35" s="16"/>
      <c r="N35" s="16"/>
    </row>
    <row r="36" spans="1:15" ht="39" customHeight="1" x14ac:dyDescent="0.25">
      <c r="B36" s="15">
        <v>10000</v>
      </c>
      <c r="C36" s="94" t="s">
        <v>388</v>
      </c>
      <c r="D36" s="94"/>
      <c r="E36" s="94"/>
      <c r="F36" s="94"/>
      <c r="G36" s="94"/>
      <c r="H36" s="94"/>
      <c r="I36" s="94"/>
      <c r="J36" s="94"/>
      <c r="K36" s="94"/>
      <c r="L36" s="94"/>
      <c r="M36" s="94"/>
      <c r="N36" s="94"/>
      <c r="O36" s="19">
        <f>B36*O34</f>
        <v>1052.6315789473683</v>
      </c>
    </row>
    <row r="37" spans="1:15" ht="39" customHeight="1" x14ac:dyDescent="0.25">
      <c r="B37" s="13">
        <v>3</v>
      </c>
      <c r="C37" s="97" t="s">
        <v>17</v>
      </c>
      <c r="D37" s="97"/>
      <c r="E37" s="97"/>
      <c r="F37" s="97"/>
      <c r="G37" s="97"/>
      <c r="H37" s="97"/>
      <c r="I37" s="97"/>
      <c r="J37" s="97"/>
      <c r="K37" s="97"/>
      <c r="L37" s="97"/>
      <c r="M37" s="97"/>
      <c r="N37" s="97"/>
    </row>
    <row r="38" spans="1:15" ht="39" customHeight="1" x14ac:dyDescent="0.25">
      <c r="B38" s="13">
        <f>B34*B36/B37</f>
        <v>666666.66666666663</v>
      </c>
      <c r="C38" s="97" t="s">
        <v>57</v>
      </c>
      <c r="D38" s="97"/>
      <c r="E38" s="97"/>
      <c r="F38" s="97"/>
      <c r="G38" s="97"/>
      <c r="H38" s="97"/>
      <c r="I38" s="97"/>
      <c r="J38" s="97"/>
      <c r="K38" s="97"/>
      <c r="L38" s="97"/>
      <c r="M38" s="97"/>
      <c r="N38" s="97"/>
    </row>
    <row r="39" spans="1:15" ht="39" customHeight="1" x14ac:dyDescent="0.25">
      <c r="B39" s="13">
        <v>3412</v>
      </c>
      <c r="C39" s="97" t="s">
        <v>18</v>
      </c>
      <c r="D39" s="97"/>
      <c r="E39" s="97"/>
      <c r="F39" s="97"/>
      <c r="G39" s="97"/>
      <c r="H39" s="97"/>
      <c r="I39" s="97"/>
      <c r="J39" s="97"/>
      <c r="K39" s="97"/>
      <c r="L39" s="97"/>
      <c r="M39" s="97"/>
      <c r="N39" s="97"/>
    </row>
    <row r="40" spans="1:15" ht="39" customHeight="1" x14ac:dyDescent="0.25">
      <c r="B40" s="3">
        <f>B38*B39/1000000</f>
        <v>2274.6666666666665</v>
      </c>
      <c r="C40" s="99" t="s">
        <v>19</v>
      </c>
      <c r="D40" s="97"/>
      <c r="E40" s="97"/>
      <c r="F40" s="97"/>
      <c r="G40" s="97"/>
      <c r="H40" s="97"/>
      <c r="I40" s="97"/>
      <c r="J40" s="97"/>
      <c r="K40" s="97"/>
      <c r="L40" s="97"/>
      <c r="M40" s="97"/>
      <c r="N40" s="97"/>
    </row>
    <row r="41" spans="1:15" x14ac:dyDescent="0.25">
      <c r="B41" s="7"/>
    </row>
    <row r="43" spans="1:15" x14ac:dyDescent="0.25">
      <c r="C43" s="5"/>
    </row>
    <row r="45" spans="1:15" x14ac:dyDescent="0.25">
      <c r="B45" s="7"/>
    </row>
    <row r="50" spans="2:2" x14ac:dyDescent="0.25">
      <c r="B50" s="7"/>
    </row>
    <row r="52" spans="2:2" x14ac:dyDescent="0.25">
      <c r="B52" s="7"/>
    </row>
    <row r="54" spans="2:2" x14ac:dyDescent="0.25">
      <c r="B54" s="18"/>
    </row>
    <row r="55" spans="2:2" x14ac:dyDescent="0.25">
      <c r="B55" s="18"/>
    </row>
    <row r="56" spans="2:2" x14ac:dyDescent="0.25">
      <c r="B56" s="18"/>
    </row>
    <row r="70" spans="2:2" x14ac:dyDescent="0.25">
      <c r="B70" s="7"/>
    </row>
  </sheetData>
  <mergeCells count="31">
    <mergeCell ref="C40:N40"/>
    <mergeCell ref="C28:N28"/>
    <mergeCell ref="C34:M34"/>
    <mergeCell ref="C36:N36"/>
    <mergeCell ref="C37:N37"/>
    <mergeCell ref="C38:N38"/>
    <mergeCell ref="C39:N39"/>
    <mergeCell ref="C22:N22"/>
    <mergeCell ref="C23:N23"/>
    <mergeCell ref="C24:N24"/>
    <mergeCell ref="C25:N25"/>
    <mergeCell ref="C26:N26"/>
    <mergeCell ref="C27:N27"/>
    <mergeCell ref="C16:N16"/>
    <mergeCell ref="E17:N17"/>
    <mergeCell ref="E18:N18"/>
    <mergeCell ref="E19:N19"/>
    <mergeCell ref="C20:N20"/>
    <mergeCell ref="C21:N21"/>
    <mergeCell ref="E12:F12"/>
    <mergeCell ref="G12:N12"/>
    <mergeCell ref="E13:F13"/>
    <mergeCell ref="G13:N13"/>
    <mergeCell ref="E14:N14"/>
    <mergeCell ref="C15:N15"/>
    <mergeCell ref="B3:L3"/>
    <mergeCell ref="M3:N3"/>
    <mergeCell ref="B4:N4"/>
    <mergeCell ref="B5:M5"/>
    <mergeCell ref="C7:N7"/>
    <mergeCell ref="C11:N11"/>
  </mergeCells>
  <dataValidations count="1">
    <dataValidation type="list" allowBlank="1" showInputMessage="1" showErrorMessage="1" sqref="M3:N3">
      <formula1>INDIRECT("town_population[Municipality]")</formula1>
    </dataValidation>
  </dataValidations>
  <hyperlinks>
    <hyperlink ref="E12" r:id="rId1" display="Census data"/>
    <hyperlink ref="E35" r:id="rId2"/>
  </hyperlinks>
  <pageMargins left="0.7" right="0.7" top="0.75" bottom="0.75" header="0.3" footer="0.3"/>
  <pageSetup paperSize="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autoPageBreaks="0"/>
  </sheetPr>
  <dimension ref="A1:O70"/>
  <sheetViews>
    <sheetView zoomScale="70" zoomScaleNormal="70" workbookViewId="0"/>
  </sheetViews>
  <sheetFormatPr defaultRowHeight="15" x14ac:dyDescent="0.25"/>
  <cols>
    <col min="1" max="1" width="2.5703125" style="1" bestFit="1" customWidth="1"/>
    <col min="2" max="14" width="15.85546875" customWidth="1"/>
    <col min="15" max="15" width="12.5703125" customWidth="1"/>
  </cols>
  <sheetData>
    <row r="1" spans="1:15" ht="21" x14ac:dyDescent="0.35">
      <c r="B1" s="20" t="s">
        <v>0</v>
      </c>
    </row>
    <row r="2" spans="1:15" ht="14.25" customHeight="1" x14ac:dyDescent="0.3">
      <c r="B2" s="2"/>
    </row>
    <row r="3" spans="1:15" ht="23.25" customHeight="1" x14ac:dyDescent="0.25">
      <c r="B3" s="86" t="s">
        <v>382</v>
      </c>
      <c r="C3" s="87"/>
      <c r="D3" s="87"/>
      <c r="E3" s="87"/>
      <c r="F3" s="87"/>
      <c r="G3" s="87"/>
      <c r="H3" s="87"/>
      <c r="I3" s="87"/>
      <c r="J3" s="87"/>
      <c r="K3" s="87"/>
      <c r="L3" s="110"/>
      <c r="M3" s="122" t="s">
        <v>264</v>
      </c>
      <c r="N3" s="123"/>
    </row>
    <row r="4" spans="1:15" ht="23.25" customHeight="1" x14ac:dyDescent="0.25">
      <c r="B4" s="88" t="s">
        <v>383</v>
      </c>
      <c r="C4" s="89"/>
      <c r="D4" s="89"/>
      <c r="E4" s="89"/>
      <c r="F4" s="89"/>
      <c r="G4" s="89"/>
      <c r="H4" s="89"/>
      <c r="I4" s="89"/>
      <c r="J4" s="89"/>
      <c r="K4" s="89"/>
      <c r="L4" s="89"/>
      <c r="M4" s="89"/>
      <c r="N4" s="90"/>
    </row>
    <row r="5" spans="1:15" ht="23.25" customHeight="1" x14ac:dyDescent="0.25">
      <c r="B5" s="91" t="s">
        <v>381</v>
      </c>
      <c r="C5" s="92"/>
      <c r="D5" s="92"/>
      <c r="E5" s="92"/>
      <c r="F5" s="92"/>
      <c r="G5" s="92"/>
      <c r="H5" s="92"/>
      <c r="I5" s="92"/>
      <c r="J5" s="92"/>
      <c r="K5" s="92"/>
      <c r="L5" s="92"/>
      <c r="M5" s="111"/>
      <c r="N5" s="76" t="s">
        <v>372</v>
      </c>
    </row>
    <row r="7" spans="1:15" ht="40.5" customHeight="1" x14ac:dyDescent="0.25">
      <c r="B7" s="3">
        <f>SUM(B28,B40)</f>
        <v>11877.044179166667</v>
      </c>
      <c r="C7" s="93" t="s">
        <v>384</v>
      </c>
      <c r="D7" s="94"/>
      <c r="E7" s="94"/>
      <c r="F7" s="94"/>
      <c r="G7" s="94"/>
      <c r="H7" s="94"/>
      <c r="I7" s="94"/>
      <c r="J7" s="94"/>
      <c r="K7" s="94"/>
      <c r="L7" s="94"/>
      <c r="M7" s="94"/>
      <c r="N7" s="94"/>
      <c r="O7" s="112">
        <f>B7/regional_ldv_mmbtu</f>
        <v>0.10748120643183331</v>
      </c>
    </row>
    <row r="9" spans="1:15" ht="18.75" x14ac:dyDescent="0.3">
      <c r="C9" s="2" t="s">
        <v>1</v>
      </c>
    </row>
    <row r="10" spans="1:15" x14ac:dyDescent="0.25">
      <c r="C10" s="5"/>
    </row>
    <row r="11" spans="1:15" ht="39" customHeight="1" x14ac:dyDescent="0.25">
      <c r="A11" s="1">
        <v>1</v>
      </c>
      <c r="B11" s="115">
        <f>IF(ISNA(INDEX(town_vehicles[Vehicles],MATCH(M3,town_vehicles[Municipality]))),0,INDEX(town_vehicles[Vehicles],MATCH(M3,town_vehicles[Municipality])))-B34</f>
        <v>89</v>
      </c>
      <c r="C11" s="113" t="s">
        <v>374</v>
      </c>
      <c r="D11" s="94"/>
      <c r="E11" s="94"/>
      <c r="F11" s="94"/>
      <c r="G11" s="94"/>
      <c r="H11" s="94"/>
      <c r="I11" s="94"/>
      <c r="J11" s="94"/>
      <c r="K11" s="94"/>
      <c r="L11" s="94"/>
      <c r="M11" s="94"/>
      <c r="N11" s="94"/>
      <c r="O11" s="28">
        <f>B11/regional_ldv_count</f>
        <v>5.9731543624161075E-2</v>
      </c>
    </row>
    <row r="12" spans="1:15" ht="39" customHeight="1" x14ac:dyDescent="0.25">
      <c r="B12" s="7"/>
      <c r="C12" s="8"/>
      <c r="D12" s="9" t="s">
        <v>386</v>
      </c>
      <c r="E12" s="96" t="s">
        <v>3</v>
      </c>
      <c r="F12" s="96"/>
      <c r="G12" s="97" t="s">
        <v>385</v>
      </c>
      <c r="H12" s="97"/>
      <c r="I12" s="97"/>
      <c r="J12" s="97"/>
      <c r="K12" s="97"/>
      <c r="L12" s="97"/>
      <c r="M12" s="97"/>
      <c r="N12" s="97"/>
    </row>
    <row r="13" spans="1:15" ht="39" customHeight="1" x14ac:dyDescent="0.25">
      <c r="B13" s="7"/>
      <c r="C13" s="8"/>
      <c r="D13" s="9" t="s">
        <v>5</v>
      </c>
      <c r="E13" s="97" t="s">
        <v>4</v>
      </c>
      <c r="F13" s="97"/>
      <c r="G13" s="94" t="s">
        <v>387</v>
      </c>
      <c r="H13" s="94"/>
      <c r="I13" s="94"/>
      <c r="J13" s="94"/>
      <c r="K13" s="94"/>
      <c r="L13" s="94"/>
      <c r="M13" s="94"/>
      <c r="N13" s="94"/>
    </row>
    <row r="14" spans="1:15" ht="39" customHeight="1" x14ac:dyDescent="0.25">
      <c r="B14" s="7"/>
      <c r="C14" s="8"/>
      <c r="D14" s="9" t="s">
        <v>5</v>
      </c>
      <c r="E14" s="97" t="s">
        <v>6</v>
      </c>
      <c r="F14" s="97"/>
      <c r="G14" s="97"/>
      <c r="H14" s="97"/>
      <c r="I14" s="97"/>
      <c r="J14" s="97"/>
      <c r="K14" s="97"/>
      <c r="L14" s="97"/>
      <c r="M14" s="97"/>
      <c r="N14" s="97"/>
    </row>
    <row r="15" spans="1:15" ht="48.75" customHeight="1" x14ac:dyDescent="0.25">
      <c r="A15" s="1">
        <v>2</v>
      </c>
      <c r="B15" s="6">
        <v>12500</v>
      </c>
      <c r="C15" s="95" t="s">
        <v>63</v>
      </c>
      <c r="D15" s="94"/>
      <c r="E15" s="94"/>
      <c r="F15" s="94"/>
      <c r="G15" s="94"/>
      <c r="H15" s="94"/>
      <c r="I15" s="94"/>
      <c r="J15" s="94"/>
      <c r="K15" s="94"/>
      <c r="L15" s="94"/>
      <c r="M15" s="94"/>
      <c r="N15" s="94"/>
      <c r="O15" s="19">
        <f>B15*O11</f>
        <v>746.64429530201346</v>
      </c>
    </row>
    <row r="16" spans="1:15" ht="60.75" customHeight="1" x14ac:dyDescent="0.25">
      <c r="A16" s="1">
        <v>3</v>
      </c>
      <c r="B16" s="6">
        <v>15</v>
      </c>
      <c r="C16" s="95" t="s">
        <v>64</v>
      </c>
      <c r="D16" s="94"/>
      <c r="E16" s="94"/>
      <c r="F16" s="94"/>
      <c r="G16" s="94"/>
      <c r="H16" s="94"/>
      <c r="I16" s="94"/>
      <c r="J16" s="94"/>
      <c r="K16" s="94"/>
      <c r="L16" s="94"/>
      <c r="M16" s="94"/>
      <c r="N16" s="94"/>
      <c r="O16" s="63">
        <f>B16*O11</f>
        <v>0.89597315436241609</v>
      </c>
    </row>
    <row r="17" spans="1:15" s="60" customFormat="1" ht="39" customHeight="1" x14ac:dyDescent="0.25">
      <c r="A17" s="10"/>
      <c r="D17" s="12">
        <v>0.4</v>
      </c>
      <c r="E17" s="85" t="s">
        <v>7</v>
      </c>
      <c r="F17" s="85"/>
      <c r="G17" s="85"/>
      <c r="H17" s="85"/>
      <c r="I17" s="85"/>
      <c r="J17" s="85"/>
      <c r="K17" s="85"/>
      <c r="L17" s="85"/>
      <c r="M17" s="85"/>
      <c r="N17" s="85"/>
    </row>
    <row r="18" spans="1:15" s="60" customFormat="1" ht="39" customHeight="1" x14ac:dyDescent="0.25">
      <c r="A18" s="10"/>
      <c r="D18" s="12">
        <f>150000/583770</f>
        <v>0.25695051133151753</v>
      </c>
      <c r="E18" s="94" t="s">
        <v>8</v>
      </c>
      <c r="F18" s="94"/>
      <c r="G18" s="94"/>
      <c r="H18" s="94"/>
      <c r="I18" s="94"/>
      <c r="J18" s="94"/>
      <c r="K18" s="94"/>
      <c r="L18" s="94"/>
      <c r="M18" s="94"/>
      <c r="N18" s="94"/>
    </row>
    <row r="19" spans="1:15" s="60" customFormat="1" ht="39" customHeight="1" x14ac:dyDescent="0.25">
      <c r="A19" s="10"/>
      <c r="D19" s="12">
        <v>0.86</v>
      </c>
      <c r="E19" s="94" t="s">
        <v>9</v>
      </c>
      <c r="F19" s="94"/>
      <c r="G19" s="94"/>
      <c r="H19" s="94"/>
      <c r="I19" s="94"/>
      <c r="J19" s="94"/>
      <c r="K19" s="94"/>
      <c r="L19" s="94"/>
      <c r="M19" s="94"/>
      <c r="N19" s="94"/>
    </row>
    <row r="20" spans="1:15" ht="55.5" customHeight="1" x14ac:dyDescent="0.25">
      <c r="B20" s="13">
        <f>B11*B15/B16</f>
        <v>74166.666666666672</v>
      </c>
      <c r="C20" s="94" t="s">
        <v>65</v>
      </c>
      <c r="D20" s="94"/>
      <c r="E20" s="94"/>
      <c r="F20" s="94"/>
      <c r="G20" s="94"/>
      <c r="H20" s="94"/>
      <c r="I20" s="94"/>
      <c r="J20" s="94"/>
      <c r="K20" s="94"/>
      <c r="L20" s="94"/>
      <c r="M20" s="94"/>
      <c r="N20" s="94"/>
      <c r="O20" s="28">
        <f>B20/regional_gsl_gallons</f>
        <v>9.7873730690682642E-2</v>
      </c>
    </row>
    <row r="21" spans="1:15" ht="55.5" customHeight="1" x14ac:dyDescent="0.25">
      <c r="A21" s="1">
        <v>4</v>
      </c>
      <c r="B21" s="14">
        <v>0.09</v>
      </c>
      <c r="C21" s="95" t="s">
        <v>66</v>
      </c>
      <c r="D21" s="94"/>
      <c r="E21" s="94"/>
      <c r="F21" s="94"/>
      <c r="G21" s="94"/>
      <c r="H21" s="94"/>
      <c r="I21" s="94"/>
      <c r="J21" s="94"/>
      <c r="K21" s="94"/>
      <c r="L21" s="94"/>
      <c r="M21" s="94"/>
      <c r="N21" s="94"/>
      <c r="O21" s="64">
        <f>B21*O20</f>
        <v>8.8086357621614368E-3</v>
      </c>
    </row>
    <row r="22" spans="1:15" ht="39" customHeight="1" x14ac:dyDescent="0.25">
      <c r="B22" s="13">
        <f>(1-B21)*B20</f>
        <v>67491.666666666672</v>
      </c>
      <c r="C22" s="94" t="s">
        <v>54</v>
      </c>
      <c r="D22" s="94"/>
      <c r="E22" s="94"/>
      <c r="F22" s="94"/>
      <c r="G22" s="94"/>
      <c r="H22" s="94"/>
      <c r="I22" s="94"/>
      <c r="J22" s="94"/>
      <c r="K22" s="94"/>
      <c r="L22" s="94"/>
      <c r="M22" s="94"/>
      <c r="N22" s="94"/>
    </row>
    <row r="23" spans="1:15" ht="39" customHeight="1" x14ac:dyDescent="0.25">
      <c r="B23" s="13">
        <f>fossilBtu</f>
        <v>121258.5</v>
      </c>
      <c r="C23" s="94" t="s">
        <v>10</v>
      </c>
      <c r="D23" s="94"/>
      <c r="E23" s="94"/>
      <c r="F23" s="94"/>
      <c r="G23" s="94"/>
      <c r="H23" s="94"/>
      <c r="I23" s="94"/>
      <c r="J23" s="94"/>
      <c r="K23" s="94"/>
      <c r="L23" s="94"/>
      <c r="M23" s="94"/>
      <c r="N23" s="94"/>
    </row>
    <row r="24" spans="1:15" ht="39" customHeight="1" x14ac:dyDescent="0.25">
      <c r="B24" s="13">
        <f>B22*B23/1000000</f>
        <v>8183.9382625000007</v>
      </c>
      <c r="C24" s="94" t="s">
        <v>11</v>
      </c>
      <c r="D24" s="94"/>
      <c r="E24" s="94"/>
      <c r="F24" s="94"/>
      <c r="G24" s="94"/>
      <c r="H24" s="94"/>
      <c r="I24" s="94"/>
      <c r="J24" s="94"/>
      <c r="K24" s="94"/>
      <c r="L24" s="94"/>
      <c r="M24" s="94"/>
      <c r="N24" s="94"/>
    </row>
    <row r="25" spans="1:15" ht="39" customHeight="1" x14ac:dyDescent="0.25">
      <c r="B25" s="13">
        <f>B20-B22</f>
        <v>6675</v>
      </c>
      <c r="C25" s="94" t="s">
        <v>55</v>
      </c>
      <c r="D25" s="94"/>
      <c r="E25" s="94"/>
      <c r="F25" s="94"/>
      <c r="G25" s="94"/>
      <c r="H25" s="94"/>
      <c r="I25" s="94"/>
      <c r="J25" s="94"/>
      <c r="K25" s="94"/>
      <c r="L25" s="94"/>
      <c r="M25" s="94"/>
      <c r="N25" s="94"/>
    </row>
    <row r="26" spans="1:15" ht="39" customHeight="1" x14ac:dyDescent="0.25">
      <c r="B26" s="13">
        <v>84710</v>
      </c>
      <c r="C26" s="94" t="s">
        <v>12</v>
      </c>
      <c r="D26" s="94"/>
      <c r="E26" s="94"/>
      <c r="F26" s="94"/>
      <c r="G26" s="94"/>
      <c r="H26" s="94"/>
      <c r="I26" s="94"/>
      <c r="J26" s="94"/>
      <c r="K26" s="94"/>
      <c r="L26" s="94"/>
      <c r="M26" s="94"/>
      <c r="N26" s="94"/>
    </row>
    <row r="27" spans="1:15" ht="39" customHeight="1" x14ac:dyDescent="0.25">
      <c r="B27" s="13">
        <f>B25*B26/1000000</f>
        <v>565.43925000000002</v>
      </c>
      <c r="C27" s="94" t="s">
        <v>13</v>
      </c>
      <c r="D27" s="94"/>
      <c r="E27" s="94"/>
      <c r="F27" s="94"/>
      <c r="G27" s="94"/>
      <c r="H27" s="94"/>
      <c r="I27" s="94"/>
      <c r="J27" s="94"/>
      <c r="K27" s="94"/>
      <c r="L27" s="94"/>
      <c r="M27" s="94"/>
      <c r="N27" s="94"/>
    </row>
    <row r="28" spans="1:15" ht="39" customHeight="1" x14ac:dyDescent="0.25">
      <c r="B28" s="3">
        <f>B24+B27</f>
        <v>8749.3775125000011</v>
      </c>
      <c r="C28" s="93" t="s">
        <v>56</v>
      </c>
      <c r="D28" s="94"/>
      <c r="E28" s="94"/>
      <c r="F28" s="94"/>
      <c r="G28" s="94"/>
      <c r="H28" s="94"/>
      <c r="I28" s="94"/>
      <c r="J28" s="94"/>
      <c r="K28" s="94"/>
      <c r="L28" s="94"/>
      <c r="M28" s="94"/>
      <c r="N28" s="94"/>
    </row>
    <row r="29" spans="1:15" x14ac:dyDescent="0.25">
      <c r="B29" s="7"/>
    </row>
    <row r="30" spans="1:15" x14ac:dyDescent="0.25">
      <c r="B30" s="7"/>
      <c r="C30" s="4" t="s">
        <v>14</v>
      </c>
    </row>
    <row r="31" spans="1:15" x14ac:dyDescent="0.25">
      <c r="B31" s="7"/>
      <c r="C31" s="4"/>
    </row>
    <row r="32" spans="1:15" x14ac:dyDescent="0.25">
      <c r="B32" s="7" t="s">
        <v>15</v>
      </c>
      <c r="C32" s="5"/>
    </row>
    <row r="33" spans="1:15" x14ac:dyDescent="0.25">
      <c r="B33" s="7"/>
      <c r="C33" s="5"/>
    </row>
    <row r="34" spans="1:15" ht="39" customHeight="1" x14ac:dyDescent="0.25">
      <c r="A34" s="1">
        <v>1</v>
      </c>
      <c r="B34" s="15">
        <v>250</v>
      </c>
      <c r="C34" s="95" t="s">
        <v>67</v>
      </c>
      <c r="D34" s="94"/>
      <c r="E34" s="94"/>
      <c r="F34" s="94"/>
      <c r="G34" s="94"/>
      <c r="H34" s="94"/>
      <c r="I34" s="94"/>
      <c r="J34" s="94"/>
      <c r="K34" s="94"/>
      <c r="L34" s="94"/>
      <c r="M34" s="94"/>
      <c r="O34" s="28">
        <f>B34/regional_ev_count</f>
        <v>0.13157894736842105</v>
      </c>
    </row>
    <row r="35" spans="1:15" ht="39" customHeight="1" x14ac:dyDescent="0.25">
      <c r="B35" s="16"/>
      <c r="C35" s="16"/>
      <c r="D35" s="9" t="s">
        <v>2</v>
      </c>
      <c r="E35" s="17" t="s">
        <v>16</v>
      </c>
      <c r="F35" s="16"/>
      <c r="G35" s="16"/>
      <c r="H35" s="16"/>
      <c r="I35" s="16"/>
      <c r="J35" s="16"/>
      <c r="K35" s="16"/>
      <c r="L35" s="16"/>
      <c r="M35" s="16"/>
      <c r="N35" s="16"/>
    </row>
    <row r="36" spans="1:15" ht="39" customHeight="1" x14ac:dyDescent="0.25">
      <c r="B36" s="15">
        <v>11000</v>
      </c>
      <c r="C36" s="94" t="s">
        <v>388</v>
      </c>
      <c r="D36" s="94"/>
      <c r="E36" s="94"/>
      <c r="F36" s="94"/>
      <c r="G36" s="94"/>
      <c r="H36" s="94"/>
      <c r="I36" s="94"/>
      <c r="J36" s="94"/>
      <c r="K36" s="94"/>
      <c r="L36" s="94"/>
      <c r="M36" s="94"/>
      <c r="N36" s="94"/>
      <c r="O36" s="19">
        <f>B36*O34</f>
        <v>1447.3684210526314</v>
      </c>
    </row>
    <row r="37" spans="1:15" ht="39" customHeight="1" x14ac:dyDescent="0.25">
      <c r="B37" s="13">
        <v>3</v>
      </c>
      <c r="C37" s="97" t="s">
        <v>17</v>
      </c>
      <c r="D37" s="97"/>
      <c r="E37" s="97"/>
      <c r="F37" s="97"/>
      <c r="G37" s="97"/>
      <c r="H37" s="97"/>
      <c r="I37" s="97"/>
      <c r="J37" s="97"/>
      <c r="K37" s="97"/>
      <c r="L37" s="97"/>
      <c r="M37" s="97"/>
      <c r="N37" s="97"/>
    </row>
    <row r="38" spans="1:15" ht="39" customHeight="1" x14ac:dyDescent="0.25">
      <c r="B38" s="13">
        <f>B34*B36/B37</f>
        <v>916666.66666666663</v>
      </c>
      <c r="C38" s="97" t="s">
        <v>57</v>
      </c>
      <c r="D38" s="97"/>
      <c r="E38" s="97"/>
      <c r="F38" s="97"/>
      <c r="G38" s="97"/>
      <c r="H38" s="97"/>
      <c r="I38" s="97"/>
      <c r="J38" s="97"/>
      <c r="K38" s="97"/>
      <c r="L38" s="97"/>
      <c r="M38" s="97"/>
      <c r="N38" s="97"/>
    </row>
    <row r="39" spans="1:15" ht="39" customHeight="1" x14ac:dyDescent="0.25">
      <c r="B39" s="13">
        <v>3412</v>
      </c>
      <c r="C39" s="97" t="s">
        <v>18</v>
      </c>
      <c r="D39" s="97"/>
      <c r="E39" s="97"/>
      <c r="F39" s="97"/>
      <c r="G39" s="97"/>
      <c r="H39" s="97"/>
      <c r="I39" s="97"/>
      <c r="J39" s="97"/>
      <c r="K39" s="97"/>
      <c r="L39" s="97"/>
      <c r="M39" s="97"/>
      <c r="N39" s="97"/>
    </row>
    <row r="40" spans="1:15" ht="39" customHeight="1" x14ac:dyDescent="0.25">
      <c r="B40" s="3">
        <f>B38*B39/1000000</f>
        <v>3127.6666666666665</v>
      </c>
      <c r="C40" s="99" t="s">
        <v>19</v>
      </c>
      <c r="D40" s="97"/>
      <c r="E40" s="97"/>
      <c r="F40" s="97"/>
      <c r="G40" s="97"/>
      <c r="H40" s="97"/>
      <c r="I40" s="97"/>
      <c r="J40" s="97"/>
      <c r="K40" s="97"/>
      <c r="L40" s="97"/>
      <c r="M40" s="97"/>
      <c r="N40" s="97"/>
    </row>
    <row r="41" spans="1:15" x14ac:dyDescent="0.25">
      <c r="B41" s="7"/>
    </row>
    <row r="43" spans="1:15" x14ac:dyDescent="0.25">
      <c r="C43" s="5"/>
    </row>
    <row r="45" spans="1:15" x14ac:dyDescent="0.25">
      <c r="B45" s="7"/>
    </row>
    <row r="50" spans="2:2" x14ac:dyDescent="0.25">
      <c r="B50" s="7"/>
    </row>
    <row r="52" spans="2:2" x14ac:dyDescent="0.25">
      <c r="B52" s="7"/>
    </row>
    <row r="54" spans="2:2" x14ac:dyDescent="0.25">
      <c r="B54" s="18"/>
    </row>
    <row r="55" spans="2:2" x14ac:dyDescent="0.25">
      <c r="B55" s="18"/>
    </row>
    <row r="56" spans="2:2" x14ac:dyDescent="0.25">
      <c r="B56" s="18"/>
    </row>
    <row r="70" spans="2:2" x14ac:dyDescent="0.25">
      <c r="B70" s="7"/>
    </row>
  </sheetData>
  <mergeCells count="31">
    <mergeCell ref="C40:N40"/>
    <mergeCell ref="C28:N28"/>
    <mergeCell ref="C34:M34"/>
    <mergeCell ref="C36:N36"/>
    <mergeCell ref="C37:N37"/>
    <mergeCell ref="C38:N38"/>
    <mergeCell ref="C39:N39"/>
    <mergeCell ref="C22:N22"/>
    <mergeCell ref="C23:N23"/>
    <mergeCell ref="C24:N24"/>
    <mergeCell ref="C25:N25"/>
    <mergeCell ref="C26:N26"/>
    <mergeCell ref="C27:N27"/>
    <mergeCell ref="C16:N16"/>
    <mergeCell ref="E17:N17"/>
    <mergeCell ref="E18:N18"/>
    <mergeCell ref="E19:N19"/>
    <mergeCell ref="C20:N20"/>
    <mergeCell ref="C21:N21"/>
    <mergeCell ref="E12:F12"/>
    <mergeCell ref="G12:N12"/>
    <mergeCell ref="E13:F13"/>
    <mergeCell ref="G13:N13"/>
    <mergeCell ref="E14:N14"/>
    <mergeCell ref="C15:N15"/>
    <mergeCell ref="B3:L3"/>
    <mergeCell ref="M3:N3"/>
    <mergeCell ref="B4:N4"/>
    <mergeCell ref="B5:M5"/>
    <mergeCell ref="C7:N7"/>
    <mergeCell ref="C11:N11"/>
  </mergeCells>
  <dataValidations count="1">
    <dataValidation type="list" allowBlank="1" showInputMessage="1" showErrorMessage="1" sqref="M3:N3">
      <formula1>INDIRECT("town_population[Municipality]")</formula1>
    </dataValidation>
  </dataValidations>
  <hyperlinks>
    <hyperlink ref="E12" r:id="rId1" display="Census data"/>
    <hyperlink ref="E35" r:id="rId2"/>
  </hyperlinks>
  <pageMargins left="0.7" right="0.7" top="0.75" bottom="0.75" header="0.3" footer="0.3"/>
  <pageSetup paperSize="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autoPageBreaks="0"/>
  </sheetPr>
  <dimension ref="A1:O70"/>
  <sheetViews>
    <sheetView zoomScale="70" zoomScaleNormal="70" workbookViewId="0"/>
  </sheetViews>
  <sheetFormatPr defaultRowHeight="15" x14ac:dyDescent="0.25"/>
  <cols>
    <col min="1" max="1" width="2.5703125" style="1" bestFit="1" customWidth="1"/>
    <col min="2" max="14" width="15.85546875" customWidth="1"/>
    <col min="15" max="15" width="12.5703125" customWidth="1"/>
  </cols>
  <sheetData>
    <row r="1" spans="1:15" ht="21" x14ac:dyDescent="0.35">
      <c r="B1" s="20" t="s">
        <v>0</v>
      </c>
    </row>
    <row r="2" spans="1:15" ht="14.25" customHeight="1" x14ac:dyDescent="0.3">
      <c r="B2" s="2"/>
    </row>
    <row r="3" spans="1:15" ht="23.25" customHeight="1" x14ac:dyDescent="0.25">
      <c r="B3" s="86" t="s">
        <v>382</v>
      </c>
      <c r="C3" s="87"/>
      <c r="D3" s="87"/>
      <c r="E3" s="87"/>
      <c r="F3" s="87"/>
      <c r="G3" s="87"/>
      <c r="H3" s="87"/>
      <c r="I3" s="87"/>
      <c r="J3" s="87"/>
      <c r="K3" s="87"/>
      <c r="L3" s="110"/>
      <c r="M3" s="122" t="s">
        <v>264</v>
      </c>
      <c r="N3" s="123"/>
    </row>
    <row r="4" spans="1:15" ht="23.25" customHeight="1" x14ac:dyDescent="0.25">
      <c r="B4" s="88" t="s">
        <v>383</v>
      </c>
      <c r="C4" s="89"/>
      <c r="D4" s="89"/>
      <c r="E4" s="89"/>
      <c r="F4" s="89"/>
      <c r="G4" s="89"/>
      <c r="H4" s="89"/>
      <c r="I4" s="89"/>
      <c r="J4" s="89"/>
      <c r="K4" s="89"/>
      <c r="L4" s="89"/>
      <c r="M4" s="89"/>
      <c r="N4" s="90"/>
    </row>
    <row r="5" spans="1:15" ht="23.25" customHeight="1" x14ac:dyDescent="0.25">
      <c r="B5" s="91" t="s">
        <v>381</v>
      </c>
      <c r="C5" s="92"/>
      <c r="D5" s="92"/>
      <c r="E5" s="92"/>
      <c r="F5" s="92"/>
      <c r="G5" s="92"/>
      <c r="H5" s="92"/>
      <c r="I5" s="92"/>
      <c r="J5" s="92"/>
      <c r="K5" s="92"/>
      <c r="L5" s="92"/>
      <c r="M5" s="111"/>
      <c r="N5" s="76" t="s">
        <v>372</v>
      </c>
    </row>
    <row r="7" spans="1:15" ht="40.5" customHeight="1" x14ac:dyDescent="0.25">
      <c r="B7" s="3">
        <f>SUM(B28,B40)</f>
        <v>6879.0887869318176</v>
      </c>
      <c r="C7" s="93" t="s">
        <v>384</v>
      </c>
      <c r="D7" s="94"/>
      <c r="E7" s="94"/>
      <c r="F7" s="94"/>
      <c r="G7" s="94"/>
      <c r="H7" s="94"/>
      <c r="I7" s="94"/>
      <c r="J7" s="94"/>
      <c r="K7" s="94"/>
      <c r="L7" s="94"/>
      <c r="M7" s="94"/>
      <c r="N7" s="94"/>
      <c r="O7" s="112">
        <f>B7/regional_ldv_mmbtu</f>
        <v>6.2252253238903529E-2</v>
      </c>
    </row>
    <row r="9" spans="1:15" ht="18.75" x14ac:dyDescent="0.3">
      <c r="C9" s="2" t="s">
        <v>1</v>
      </c>
    </row>
    <row r="10" spans="1:15" x14ac:dyDescent="0.25">
      <c r="C10" s="5"/>
    </row>
    <row r="11" spans="1:15" ht="39" customHeight="1" x14ac:dyDescent="0.25">
      <c r="A11" s="1">
        <v>1</v>
      </c>
      <c r="B11" s="115">
        <f>IF(ISNA(INDEX(town_vehicles[Vehicles],MATCH(M3,town_vehicles[Municipality]))),0,INDEX(town_vehicles[Vehicles],MATCH(M3,town_vehicles[Municipality])))-B34</f>
        <v>39</v>
      </c>
      <c r="C11" s="113" t="s">
        <v>374</v>
      </c>
      <c r="D11" s="94"/>
      <c r="E11" s="94"/>
      <c r="F11" s="94"/>
      <c r="G11" s="94"/>
      <c r="H11" s="94"/>
      <c r="I11" s="94"/>
      <c r="J11" s="94"/>
      <c r="K11" s="94"/>
      <c r="L11" s="94"/>
      <c r="M11" s="94"/>
      <c r="N11" s="94"/>
      <c r="O11" s="28">
        <f>B11/regional_ldv_count</f>
        <v>2.6174496644295303E-2</v>
      </c>
    </row>
    <row r="12" spans="1:15" ht="39" customHeight="1" x14ac:dyDescent="0.25">
      <c r="B12" s="7"/>
      <c r="C12" s="8"/>
      <c r="D12" s="9" t="s">
        <v>386</v>
      </c>
      <c r="E12" s="96" t="s">
        <v>3</v>
      </c>
      <c r="F12" s="96"/>
      <c r="G12" s="97" t="s">
        <v>385</v>
      </c>
      <c r="H12" s="97"/>
      <c r="I12" s="97"/>
      <c r="J12" s="97"/>
      <c r="K12" s="97"/>
      <c r="L12" s="97"/>
      <c r="M12" s="97"/>
      <c r="N12" s="97"/>
    </row>
    <row r="13" spans="1:15" ht="39" customHeight="1" x14ac:dyDescent="0.25">
      <c r="B13" s="7"/>
      <c r="C13" s="8"/>
      <c r="D13" s="9" t="s">
        <v>5</v>
      </c>
      <c r="E13" s="97" t="s">
        <v>4</v>
      </c>
      <c r="F13" s="97"/>
      <c r="G13" s="94" t="s">
        <v>387</v>
      </c>
      <c r="H13" s="94"/>
      <c r="I13" s="94"/>
      <c r="J13" s="94"/>
      <c r="K13" s="94"/>
      <c r="L13" s="94"/>
      <c r="M13" s="94"/>
      <c r="N13" s="94"/>
    </row>
    <row r="14" spans="1:15" ht="39" customHeight="1" x14ac:dyDescent="0.25">
      <c r="B14" s="7"/>
      <c r="C14" s="8"/>
      <c r="D14" s="9" t="s">
        <v>5</v>
      </c>
      <c r="E14" s="97" t="s">
        <v>6</v>
      </c>
      <c r="F14" s="97"/>
      <c r="G14" s="97"/>
      <c r="H14" s="97"/>
      <c r="I14" s="97"/>
      <c r="J14" s="97"/>
      <c r="K14" s="97"/>
      <c r="L14" s="97"/>
      <c r="M14" s="97"/>
      <c r="N14" s="97"/>
    </row>
    <row r="15" spans="1:15" ht="48.75" customHeight="1" x14ac:dyDescent="0.25">
      <c r="A15" s="1">
        <v>2</v>
      </c>
      <c r="B15" s="6">
        <v>12500</v>
      </c>
      <c r="C15" s="95" t="s">
        <v>63</v>
      </c>
      <c r="D15" s="94"/>
      <c r="E15" s="94"/>
      <c r="F15" s="94"/>
      <c r="G15" s="94"/>
      <c r="H15" s="94"/>
      <c r="I15" s="94"/>
      <c r="J15" s="94"/>
      <c r="K15" s="94"/>
      <c r="L15" s="94"/>
      <c r="M15" s="94"/>
      <c r="N15" s="94"/>
      <c r="O15" s="19">
        <f>B15*O11</f>
        <v>327.18120805369131</v>
      </c>
    </row>
    <row r="16" spans="1:15" ht="60.75" customHeight="1" x14ac:dyDescent="0.25">
      <c r="A16" s="1">
        <v>3</v>
      </c>
      <c r="B16" s="6">
        <v>22</v>
      </c>
      <c r="C16" s="95" t="s">
        <v>64</v>
      </c>
      <c r="D16" s="94"/>
      <c r="E16" s="94"/>
      <c r="F16" s="94"/>
      <c r="G16" s="94"/>
      <c r="H16" s="94"/>
      <c r="I16" s="94"/>
      <c r="J16" s="94"/>
      <c r="K16" s="94"/>
      <c r="L16" s="94"/>
      <c r="M16" s="94"/>
      <c r="N16" s="94"/>
      <c r="O16" s="63">
        <f>B16*O11</f>
        <v>0.57583892617449672</v>
      </c>
    </row>
    <row r="17" spans="1:15" s="60" customFormat="1" ht="39" customHeight="1" x14ac:dyDescent="0.25">
      <c r="A17" s="10"/>
      <c r="D17" s="12">
        <v>0.4</v>
      </c>
      <c r="E17" s="85" t="s">
        <v>7</v>
      </c>
      <c r="F17" s="85"/>
      <c r="G17" s="85"/>
      <c r="H17" s="85"/>
      <c r="I17" s="85"/>
      <c r="J17" s="85"/>
      <c r="K17" s="85"/>
      <c r="L17" s="85"/>
      <c r="M17" s="85"/>
      <c r="N17" s="85"/>
    </row>
    <row r="18" spans="1:15" s="60" customFormat="1" ht="39" customHeight="1" x14ac:dyDescent="0.25">
      <c r="A18" s="10"/>
      <c r="D18" s="12">
        <f>150000/583770</f>
        <v>0.25695051133151753</v>
      </c>
      <c r="E18" s="94" t="s">
        <v>8</v>
      </c>
      <c r="F18" s="94"/>
      <c r="G18" s="94"/>
      <c r="H18" s="94"/>
      <c r="I18" s="94"/>
      <c r="J18" s="94"/>
      <c r="K18" s="94"/>
      <c r="L18" s="94"/>
      <c r="M18" s="94"/>
      <c r="N18" s="94"/>
    </row>
    <row r="19" spans="1:15" s="60" customFormat="1" ht="39" customHeight="1" x14ac:dyDescent="0.25">
      <c r="A19" s="10"/>
      <c r="D19" s="12">
        <v>0.86</v>
      </c>
      <c r="E19" s="94" t="s">
        <v>9</v>
      </c>
      <c r="F19" s="94"/>
      <c r="G19" s="94"/>
      <c r="H19" s="94"/>
      <c r="I19" s="94"/>
      <c r="J19" s="94"/>
      <c r="K19" s="94"/>
      <c r="L19" s="94"/>
      <c r="M19" s="94"/>
      <c r="N19" s="94"/>
    </row>
    <row r="20" spans="1:15" ht="55.5" customHeight="1" x14ac:dyDescent="0.25">
      <c r="B20" s="13">
        <f>B11*B15/B16</f>
        <v>22159.090909090908</v>
      </c>
      <c r="C20" s="94" t="s">
        <v>65</v>
      </c>
      <c r="D20" s="94"/>
      <c r="E20" s="94"/>
      <c r="F20" s="94"/>
      <c r="G20" s="94"/>
      <c r="H20" s="94"/>
      <c r="I20" s="94"/>
      <c r="J20" s="94"/>
      <c r="K20" s="94"/>
      <c r="L20" s="94"/>
      <c r="M20" s="94"/>
      <c r="N20" s="94"/>
      <c r="O20" s="28">
        <f>B20/regional_gsl_gallons</f>
        <v>2.9242151406562479E-2</v>
      </c>
    </row>
    <row r="21" spans="1:15" ht="55.5" customHeight="1" x14ac:dyDescent="0.25">
      <c r="A21" s="1">
        <v>4</v>
      </c>
      <c r="B21" s="14">
        <v>0.09</v>
      </c>
      <c r="C21" s="95" t="s">
        <v>66</v>
      </c>
      <c r="D21" s="94"/>
      <c r="E21" s="94"/>
      <c r="F21" s="94"/>
      <c r="G21" s="94"/>
      <c r="H21" s="94"/>
      <c r="I21" s="94"/>
      <c r="J21" s="94"/>
      <c r="K21" s="94"/>
      <c r="L21" s="94"/>
      <c r="M21" s="94"/>
      <c r="N21" s="94"/>
      <c r="O21" s="64">
        <f>B21*O20</f>
        <v>2.631793626590623E-3</v>
      </c>
    </row>
    <row r="22" spans="1:15" ht="39" customHeight="1" x14ac:dyDescent="0.25">
      <c r="B22" s="13">
        <f>(1-B21)*B20</f>
        <v>20164.772727272728</v>
      </c>
      <c r="C22" s="94" t="s">
        <v>54</v>
      </c>
      <c r="D22" s="94"/>
      <c r="E22" s="94"/>
      <c r="F22" s="94"/>
      <c r="G22" s="94"/>
      <c r="H22" s="94"/>
      <c r="I22" s="94"/>
      <c r="J22" s="94"/>
      <c r="K22" s="94"/>
      <c r="L22" s="94"/>
      <c r="M22" s="94"/>
      <c r="N22" s="94"/>
    </row>
    <row r="23" spans="1:15" ht="39" customHeight="1" x14ac:dyDescent="0.25">
      <c r="B23" s="13">
        <f>fossilBtu</f>
        <v>121258.5</v>
      </c>
      <c r="C23" s="94" t="s">
        <v>10</v>
      </c>
      <c r="D23" s="94"/>
      <c r="E23" s="94"/>
      <c r="F23" s="94"/>
      <c r="G23" s="94"/>
      <c r="H23" s="94"/>
      <c r="I23" s="94"/>
      <c r="J23" s="94"/>
      <c r="K23" s="94"/>
      <c r="L23" s="94"/>
      <c r="M23" s="94"/>
      <c r="N23" s="94"/>
    </row>
    <row r="24" spans="1:15" ht="39" customHeight="1" x14ac:dyDescent="0.25">
      <c r="B24" s="13">
        <f>B22*B23/1000000</f>
        <v>2445.15009375</v>
      </c>
      <c r="C24" s="94" t="s">
        <v>11</v>
      </c>
      <c r="D24" s="94"/>
      <c r="E24" s="94"/>
      <c r="F24" s="94"/>
      <c r="G24" s="94"/>
      <c r="H24" s="94"/>
      <c r="I24" s="94"/>
      <c r="J24" s="94"/>
      <c r="K24" s="94"/>
      <c r="L24" s="94"/>
      <c r="M24" s="94"/>
      <c r="N24" s="94"/>
    </row>
    <row r="25" spans="1:15" ht="39" customHeight="1" x14ac:dyDescent="0.25">
      <c r="B25" s="13">
        <f>B20-B22</f>
        <v>1994.3181818181802</v>
      </c>
      <c r="C25" s="94" t="s">
        <v>55</v>
      </c>
      <c r="D25" s="94"/>
      <c r="E25" s="94"/>
      <c r="F25" s="94"/>
      <c r="G25" s="94"/>
      <c r="H25" s="94"/>
      <c r="I25" s="94"/>
      <c r="J25" s="94"/>
      <c r="K25" s="94"/>
      <c r="L25" s="94"/>
      <c r="M25" s="94"/>
      <c r="N25" s="94"/>
    </row>
    <row r="26" spans="1:15" ht="39" customHeight="1" x14ac:dyDescent="0.25">
      <c r="B26" s="13">
        <v>84710</v>
      </c>
      <c r="C26" s="94" t="s">
        <v>12</v>
      </c>
      <c r="D26" s="94"/>
      <c r="E26" s="94"/>
      <c r="F26" s="94"/>
      <c r="G26" s="94"/>
      <c r="H26" s="94"/>
      <c r="I26" s="94"/>
      <c r="J26" s="94"/>
      <c r="K26" s="94"/>
      <c r="L26" s="94"/>
      <c r="M26" s="94"/>
      <c r="N26" s="94"/>
    </row>
    <row r="27" spans="1:15" ht="39" customHeight="1" x14ac:dyDescent="0.25">
      <c r="B27" s="13">
        <f>B25*B26/1000000</f>
        <v>168.93869318181802</v>
      </c>
      <c r="C27" s="94" t="s">
        <v>13</v>
      </c>
      <c r="D27" s="94"/>
      <c r="E27" s="94"/>
      <c r="F27" s="94"/>
      <c r="G27" s="94"/>
      <c r="H27" s="94"/>
      <c r="I27" s="94"/>
      <c r="J27" s="94"/>
      <c r="K27" s="94"/>
      <c r="L27" s="94"/>
      <c r="M27" s="94"/>
      <c r="N27" s="94"/>
    </row>
    <row r="28" spans="1:15" ht="39" customHeight="1" x14ac:dyDescent="0.25">
      <c r="B28" s="3">
        <f>B24+B27</f>
        <v>2614.088786931818</v>
      </c>
      <c r="C28" s="93" t="s">
        <v>56</v>
      </c>
      <c r="D28" s="94"/>
      <c r="E28" s="94"/>
      <c r="F28" s="94"/>
      <c r="G28" s="94"/>
      <c r="H28" s="94"/>
      <c r="I28" s="94"/>
      <c r="J28" s="94"/>
      <c r="K28" s="94"/>
      <c r="L28" s="94"/>
      <c r="M28" s="94"/>
      <c r="N28" s="94"/>
    </row>
    <row r="29" spans="1:15" x14ac:dyDescent="0.25">
      <c r="B29" s="7"/>
    </row>
    <row r="30" spans="1:15" x14ac:dyDescent="0.25">
      <c r="B30" s="7"/>
      <c r="C30" s="4" t="s">
        <v>14</v>
      </c>
    </row>
    <row r="31" spans="1:15" x14ac:dyDescent="0.25">
      <c r="B31" s="7"/>
      <c r="C31" s="4"/>
    </row>
    <row r="32" spans="1:15" x14ac:dyDescent="0.25">
      <c r="B32" s="7" t="s">
        <v>15</v>
      </c>
      <c r="C32" s="5"/>
    </row>
    <row r="33" spans="1:15" x14ac:dyDescent="0.25">
      <c r="B33" s="7"/>
      <c r="C33" s="5"/>
    </row>
    <row r="34" spans="1:15" ht="39" customHeight="1" x14ac:dyDescent="0.25">
      <c r="A34" s="1">
        <v>1</v>
      </c>
      <c r="B34" s="15">
        <v>300</v>
      </c>
      <c r="C34" s="95" t="s">
        <v>67</v>
      </c>
      <c r="D34" s="94"/>
      <c r="E34" s="94"/>
      <c r="F34" s="94"/>
      <c r="G34" s="94"/>
      <c r="H34" s="94"/>
      <c r="I34" s="94"/>
      <c r="J34" s="94"/>
      <c r="K34" s="94"/>
      <c r="L34" s="94"/>
      <c r="M34" s="94"/>
      <c r="O34" s="28">
        <f>B34/regional_ev_count</f>
        <v>0.15789473684210525</v>
      </c>
    </row>
    <row r="35" spans="1:15" ht="39" customHeight="1" x14ac:dyDescent="0.25">
      <c r="B35" s="16"/>
      <c r="C35" s="16"/>
      <c r="D35" s="9" t="s">
        <v>2</v>
      </c>
      <c r="E35" s="17" t="s">
        <v>16</v>
      </c>
      <c r="F35" s="16"/>
      <c r="G35" s="16"/>
      <c r="H35" s="16"/>
      <c r="I35" s="16"/>
      <c r="J35" s="16"/>
      <c r="K35" s="16"/>
      <c r="L35" s="16"/>
      <c r="M35" s="16"/>
      <c r="N35" s="16"/>
    </row>
    <row r="36" spans="1:15" ht="39" customHeight="1" x14ac:dyDescent="0.25">
      <c r="B36" s="15">
        <v>12500</v>
      </c>
      <c r="C36" s="94" t="s">
        <v>388</v>
      </c>
      <c r="D36" s="94"/>
      <c r="E36" s="94"/>
      <c r="F36" s="94"/>
      <c r="G36" s="94"/>
      <c r="H36" s="94"/>
      <c r="I36" s="94"/>
      <c r="J36" s="94"/>
      <c r="K36" s="94"/>
      <c r="L36" s="94"/>
      <c r="M36" s="94"/>
      <c r="N36" s="94"/>
      <c r="O36" s="19">
        <f>B36*O34</f>
        <v>1973.6842105263156</v>
      </c>
    </row>
    <row r="37" spans="1:15" ht="39" customHeight="1" x14ac:dyDescent="0.25">
      <c r="B37" s="13">
        <v>3</v>
      </c>
      <c r="C37" s="97" t="s">
        <v>17</v>
      </c>
      <c r="D37" s="97"/>
      <c r="E37" s="97"/>
      <c r="F37" s="97"/>
      <c r="G37" s="97"/>
      <c r="H37" s="97"/>
      <c r="I37" s="97"/>
      <c r="J37" s="97"/>
      <c r="K37" s="97"/>
      <c r="L37" s="97"/>
      <c r="M37" s="97"/>
      <c r="N37" s="97"/>
    </row>
    <row r="38" spans="1:15" ht="39" customHeight="1" x14ac:dyDescent="0.25">
      <c r="B38" s="13">
        <f>B34*B36/B37</f>
        <v>1250000</v>
      </c>
      <c r="C38" s="97" t="s">
        <v>57</v>
      </c>
      <c r="D38" s="97"/>
      <c r="E38" s="97"/>
      <c r="F38" s="97"/>
      <c r="G38" s="97"/>
      <c r="H38" s="97"/>
      <c r="I38" s="97"/>
      <c r="J38" s="97"/>
      <c r="K38" s="97"/>
      <c r="L38" s="97"/>
      <c r="M38" s="97"/>
      <c r="N38" s="97"/>
    </row>
    <row r="39" spans="1:15" ht="39" customHeight="1" x14ac:dyDescent="0.25">
      <c r="B39" s="13">
        <v>3412</v>
      </c>
      <c r="C39" s="97" t="s">
        <v>18</v>
      </c>
      <c r="D39" s="97"/>
      <c r="E39" s="97"/>
      <c r="F39" s="97"/>
      <c r="G39" s="97"/>
      <c r="H39" s="97"/>
      <c r="I39" s="97"/>
      <c r="J39" s="97"/>
      <c r="K39" s="97"/>
      <c r="L39" s="97"/>
      <c r="M39" s="97"/>
      <c r="N39" s="97"/>
    </row>
    <row r="40" spans="1:15" ht="39" customHeight="1" x14ac:dyDescent="0.25">
      <c r="B40" s="3">
        <f>B38*B39/1000000</f>
        <v>4265</v>
      </c>
      <c r="C40" s="99" t="s">
        <v>19</v>
      </c>
      <c r="D40" s="97"/>
      <c r="E40" s="97"/>
      <c r="F40" s="97"/>
      <c r="G40" s="97"/>
      <c r="H40" s="97"/>
      <c r="I40" s="97"/>
      <c r="J40" s="97"/>
      <c r="K40" s="97"/>
      <c r="L40" s="97"/>
      <c r="M40" s="97"/>
      <c r="N40" s="97"/>
    </row>
    <row r="41" spans="1:15" x14ac:dyDescent="0.25">
      <c r="B41" s="7"/>
    </row>
    <row r="43" spans="1:15" x14ac:dyDescent="0.25">
      <c r="C43" s="5"/>
    </row>
    <row r="45" spans="1:15" x14ac:dyDescent="0.25">
      <c r="B45" s="7"/>
    </row>
    <row r="50" spans="2:2" x14ac:dyDescent="0.25">
      <c r="B50" s="7"/>
    </row>
    <row r="52" spans="2:2" x14ac:dyDescent="0.25">
      <c r="B52" s="7"/>
    </row>
    <row r="54" spans="2:2" x14ac:dyDescent="0.25">
      <c r="B54" s="18"/>
    </row>
    <row r="55" spans="2:2" x14ac:dyDescent="0.25">
      <c r="B55" s="18"/>
    </row>
    <row r="56" spans="2:2" x14ac:dyDescent="0.25">
      <c r="B56" s="18"/>
    </row>
    <row r="70" spans="2:2" x14ac:dyDescent="0.25">
      <c r="B70" s="7"/>
    </row>
  </sheetData>
  <mergeCells count="31">
    <mergeCell ref="C40:N40"/>
    <mergeCell ref="C28:N28"/>
    <mergeCell ref="C34:M34"/>
    <mergeCell ref="C36:N36"/>
    <mergeCell ref="C37:N37"/>
    <mergeCell ref="C38:N38"/>
    <mergeCell ref="C39:N39"/>
    <mergeCell ref="C22:N22"/>
    <mergeCell ref="C23:N23"/>
    <mergeCell ref="C24:N24"/>
    <mergeCell ref="C25:N25"/>
    <mergeCell ref="C26:N26"/>
    <mergeCell ref="C27:N27"/>
    <mergeCell ref="C16:N16"/>
    <mergeCell ref="E17:N17"/>
    <mergeCell ref="E18:N18"/>
    <mergeCell ref="E19:N19"/>
    <mergeCell ref="C20:N20"/>
    <mergeCell ref="C21:N21"/>
    <mergeCell ref="E12:F12"/>
    <mergeCell ref="G12:N12"/>
    <mergeCell ref="E13:F13"/>
    <mergeCell ref="G13:N13"/>
    <mergeCell ref="E14:N14"/>
    <mergeCell ref="C15:N15"/>
    <mergeCell ref="B3:L3"/>
    <mergeCell ref="M3:N3"/>
    <mergeCell ref="B4:N4"/>
    <mergeCell ref="B5:M5"/>
    <mergeCell ref="C7:N7"/>
    <mergeCell ref="C11:N11"/>
  </mergeCells>
  <dataValidations count="1">
    <dataValidation type="list" allowBlank="1" showInputMessage="1" showErrorMessage="1" sqref="M3:N3">
      <formula1>INDIRECT("town_population[Municipality]")</formula1>
    </dataValidation>
  </dataValidations>
  <hyperlinks>
    <hyperlink ref="E12" r:id="rId1" display="Census data"/>
    <hyperlink ref="E35" r:id="rId2"/>
  </hyperlinks>
  <pageMargins left="0.7" right="0.7" top="0.75" bottom="0.75" header="0.3" footer="0.3"/>
  <pageSetup paperSize="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autoPageBreaks="0"/>
  </sheetPr>
  <dimension ref="A1:O70"/>
  <sheetViews>
    <sheetView zoomScale="70" zoomScaleNormal="70" workbookViewId="0"/>
  </sheetViews>
  <sheetFormatPr defaultRowHeight="15" x14ac:dyDescent="0.25"/>
  <cols>
    <col min="1" max="1" width="2.5703125" style="1" bestFit="1" customWidth="1"/>
    <col min="2" max="14" width="15.85546875" customWidth="1"/>
    <col min="15" max="15" width="12.5703125" customWidth="1"/>
  </cols>
  <sheetData>
    <row r="1" spans="1:15" ht="21" x14ac:dyDescent="0.35">
      <c r="B1" s="20" t="s">
        <v>0</v>
      </c>
    </row>
    <row r="2" spans="1:15" ht="14.25" customHeight="1" x14ac:dyDescent="0.3">
      <c r="B2" s="2"/>
    </row>
    <row r="3" spans="1:15" ht="23.25" customHeight="1" x14ac:dyDescent="0.25">
      <c r="B3" s="86" t="s">
        <v>382</v>
      </c>
      <c r="C3" s="87"/>
      <c r="D3" s="87"/>
      <c r="E3" s="87"/>
      <c r="F3" s="87"/>
      <c r="G3" s="87"/>
      <c r="H3" s="87"/>
      <c r="I3" s="87"/>
      <c r="J3" s="87"/>
      <c r="K3" s="87"/>
      <c r="L3" s="110"/>
      <c r="M3" s="122" t="s">
        <v>264</v>
      </c>
      <c r="N3" s="123"/>
    </row>
    <row r="4" spans="1:15" ht="23.25" customHeight="1" x14ac:dyDescent="0.25">
      <c r="B4" s="88" t="s">
        <v>383</v>
      </c>
      <c r="C4" s="89"/>
      <c r="D4" s="89"/>
      <c r="E4" s="89"/>
      <c r="F4" s="89"/>
      <c r="G4" s="89"/>
      <c r="H4" s="89"/>
      <c r="I4" s="89"/>
      <c r="J4" s="89"/>
      <c r="K4" s="89"/>
      <c r="L4" s="89"/>
      <c r="M4" s="89"/>
      <c r="N4" s="90"/>
    </row>
    <row r="5" spans="1:15" ht="23.25" customHeight="1" x14ac:dyDescent="0.25">
      <c r="B5" s="91" t="s">
        <v>381</v>
      </c>
      <c r="C5" s="92"/>
      <c r="D5" s="92"/>
      <c r="E5" s="92"/>
      <c r="F5" s="92"/>
      <c r="G5" s="92"/>
      <c r="H5" s="92"/>
      <c r="I5" s="92"/>
      <c r="J5" s="92"/>
      <c r="K5" s="92"/>
      <c r="L5" s="92"/>
      <c r="M5" s="111"/>
      <c r="N5" s="76" t="s">
        <v>372</v>
      </c>
    </row>
    <row r="7" spans="1:15" ht="40.5" customHeight="1" x14ac:dyDescent="0.25">
      <c r="B7" s="3">
        <f>SUM(B28,B40)</f>
        <v>5822.8637679924241</v>
      </c>
      <c r="C7" s="93" t="s">
        <v>384</v>
      </c>
      <c r="D7" s="94"/>
      <c r="E7" s="94"/>
      <c r="F7" s="94"/>
      <c r="G7" s="94"/>
      <c r="H7" s="94"/>
      <c r="I7" s="94"/>
      <c r="J7" s="94"/>
      <c r="K7" s="94"/>
      <c r="L7" s="94"/>
      <c r="M7" s="94"/>
      <c r="N7" s="94"/>
      <c r="O7" s="112">
        <f>B7/regional_ldv_mmbtu</f>
        <v>5.2693954255876828E-2</v>
      </c>
    </row>
    <row r="9" spans="1:15" ht="18.75" x14ac:dyDescent="0.3">
      <c r="C9" s="2" t="s">
        <v>1</v>
      </c>
    </row>
    <row r="10" spans="1:15" x14ac:dyDescent="0.25">
      <c r="C10" s="5"/>
    </row>
    <row r="11" spans="1:15" ht="39" customHeight="1" x14ac:dyDescent="0.25">
      <c r="A11" s="1">
        <v>1</v>
      </c>
      <c r="B11" s="115">
        <f>IF(ISNA(INDEX(town_vehicles[Vehicles],MATCH(M3,town_vehicles[Municipality]))),0,INDEX(town_vehicles[Vehicles],MATCH(M3,town_vehicles[Municipality])))-B34</f>
        <v>19</v>
      </c>
      <c r="C11" s="113" t="s">
        <v>374</v>
      </c>
      <c r="D11" s="94"/>
      <c r="E11" s="94"/>
      <c r="F11" s="94"/>
      <c r="G11" s="94"/>
      <c r="H11" s="94"/>
      <c r="I11" s="94"/>
      <c r="J11" s="94"/>
      <c r="K11" s="94"/>
      <c r="L11" s="94"/>
      <c r="M11" s="94"/>
      <c r="N11" s="94"/>
      <c r="O11" s="28">
        <f>B11/regional_ldv_count</f>
        <v>1.2751677852348993E-2</v>
      </c>
    </row>
    <row r="12" spans="1:15" ht="39" customHeight="1" x14ac:dyDescent="0.25">
      <c r="B12" s="7"/>
      <c r="C12" s="8"/>
      <c r="D12" s="9" t="s">
        <v>386</v>
      </c>
      <c r="E12" s="96" t="s">
        <v>3</v>
      </c>
      <c r="F12" s="96"/>
      <c r="G12" s="97" t="s">
        <v>385</v>
      </c>
      <c r="H12" s="97"/>
      <c r="I12" s="97"/>
      <c r="J12" s="97"/>
      <c r="K12" s="97"/>
      <c r="L12" s="97"/>
      <c r="M12" s="97"/>
      <c r="N12" s="97"/>
    </row>
    <row r="13" spans="1:15" ht="39" customHeight="1" x14ac:dyDescent="0.25">
      <c r="B13" s="7"/>
      <c r="C13" s="8"/>
      <c r="D13" s="9" t="s">
        <v>5</v>
      </c>
      <c r="E13" s="97" t="s">
        <v>4</v>
      </c>
      <c r="F13" s="97"/>
      <c r="G13" s="94" t="s">
        <v>387</v>
      </c>
      <c r="H13" s="94"/>
      <c r="I13" s="94"/>
      <c r="J13" s="94"/>
      <c r="K13" s="94"/>
      <c r="L13" s="94"/>
      <c r="M13" s="94"/>
      <c r="N13" s="94"/>
    </row>
    <row r="14" spans="1:15" ht="39" customHeight="1" x14ac:dyDescent="0.25">
      <c r="B14" s="7"/>
      <c r="C14" s="8"/>
      <c r="D14" s="9" t="s">
        <v>5</v>
      </c>
      <c r="E14" s="97" t="s">
        <v>6</v>
      </c>
      <c r="F14" s="97"/>
      <c r="G14" s="97"/>
      <c r="H14" s="97"/>
      <c r="I14" s="97"/>
      <c r="J14" s="97"/>
      <c r="K14" s="97"/>
      <c r="L14" s="97"/>
      <c r="M14" s="97"/>
      <c r="N14" s="97"/>
    </row>
    <row r="15" spans="1:15" ht="48.75" customHeight="1" x14ac:dyDescent="0.25">
      <c r="A15" s="1">
        <v>2</v>
      </c>
      <c r="B15" s="6">
        <v>12500</v>
      </c>
      <c r="C15" s="95" t="s">
        <v>63</v>
      </c>
      <c r="D15" s="94"/>
      <c r="E15" s="94"/>
      <c r="F15" s="94"/>
      <c r="G15" s="94"/>
      <c r="H15" s="94"/>
      <c r="I15" s="94"/>
      <c r="J15" s="94"/>
      <c r="K15" s="94"/>
      <c r="L15" s="94"/>
      <c r="M15" s="94"/>
      <c r="N15" s="94"/>
      <c r="O15" s="19">
        <f>B15*O11</f>
        <v>159.39597315436242</v>
      </c>
    </row>
    <row r="16" spans="1:15" ht="60.75" customHeight="1" x14ac:dyDescent="0.25">
      <c r="A16" s="1">
        <v>3</v>
      </c>
      <c r="B16" s="6">
        <v>22</v>
      </c>
      <c r="C16" s="95" t="s">
        <v>64</v>
      </c>
      <c r="D16" s="94"/>
      <c r="E16" s="94"/>
      <c r="F16" s="94"/>
      <c r="G16" s="94"/>
      <c r="H16" s="94"/>
      <c r="I16" s="94"/>
      <c r="J16" s="94"/>
      <c r="K16" s="94"/>
      <c r="L16" s="94"/>
      <c r="M16" s="94"/>
      <c r="N16" s="94"/>
      <c r="O16" s="63">
        <f>B16*O11</f>
        <v>0.28053691275167786</v>
      </c>
    </row>
    <row r="17" spans="1:15" s="60" customFormat="1" ht="39" customHeight="1" x14ac:dyDescent="0.25">
      <c r="A17" s="10"/>
      <c r="D17" s="12">
        <v>0.4</v>
      </c>
      <c r="E17" s="85" t="s">
        <v>7</v>
      </c>
      <c r="F17" s="85"/>
      <c r="G17" s="85"/>
      <c r="H17" s="85"/>
      <c r="I17" s="85"/>
      <c r="J17" s="85"/>
      <c r="K17" s="85"/>
      <c r="L17" s="85"/>
      <c r="M17" s="85"/>
      <c r="N17" s="85"/>
    </row>
    <row r="18" spans="1:15" s="60" customFormat="1" ht="39" customHeight="1" x14ac:dyDescent="0.25">
      <c r="A18" s="10"/>
      <c r="D18" s="12">
        <f>150000/583770</f>
        <v>0.25695051133151753</v>
      </c>
      <c r="E18" s="94" t="s">
        <v>8</v>
      </c>
      <c r="F18" s="94"/>
      <c r="G18" s="94"/>
      <c r="H18" s="94"/>
      <c r="I18" s="94"/>
      <c r="J18" s="94"/>
      <c r="K18" s="94"/>
      <c r="L18" s="94"/>
      <c r="M18" s="94"/>
      <c r="N18" s="94"/>
    </row>
    <row r="19" spans="1:15" s="60" customFormat="1" ht="39" customHeight="1" x14ac:dyDescent="0.25">
      <c r="A19" s="10"/>
      <c r="D19" s="12">
        <v>0.86</v>
      </c>
      <c r="E19" s="94" t="s">
        <v>9</v>
      </c>
      <c r="F19" s="94"/>
      <c r="G19" s="94"/>
      <c r="H19" s="94"/>
      <c r="I19" s="94"/>
      <c r="J19" s="94"/>
      <c r="K19" s="94"/>
      <c r="L19" s="94"/>
      <c r="M19" s="94"/>
      <c r="N19" s="94"/>
    </row>
    <row r="20" spans="1:15" ht="55.5" customHeight="1" x14ac:dyDescent="0.25">
      <c r="B20" s="13">
        <f>B11*B15/B16</f>
        <v>10795.454545454546</v>
      </c>
      <c r="C20" s="94" t="s">
        <v>65</v>
      </c>
      <c r="D20" s="94"/>
      <c r="E20" s="94"/>
      <c r="F20" s="94"/>
      <c r="G20" s="94"/>
      <c r="H20" s="94"/>
      <c r="I20" s="94"/>
      <c r="J20" s="94"/>
      <c r="K20" s="94"/>
      <c r="L20" s="94"/>
      <c r="M20" s="94"/>
      <c r="N20" s="94"/>
      <c r="O20" s="28">
        <f>B20/regional_gsl_gallons</f>
        <v>1.424617632627403E-2</v>
      </c>
    </row>
    <row r="21" spans="1:15" ht="55.5" customHeight="1" x14ac:dyDescent="0.25">
      <c r="A21" s="1">
        <v>4</v>
      </c>
      <c r="B21" s="14">
        <v>0.09</v>
      </c>
      <c r="C21" s="95" t="s">
        <v>66</v>
      </c>
      <c r="D21" s="94"/>
      <c r="E21" s="94"/>
      <c r="F21" s="94"/>
      <c r="G21" s="94"/>
      <c r="H21" s="94"/>
      <c r="I21" s="94"/>
      <c r="J21" s="94"/>
      <c r="K21" s="94"/>
      <c r="L21" s="94"/>
      <c r="M21" s="94"/>
      <c r="N21" s="94"/>
      <c r="O21" s="64">
        <f>B21*O20</f>
        <v>1.2821558693646626E-3</v>
      </c>
    </row>
    <row r="22" spans="1:15" ht="39" customHeight="1" x14ac:dyDescent="0.25">
      <c r="B22" s="13">
        <f>(1-B21)*B20</f>
        <v>9823.8636363636379</v>
      </c>
      <c r="C22" s="94" t="s">
        <v>54</v>
      </c>
      <c r="D22" s="94"/>
      <c r="E22" s="94"/>
      <c r="F22" s="94"/>
      <c r="G22" s="94"/>
      <c r="H22" s="94"/>
      <c r="I22" s="94"/>
      <c r="J22" s="94"/>
      <c r="K22" s="94"/>
      <c r="L22" s="94"/>
      <c r="M22" s="94"/>
      <c r="N22" s="94"/>
    </row>
    <row r="23" spans="1:15" ht="39" customHeight="1" x14ac:dyDescent="0.25">
      <c r="B23" s="13">
        <f>fossilBtu</f>
        <v>121258.5</v>
      </c>
      <c r="C23" s="94" t="s">
        <v>10</v>
      </c>
      <c r="D23" s="94"/>
      <c r="E23" s="94"/>
      <c r="F23" s="94"/>
      <c r="G23" s="94"/>
      <c r="H23" s="94"/>
      <c r="I23" s="94"/>
      <c r="J23" s="94"/>
      <c r="K23" s="94"/>
      <c r="L23" s="94"/>
      <c r="M23" s="94"/>
      <c r="N23" s="94"/>
    </row>
    <row r="24" spans="1:15" ht="39" customHeight="1" x14ac:dyDescent="0.25">
      <c r="B24" s="13">
        <f>B22*B23/1000000</f>
        <v>1191.2269687500002</v>
      </c>
      <c r="C24" s="94" t="s">
        <v>11</v>
      </c>
      <c r="D24" s="94"/>
      <c r="E24" s="94"/>
      <c r="F24" s="94"/>
      <c r="G24" s="94"/>
      <c r="H24" s="94"/>
      <c r="I24" s="94"/>
      <c r="J24" s="94"/>
      <c r="K24" s="94"/>
      <c r="L24" s="94"/>
      <c r="M24" s="94"/>
      <c r="N24" s="94"/>
    </row>
    <row r="25" spans="1:15" ht="39" customHeight="1" x14ac:dyDescent="0.25">
      <c r="B25" s="13">
        <f>B20-B22</f>
        <v>971.5909090909081</v>
      </c>
      <c r="C25" s="94" t="s">
        <v>55</v>
      </c>
      <c r="D25" s="94"/>
      <c r="E25" s="94"/>
      <c r="F25" s="94"/>
      <c r="G25" s="94"/>
      <c r="H25" s="94"/>
      <c r="I25" s="94"/>
      <c r="J25" s="94"/>
      <c r="K25" s="94"/>
      <c r="L25" s="94"/>
      <c r="M25" s="94"/>
      <c r="N25" s="94"/>
    </row>
    <row r="26" spans="1:15" ht="39" customHeight="1" x14ac:dyDescent="0.25">
      <c r="B26" s="13">
        <v>84710</v>
      </c>
      <c r="C26" s="94" t="s">
        <v>12</v>
      </c>
      <c r="D26" s="94"/>
      <c r="E26" s="94"/>
      <c r="F26" s="94"/>
      <c r="G26" s="94"/>
      <c r="H26" s="94"/>
      <c r="I26" s="94"/>
      <c r="J26" s="94"/>
      <c r="K26" s="94"/>
      <c r="L26" s="94"/>
      <c r="M26" s="94"/>
      <c r="N26" s="94"/>
    </row>
    <row r="27" spans="1:15" ht="39" customHeight="1" x14ac:dyDescent="0.25">
      <c r="B27" s="13">
        <f>B25*B26/1000000</f>
        <v>82.303465909090832</v>
      </c>
      <c r="C27" s="94" t="s">
        <v>13</v>
      </c>
      <c r="D27" s="94"/>
      <c r="E27" s="94"/>
      <c r="F27" s="94"/>
      <c r="G27" s="94"/>
      <c r="H27" s="94"/>
      <c r="I27" s="94"/>
      <c r="J27" s="94"/>
      <c r="K27" s="94"/>
      <c r="L27" s="94"/>
      <c r="M27" s="94"/>
      <c r="N27" s="94"/>
    </row>
    <row r="28" spans="1:15" ht="39" customHeight="1" x14ac:dyDescent="0.25">
      <c r="B28" s="3">
        <f>B24+B27</f>
        <v>1273.530434659091</v>
      </c>
      <c r="C28" s="93" t="s">
        <v>56</v>
      </c>
      <c r="D28" s="94"/>
      <c r="E28" s="94"/>
      <c r="F28" s="94"/>
      <c r="G28" s="94"/>
      <c r="H28" s="94"/>
      <c r="I28" s="94"/>
      <c r="J28" s="94"/>
      <c r="K28" s="94"/>
      <c r="L28" s="94"/>
      <c r="M28" s="94"/>
      <c r="N28" s="94"/>
    </row>
    <row r="29" spans="1:15" x14ac:dyDescent="0.25">
      <c r="B29" s="7"/>
    </row>
    <row r="30" spans="1:15" x14ac:dyDescent="0.25">
      <c r="B30" s="7"/>
      <c r="C30" s="4" t="s">
        <v>14</v>
      </c>
    </row>
    <row r="31" spans="1:15" x14ac:dyDescent="0.25">
      <c r="B31" s="7"/>
      <c r="C31" s="4"/>
    </row>
    <row r="32" spans="1:15" x14ac:dyDescent="0.25">
      <c r="B32" s="7" t="s">
        <v>15</v>
      </c>
      <c r="C32" s="5"/>
    </row>
    <row r="33" spans="1:15" x14ac:dyDescent="0.25">
      <c r="B33" s="7"/>
      <c r="C33" s="5"/>
    </row>
    <row r="34" spans="1:15" ht="39" customHeight="1" x14ac:dyDescent="0.25">
      <c r="A34" s="1">
        <v>1</v>
      </c>
      <c r="B34" s="15">
        <v>320</v>
      </c>
      <c r="C34" s="95" t="s">
        <v>67</v>
      </c>
      <c r="D34" s="94"/>
      <c r="E34" s="94"/>
      <c r="F34" s="94"/>
      <c r="G34" s="94"/>
      <c r="H34" s="94"/>
      <c r="I34" s="94"/>
      <c r="J34" s="94"/>
      <c r="K34" s="94"/>
      <c r="L34" s="94"/>
      <c r="M34" s="94"/>
      <c r="O34" s="28">
        <f>B34/regional_ev_count</f>
        <v>0.16842105263157894</v>
      </c>
    </row>
    <row r="35" spans="1:15" ht="39" customHeight="1" x14ac:dyDescent="0.25">
      <c r="B35" s="16"/>
      <c r="C35" s="16"/>
      <c r="D35" s="9" t="s">
        <v>2</v>
      </c>
      <c r="E35" s="17" t="s">
        <v>16</v>
      </c>
      <c r="F35" s="16"/>
      <c r="G35" s="16"/>
      <c r="H35" s="16"/>
      <c r="I35" s="16"/>
      <c r="J35" s="16"/>
      <c r="K35" s="16"/>
      <c r="L35" s="16"/>
      <c r="M35" s="16"/>
      <c r="N35" s="16"/>
    </row>
    <row r="36" spans="1:15" ht="39" customHeight="1" x14ac:dyDescent="0.25">
      <c r="B36" s="15">
        <v>12500</v>
      </c>
      <c r="C36" s="94" t="s">
        <v>388</v>
      </c>
      <c r="D36" s="94"/>
      <c r="E36" s="94"/>
      <c r="F36" s="94"/>
      <c r="G36" s="94"/>
      <c r="H36" s="94"/>
      <c r="I36" s="94"/>
      <c r="J36" s="94"/>
      <c r="K36" s="94"/>
      <c r="L36" s="94"/>
      <c r="M36" s="94"/>
      <c r="N36" s="94"/>
      <c r="O36" s="19">
        <f>B36*O34</f>
        <v>2105.2631578947367</v>
      </c>
    </row>
    <row r="37" spans="1:15" ht="39" customHeight="1" x14ac:dyDescent="0.25">
      <c r="B37" s="13">
        <v>3</v>
      </c>
      <c r="C37" s="97" t="s">
        <v>17</v>
      </c>
      <c r="D37" s="97"/>
      <c r="E37" s="97"/>
      <c r="F37" s="97"/>
      <c r="G37" s="97"/>
      <c r="H37" s="97"/>
      <c r="I37" s="97"/>
      <c r="J37" s="97"/>
      <c r="K37" s="97"/>
      <c r="L37" s="97"/>
      <c r="M37" s="97"/>
      <c r="N37" s="97"/>
    </row>
    <row r="38" spans="1:15" ht="39" customHeight="1" x14ac:dyDescent="0.25">
      <c r="B38" s="13">
        <f>B34*B36/B37</f>
        <v>1333333.3333333333</v>
      </c>
      <c r="C38" s="97" t="s">
        <v>57</v>
      </c>
      <c r="D38" s="97"/>
      <c r="E38" s="97"/>
      <c r="F38" s="97"/>
      <c r="G38" s="97"/>
      <c r="H38" s="97"/>
      <c r="I38" s="97"/>
      <c r="J38" s="97"/>
      <c r="K38" s="97"/>
      <c r="L38" s="97"/>
      <c r="M38" s="97"/>
      <c r="N38" s="97"/>
    </row>
    <row r="39" spans="1:15" ht="39" customHeight="1" x14ac:dyDescent="0.25">
      <c r="B39" s="13">
        <v>3412</v>
      </c>
      <c r="C39" s="97" t="s">
        <v>18</v>
      </c>
      <c r="D39" s="97"/>
      <c r="E39" s="97"/>
      <c r="F39" s="97"/>
      <c r="G39" s="97"/>
      <c r="H39" s="97"/>
      <c r="I39" s="97"/>
      <c r="J39" s="97"/>
      <c r="K39" s="97"/>
      <c r="L39" s="97"/>
      <c r="M39" s="97"/>
      <c r="N39" s="97"/>
    </row>
    <row r="40" spans="1:15" ht="39" customHeight="1" x14ac:dyDescent="0.25">
      <c r="B40" s="3">
        <f>B38*B39/1000000</f>
        <v>4549.333333333333</v>
      </c>
      <c r="C40" s="99" t="s">
        <v>19</v>
      </c>
      <c r="D40" s="97"/>
      <c r="E40" s="97"/>
      <c r="F40" s="97"/>
      <c r="G40" s="97"/>
      <c r="H40" s="97"/>
      <c r="I40" s="97"/>
      <c r="J40" s="97"/>
      <c r="K40" s="97"/>
      <c r="L40" s="97"/>
      <c r="M40" s="97"/>
      <c r="N40" s="97"/>
    </row>
    <row r="41" spans="1:15" x14ac:dyDescent="0.25">
      <c r="B41" s="7"/>
    </row>
    <row r="43" spans="1:15" x14ac:dyDescent="0.25">
      <c r="C43" s="5"/>
    </row>
    <row r="45" spans="1:15" x14ac:dyDescent="0.25">
      <c r="B45" s="7"/>
    </row>
    <row r="50" spans="2:2" x14ac:dyDescent="0.25">
      <c r="B50" s="7"/>
    </row>
    <row r="52" spans="2:2" x14ac:dyDescent="0.25">
      <c r="B52" s="7"/>
    </row>
    <row r="54" spans="2:2" x14ac:dyDescent="0.25">
      <c r="B54" s="18"/>
    </row>
    <row r="55" spans="2:2" x14ac:dyDescent="0.25">
      <c r="B55" s="18"/>
    </row>
    <row r="56" spans="2:2" x14ac:dyDescent="0.25">
      <c r="B56" s="18"/>
    </row>
    <row r="70" spans="2:2" x14ac:dyDescent="0.25">
      <c r="B70" s="7"/>
    </row>
  </sheetData>
  <mergeCells count="31">
    <mergeCell ref="C40:N40"/>
    <mergeCell ref="C28:N28"/>
    <mergeCell ref="C34:M34"/>
    <mergeCell ref="C36:N36"/>
    <mergeCell ref="C37:N37"/>
    <mergeCell ref="C38:N38"/>
    <mergeCell ref="C39:N39"/>
    <mergeCell ref="C22:N22"/>
    <mergeCell ref="C23:N23"/>
    <mergeCell ref="C24:N24"/>
    <mergeCell ref="C25:N25"/>
    <mergeCell ref="C26:N26"/>
    <mergeCell ref="C27:N27"/>
    <mergeCell ref="C16:N16"/>
    <mergeCell ref="E17:N17"/>
    <mergeCell ref="E18:N18"/>
    <mergeCell ref="E19:N19"/>
    <mergeCell ref="C20:N20"/>
    <mergeCell ref="C21:N21"/>
    <mergeCell ref="E12:F12"/>
    <mergeCell ref="G12:N12"/>
    <mergeCell ref="E13:F13"/>
    <mergeCell ref="G13:N13"/>
    <mergeCell ref="E14:N14"/>
    <mergeCell ref="C15:N15"/>
    <mergeCell ref="B3:L3"/>
    <mergeCell ref="M3:N3"/>
    <mergeCell ref="B4:N4"/>
    <mergeCell ref="B5:M5"/>
    <mergeCell ref="C7:N7"/>
    <mergeCell ref="C11:N11"/>
  </mergeCells>
  <dataValidations count="1">
    <dataValidation type="list" allowBlank="1" showInputMessage="1" showErrorMessage="1" sqref="M3:N3">
      <formula1>INDIRECT("town_population[Municipality]")</formula1>
    </dataValidation>
  </dataValidations>
  <hyperlinks>
    <hyperlink ref="E12" r:id="rId1" display="Census data"/>
    <hyperlink ref="E35" r:id="rId2"/>
  </hyperlinks>
  <pageMargins left="0.7" right="0.7" top="0.75" bottom="0.75" header="0.3" footer="0.3"/>
  <pageSetup paperSize="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autoPageBreaks="0"/>
  </sheetPr>
  <dimension ref="A1:O70"/>
  <sheetViews>
    <sheetView zoomScale="70" zoomScaleNormal="70" workbookViewId="0"/>
  </sheetViews>
  <sheetFormatPr defaultRowHeight="15" x14ac:dyDescent="0.25"/>
  <cols>
    <col min="1" max="1" width="2.5703125" style="1" bestFit="1" customWidth="1"/>
    <col min="2" max="14" width="15.85546875" customWidth="1"/>
    <col min="15" max="15" width="12.5703125" customWidth="1"/>
  </cols>
  <sheetData>
    <row r="1" spans="1:15" ht="21" x14ac:dyDescent="0.35">
      <c r="B1" s="20" t="s">
        <v>0</v>
      </c>
    </row>
    <row r="2" spans="1:15" ht="14.25" customHeight="1" x14ac:dyDescent="0.3">
      <c r="B2" s="2"/>
    </row>
    <row r="3" spans="1:15" ht="23.25" customHeight="1" x14ac:dyDescent="0.25">
      <c r="B3" s="86" t="s">
        <v>382</v>
      </c>
      <c r="C3" s="87"/>
      <c r="D3" s="87"/>
      <c r="E3" s="87"/>
      <c r="F3" s="87"/>
      <c r="G3" s="87"/>
      <c r="H3" s="87"/>
      <c r="I3" s="87"/>
      <c r="J3" s="87"/>
      <c r="K3" s="87"/>
      <c r="L3" s="110"/>
      <c r="M3" s="122" t="s">
        <v>264</v>
      </c>
      <c r="N3" s="123"/>
    </row>
    <row r="4" spans="1:15" ht="23.25" customHeight="1" x14ac:dyDescent="0.25">
      <c r="B4" s="88" t="s">
        <v>383</v>
      </c>
      <c r="C4" s="89"/>
      <c r="D4" s="89"/>
      <c r="E4" s="89"/>
      <c r="F4" s="89"/>
      <c r="G4" s="89"/>
      <c r="H4" s="89"/>
      <c r="I4" s="89"/>
      <c r="J4" s="89"/>
      <c r="K4" s="89"/>
      <c r="L4" s="89"/>
      <c r="M4" s="89"/>
      <c r="N4" s="90"/>
    </row>
    <row r="5" spans="1:15" ht="23.25" customHeight="1" x14ac:dyDescent="0.25">
      <c r="B5" s="91" t="s">
        <v>381</v>
      </c>
      <c r="C5" s="92"/>
      <c r="D5" s="92"/>
      <c r="E5" s="92"/>
      <c r="F5" s="92"/>
      <c r="G5" s="92"/>
      <c r="H5" s="92"/>
      <c r="I5" s="92"/>
      <c r="J5" s="92"/>
      <c r="K5" s="92"/>
      <c r="L5" s="92"/>
      <c r="M5" s="111"/>
      <c r="N5" s="76" t="s">
        <v>372</v>
      </c>
    </row>
    <row r="7" spans="1:15" ht="40.5" customHeight="1" x14ac:dyDescent="0.25">
      <c r="B7" s="3">
        <f>SUM(B28,B40)</f>
        <v>10909.147214962122</v>
      </c>
      <c r="C7" s="93" t="s">
        <v>384</v>
      </c>
      <c r="D7" s="94"/>
      <c r="E7" s="94"/>
      <c r="F7" s="94"/>
      <c r="G7" s="94"/>
      <c r="H7" s="94"/>
      <c r="I7" s="94"/>
      <c r="J7" s="94"/>
      <c r="K7" s="94"/>
      <c r="L7" s="94"/>
      <c r="M7" s="94"/>
      <c r="N7" s="94"/>
      <c r="O7" s="112">
        <f>B7/regional_ldv_mmbtu</f>
        <v>9.8722231400243207E-2</v>
      </c>
    </row>
    <row r="9" spans="1:15" ht="18.75" x14ac:dyDescent="0.3">
      <c r="C9" s="2" t="s">
        <v>1</v>
      </c>
    </row>
    <row r="10" spans="1:15" x14ac:dyDescent="0.25">
      <c r="C10" s="5"/>
    </row>
    <row r="11" spans="1:15" ht="39" customHeight="1" x14ac:dyDescent="0.25">
      <c r="A11" s="1">
        <v>1</v>
      </c>
      <c r="B11" s="115">
        <f>IF(ISNA(INDEX(town_vehicles[Vehicles],MATCH(M3,town_vehicles[Municipality]))),0,INDEX(town_vehicles[Vehicles],MATCH(M3,town_vehicles[Municipality])))-B34</f>
        <v>139</v>
      </c>
      <c r="C11" s="113" t="s">
        <v>374</v>
      </c>
      <c r="D11" s="94"/>
      <c r="E11" s="94"/>
      <c r="F11" s="94"/>
      <c r="G11" s="94"/>
      <c r="H11" s="94"/>
      <c r="I11" s="94"/>
      <c r="J11" s="94"/>
      <c r="K11" s="94"/>
      <c r="L11" s="94"/>
      <c r="M11" s="94"/>
      <c r="N11" s="94"/>
      <c r="O11" s="28">
        <f>B11/regional_ldv_count</f>
        <v>9.3288590604026847E-2</v>
      </c>
    </row>
    <row r="12" spans="1:15" ht="39" customHeight="1" x14ac:dyDescent="0.25">
      <c r="B12" s="7"/>
      <c r="C12" s="8"/>
      <c r="D12" s="9" t="s">
        <v>386</v>
      </c>
      <c r="E12" s="96" t="s">
        <v>3</v>
      </c>
      <c r="F12" s="96"/>
      <c r="G12" s="97" t="s">
        <v>385</v>
      </c>
      <c r="H12" s="97"/>
      <c r="I12" s="97"/>
      <c r="J12" s="97"/>
      <c r="K12" s="97"/>
      <c r="L12" s="97"/>
      <c r="M12" s="97"/>
      <c r="N12" s="97"/>
    </row>
    <row r="13" spans="1:15" ht="39" customHeight="1" x14ac:dyDescent="0.25">
      <c r="B13" s="7"/>
      <c r="C13" s="8"/>
      <c r="D13" s="9" t="s">
        <v>5</v>
      </c>
      <c r="E13" s="97" t="s">
        <v>4</v>
      </c>
      <c r="F13" s="97"/>
      <c r="G13" s="94" t="s">
        <v>387</v>
      </c>
      <c r="H13" s="94"/>
      <c r="I13" s="94"/>
      <c r="J13" s="94"/>
      <c r="K13" s="94"/>
      <c r="L13" s="94"/>
      <c r="M13" s="94"/>
      <c r="N13" s="94"/>
    </row>
    <row r="14" spans="1:15" ht="39" customHeight="1" x14ac:dyDescent="0.25">
      <c r="B14" s="7"/>
      <c r="C14" s="8"/>
      <c r="D14" s="9" t="s">
        <v>5</v>
      </c>
      <c r="E14" s="97" t="s">
        <v>6</v>
      </c>
      <c r="F14" s="97"/>
      <c r="G14" s="97"/>
      <c r="H14" s="97"/>
      <c r="I14" s="97"/>
      <c r="J14" s="97"/>
      <c r="K14" s="97"/>
      <c r="L14" s="97"/>
      <c r="M14" s="97"/>
      <c r="N14" s="97"/>
    </row>
    <row r="15" spans="1:15" ht="48.75" customHeight="1" x14ac:dyDescent="0.25">
      <c r="A15" s="1">
        <v>2</v>
      </c>
      <c r="B15" s="6">
        <v>12500</v>
      </c>
      <c r="C15" s="95" t="s">
        <v>63</v>
      </c>
      <c r="D15" s="94"/>
      <c r="E15" s="94"/>
      <c r="F15" s="94"/>
      <c r="G15" s="94"/>
      <c r="H15" s="94"/>
      <c r="I15" s="94"/>
      <c r="J15" s="94"/>
      <c r="K15" s="94"/>
      <c r="L15" s="94"/>
      <c r="M15" s="94"/>
      <c r="N15" s="94"/>
      <c r="O15" s="19">
        <f>B15*O11</f>
        <v>1166.1073825503356</v>
      </c>
    </row>
    <row r="16" spans="1:15" ht="60.75" customHeight="1" x14ac:dyDescent="0.25">
      <c r="A16" s="1">
        <v>3</v>
      </c>
      <c r="B16" s="6">
        <v>22</v>
      </c>
      <c r="C16" s="95" t="s">
        <v>64</v>
      </c>
      <c r="D16" s="94"/>
      <c r="E16" s="94"/>
      <c r="F16" s="94"/>
      <c r="G16" s="94"/>
      <c r="H16" s="94"/>
      <c r="I16" s="94"/>
      <c r="J16" s="94"/>
      <c r="K16" s="94"/>
      <c r="L16" s="94"/>
      <c r="M16" s="94"/>
      <c r="N16" s="94"/>
      <c r="O16" s="63">
        <f>B16*O11</f>
        <v>2.0523489932885908</v>
      </c>
    </row>
    <row r="17" spans="1:15" s="60" customFormat="1" ht="39" customHeight="1" x14ac:dyDescent="0.25">
      <c r="A17" s="10"/>
      <c r="D17" s="12">
        <v>0.4</v>
      </c>
      <c r="E17" s="85" t="s">
        <v>7</v>
      </c>
      <c r="F17" s="85"/>
      <c r="G17" s="85"/>
      <c r="H17" s="85"/>
      <c r="I17" s="85"/>
      <c r="J17" s="85"/>
      <c r="K17" s="85"/>
      <c r="L17" s="85"/>
      <c r="M17" s="85"/>
      <c r="N17" s="85"/>
    </row>
    <row r="18" spans="1:15" s="60" customFormat="1" ht="39" customHeight="1" x14ac:dyDescent="0.25">
      <c r="A18" s="10"/>
      <c r="D18" s="12">
        <f>150000/583770</f>
        <v>0.25695051133151753</v>
      </c>
      <c r="E18" s="94" t="s">
        <v>8</v>
      </c>
      <c r="F18" s="94"/>
      <c r="G18" s="94"/>
      <c r="H18" s="94"/>
      <c r="I18" s="94"/>
      <c r="J18" s="94"/>
      <c r="K18" s="94"/>
      <c r="L18" s="94"/>
      <c r="M18" s="94"/>
      <c r="N18" s="94"/>
    </row>
    <row r="19" spans="1:15" s="60" customFormat="1" ht="39" customHeight="1" x14ac:dyDescent="0.25">
      <c r="A19" s="10"/>
      <c r="D19" s="12">
        <v>0.86</v>
      </c>
      <c r="E19" s="94" t="s">
        <v>9</v>
      </c>
      <c r="F19" s="94"/>
      <c r="G19" s="94"/>
      <c r="H19" s="94"/>
      <c r="I19" s="94"/>
      <c r="J19" s="94"/>
      <c r="K19" s="94"/>
      <c r="L19" s="94"/>
      <c r="M19" s="94"/>
      <c r="N19" s="94"/>
    </row>
    <row r="20" spans="1:15" ht="55.5" customHeight="1" x14ac:dyDescent="0.25">
      <c r="B20" s="13">
        <f>B11*B15/B16</f>
        <v>78977.272727272721</v>
      </c>
      <c r="C20" s="94" t="s">
        <v>65</v>
      </c>
      <c r="D20" s="94"/>
      <c r="E20" s="94"/>
      <c r="F20" s="94"/>
      <c r="G20" s="94"/>
      <c r="H20" s="94"/>
      <c r="I20" s="94"/>
      <c r="J20" s="94"/>
      <c r="K20" s="94"/>
      <c r="L20" s="94"/>
      <c r="M20" s="94"/>
      <c r="N20" s="94"/>
      <c r="O20" s="28">
        <f>B20/regional_gsl_gallons</f>
        <v>0.10422202680800473</v>
      </c>
    </row>
    <row r="21" spans="1:15" ht="55.5" customHeight="1" x14ac:dyDescent="0.25">
      <c r="A21" s="1">
        <v>4</v>
      </c>
      <c r="B21" s="14">
        <v>0.09</v>
      </c>
      <c r="C21" s="95" t="s">
        <v>66</v>
      </c>
      <c r="D21" s="94"/>
      <c r="E21" s="94"/>
      <c r="F21" s="94"/>
      <c r="G21" s="94"/>
      <c r="H21" s="94"/>
      <c r="I21" s="94"/>
      <c r="J21" s="94"/>
      <c r="K21" s="94"/>
      <c r="L21" s="94"/>
      <c r="M21" s="94"/>
      <c r="N21" s="94"/>
      <c r="O21" s="64">
        <f>B21*O20</f>
        <v>9.3799824127204258E-3</v>
      </c>
    </row>
    <row r="22" spans="1:15" ht="39" customHeight="1" x14ac:dyDescent="0.25">
      <c r="B22" s="13">
        <f>(1-B21)*B20</f>
        <v>71869.318181818177</v>
      </c>
      <c r="C22" s="94" t="s">
        <v>54</v>
      </c>
      <c r="D22" s="94"/>
      <c r="E22" s="94"/>
      <c r="F22" s="94"/>
      <c r="G22" s="94"/>
      <c r="H22" s="94"/>
      <c r="I22" s="94"/>
      <c r="J22" s="94"/>
      <c r="K22" s="94"/>
      <c r="L22" s="94"/>
      <c r="M22" s="94"/>
      <c r="N22" s="94"/>
    </row>
    <row r="23" spans="1:15" ht="39" customHeight="1" x14ac:dyDescent="0.25">
      <c r="B23" s="13">
        <f>fossilBtu</f>
        <v>121258.5</v>
      </c>
      <c r="C23" s="94" t="s">
        <v>10</v>
      </c>
      <c r="D23" s="94"/>
      <c r="E23" s="94"/>
      <c r="F23" s="94"/>
      <c r="G23" s="94"/>
      <c r="H23" s="94"/>
      <c r="I23" s="94"/>
      <c r="J23" s="94"/>
      <c r="K23" s="94"/>
      <c r="L23" s="94"/>
      <c r="M23" s="94"/>
      <c r="N23" s="94"/>
    </row>
    <row r="24" spans="1:15" ht="39" customHeight="1" x14ac:dyDescent="0.25">
      <c r="B24" s="13">
        <f>B22*B23/1000000</f>
        <v>8714.7657187500008</v>
      </c>
      <c r="C24" s="94" t="s">
        <v>11</v>
      </c>
      <c r="D24" s="94"/>
      <c r="E24" s="94"/>
      <c r="F24" s="94"/>
      <c r="G24" s="94"/>
      <c r="H24" s="94"/>
      <c r="I24" s="94"/>
      <c r="J24" s="94"/>
      <c r="K24" s="94"/>
      <c r="L24" s="94"/>
      <c r="M24" s="94"/>
      <c r="N24" s="94"/>
    </row>
    <row r="25" spans="1:15" ht="39" customHeight="1" x14ac:dyDescent="0.25">
      <c r="B25" s="13">
        <f>B20-B22</f>
        <v>7107.9545454545441</v>
      </c>
      <c r="C25" s="94" t="s">
        <v>55</v>
      </c>
      <c r="D25" s="94"/>
      <c r="E25" s="94"/>
      <c r="F25" s="94"/>
      <c r="G25" s="94"/>
      <c r="H25" s="94"/>
      <c r="I25" s="94"/>
      <c r="J25" s="94"/>
      <c r="K25" s="94"/>
      <c r="L25" s="94"/>
      <c r="M25" s="94"/>
      <c r="N25" s="94"/>
    </row>
    <row r="26" spans="1:15" ht="39" customHeight="1" x14ac:dyDescent="0.25">
      <c r="B26" s="13">
        <v>84710</v>
      </c>
      <c r="C26" s="94" t="s">
        <v>12</v>
      </c>
      <c r="D26" s="94"/>
      <c r="E26" s="94"/>
      <c r="F26" s="94"/>
      <c r="G26" s="94"/>
      <c r="H26" s="94"/>
      <c r="I26" s="94"/>
      <c r="J26" s="94"/>
      <c r="K26" s="94"/>
      <c r="L26" s="94"/>
      <c r="M26" s="94"/>
      <c r="N26" s="94"/>
    </row>
    <row r="27" spans="1:15" ht="39" customHeight="1" x14ac:dyDescent="0.25">
      <c r="B27" s="13">
        <f>B25*B26/1000000</f>
        <v>602.11482954545443</v>
      </c>
      <c r="C27" s="94" t="s">
        <v>13</v>
      </c>
      <c r="D27" s="94"/>
      <c r="E27" s="94"/>
      <c r="F27" s="94"/>
      <c r="G27" s="94"/>
      <c r="H27" s="94"/>
      <c r="I27" s="94"/>
      <c r="J27" s="94"/>
      <c r="K27" s="94"/>
      <c r="L27" s="94"/>
      <c r="M27" s="94"/>
      <c r="N27" s="94"/>
    </row>
    <row r="28" spans="1:15" ht="39" customHeight="1" x14ac:dyDescent="0.25">
      <c r="B28" s="3">
        <f>B24+B27</f>
        <v>9316.8805482954558</v>
      </c>
      <c r="C28" s="93" t="s">
        <v>56</v>
      </c>
      <c r="D28" s="94"/>
      <c r="E28" s="94"/>
      <c r="F28" s="94"/>
      <c r="G28" s="94"/>
      <c r="H28" s="94"/>
      <c r="I28" s="94"/>
      <c r="J28" s="94"/>
      <c r="K28" s="94"/>
      <c r="L28" s="94"/>
      <c r="M28" s="94"/>
      <c r="N28" s="94"/>
    </row>
    <row r="29" spans="1:15" x14ac:dyDescent="0.25">
      <c r="B29" s="7"/>
    </row>
    <row r="30" spans="1:15" x14ac:dyDescent="0.25">
      <c r="B30" s="7"/>
      <c r="C30" s="4" t="s">
        <v>14</v>
      </c>
    </row>
    <row r="31" spans="1:15" x14ac:dyDescent="0.25">
      <c r="B31" s="7"/>
      <c r="C31" s="4"/>
    </row>
    <row r="32" spans="1:15" x14ac:dyDescent="0.25">
      <c r="B32" s="7" t="s">
        <v>15</v>
      </c>
      <c r="C32" s="5"/>
    </row>
    <row r="33" spans="1:15" x14ac:dyDescent="0.25">
      <c r="B33" s="7"/>
      <c r="C33" s="5"/>
    </row>
    <row r="34" spans="1:15" ht="39" customHeight="1" x14ac:dyDescent="0.25">
      <c r="A34" s="1">
        <v>1</v>
      </c>
      <c r="B34" s="15">
        <v>200</v>
      </c>
      <c r="C34" s="95" t="s">
        <v>67</v>
      </c>
      <c r="D34" s="94"/>
      <c r="E34" s="94"/>
      <c r="F34" s="94"/>
      <c r="G34" s="94"/>
      <c r="H34" s="94"/>
      <c r="I34" s="94"/>
      <c r="J34" s="94"/>
      <c r="K34" s="94"/>
      <c r="L34" s="94"/>
      <c r="M34" s="94"/>
      <c r="O34" s="28">
        <f>B34/regional_ev_count</f>
        <v>0.10526315789473684</v>
      </c>
    </row>
    <row r="35" spans="1:15" ht="39" customHeight="1" x14ac:dyDescent="0.25">
      <c r="B35" s="16"/>
      <c r="C35" s="16"/>
      <c r="D35" s="9" t="s">
        <v>2</v>
      </c>
      <c r="E35" s="17" t="s">
        <v>16</v>
      </c>
      <c r="F35" s="16"/>
      <c r="G35" s="16"/>
      <c r="H35" s="16"/>
      <c r="I35" s="16"/>
      <c r="J35" s="16"/>
      <c r="K35" s="16"/>
      <c r="L35" s="16"/>
      <c r="M35" s="16"/>
      <c r="N35" s="16"/>
    </row>
    <row r="36" spans="1:15" ht="39" customHeight="1" x14ac:dyDescent="0.25">
      <c r="B36" s="15">
        <v>7000</v>
      </c>
      <c r="C36" s="94" t="s">
        <v>388</v>
      </c>
      <c r="D36" s="94"/>
      <c r="E36" s="94"/>
      <c r="F36" s="94"/>
      <c r="G36" s="94"/>
      <c r="H36" s="94"/>
      <c r="I36" s="94"/>
      <c r="J36" s="94"/>
      <c r="K36" s="94"/>
      <c r="L36" s="94"/>
      <c r="M36" s="94"/>
      <c r="N36" s="94"/>
      <c r="O36" s="19">
        <f>B36*O34</f>
        <v>736.8421052631578</v>
      </c>
    </row>
    <row r="37" spans="1:15" ht="39" customHeight="1" x14ac:dyDescent="0.25">
      <c r="B37" s="13">
        <v>3</v>
      </c>
      <c r="C37" s="97" t="s">
        <v>17</v>
      </c>
      <c r="D37" s="97"/>
      <c r="E37" s="97"/>
      <c r="F37" s="97"/>
      <c r="G37" s="97"/>
      <c r="H37" s="97"/>
      <c r="I37" s="97"/>
      <c r="J37" s="97"/>
      <c r="K37" s="97"/>
      <c r="L37" s="97"/>
      <c r="M37" s="97"/>
      <c r="N37" s="97"/>
    </row>
    <row r="38" spans="1:15" ht="39" customHeight="1" x14ac:dyDescent="0.25">
      <c r="B38" s="13">
        <f>B34*B36/B37</f>
        <v>466666.66666666669</v>
      </c>
      <c r="C38" s="97" t="s">
        <v>57</v>
      </c>
      <c r="D38" s="97"/>
      <c r="E38" s="97"/>
      <c r="F38" s="97"/>
      <c r="G38" s="97"/>
      <c r="H38" s="97"/>
      <c r="I38" s="97"/>
      <c r="J38" s="97"/>
      <c r="K38" s="97"/>
      <c r="L38" s="97"/>
      <c r="M38" s="97"/>
      <c r="N38" s="97"/>
    </row>
    <row r="39" spans="1:15" ht="39" customHeight="1" x14ac:dyDescent="0.25">
      <c r="B39" s="13">
        <v>3412</v>
      </c>
      <c r="C39" s="97" t="s">
        <v>18</v>
      </c>
      <c r="D39" s="97"/>
      <c r="E39" s="97"/>
      <c r="F39" s="97"/>
      <c r="G39" s="97"/>
      <c r="H39" s="97"/>
      <c r="I39" s="97"/>
      <c r="J39" s="97"/>
      <c r="K39" s="97"/>
      <c r="L39" s="97"/>
      <c r="M39" s="97"/>
      <c r="N39" s="97"/>
    </row>
    <row r="40" spans="1:15" ht="39" customHeight="1" x14ac:dyDescent="0.25">
      <c r="B40" s="3">
        <f>B38*B39/1000000</f>
        <v>1592.2666666666667</v>
      </c>
      <c r="C40" s="99" t="s">
        <v>19</v>
      </c>
      <c r="D40" s="97"/>
      <c r="E40" s="97"/>
      <c r="F40" s="97"/>
      <c r="G40" s="97"/>
      <c r="H40" s="97"/>
      <c r="I40" s="97"/>
      <c r="J40" s="97"/>
      <c r="K40" s="97"/>
      <c r="L40" s="97"/>
      <c r="M40" s="97"/>
      <c r="N40" s="97"/>
    </row>
    <row r="41" spans="1:15" x14ac:dyDescent="0.25">
      <c r="B41" s="7"/>
    </row>
    <row r="43" spans="1:15" x14ac:dyDescent="0.25">
      <c r="C43" s="5"/>
    </row>
    <row r="45" spans="1:15" x14ac:dyDescent="0.25">
      <c r="B45" s="7"/>
    </row>
    <row r="50" spans="2:2" x14ac:dyDescent="0.25">
      <c r="B50" s="7"/>
    </row>
    <row r="52" spans="2:2" x14ac:dyDescent="0.25">
      <c r="B52" s="7"/>
    </row>
    <row r="54" spans="2:2" x14ac:dyDescent="0.25">
      <c r="B54" s="18"/>
    </row>
    <row r="55" spans="2:2" x14ac:dyDescent="0.25">
      <c r="B55" s="18"/>
    </row>
    <row r="56" spans="2:2" x14ac:dyDescent="0.25">
      <c r="B56" s="18"/>
    </row>
    <row r="70" spans="2:2" x14ac:dyDescent="0.25">
      <c r="B70" s="7"/>
    </row>
  </sheetData>
  <mergeCells count="31">
    <mergeCell ref="C40:N40"/>
    <mergeCell ref="C28:N28"/>
    <mergeCell ref="C34:M34"/>
    <mergeCell ref="C36:N36"/>
    <mergeCell ref="C37:N37"/>
    <mergeCell ref="C38:N38"/>
    <mergeCell ref="C39:N39"/>
    <mergeCell ref="C22:N22"/>
    <mergeCell ref="C23:N23"/>
    <mergeCell ref="C24:N24"/>
    <mergeCell ref="C25:N25"/>
    <mergeCell ref="C26:N26"/>
    <mergeCell ref="C27:N27"/>
    <mergeCell ref="C16:N16"/>
    <mergeCell ref="E17:N17"/>
    <mergeCell ref="E18:N18"/>
    <mergeCell ref="E19:N19"/>
    <mergeCell ref="C20:N20"/>
    <mergeCell ref="C21:N21"/>
    <mergeCell ref="E12:F12"/>
    <mergeCell ref="G12:N12"/>
    <mergeCell ref="E13:F13"/>
    <mergeCell ref="G13:N13"/>
    <mergeCell ref="E14:N14"/>
    <mergeCell ref="C15:N15"/>
    <mergeCell ref="B3:L3"/>
    <mergeCell ref="M3:N3"/>
    <mergeCell ref="B4:N4"/>
    <mergeCell ref="B5:M5"/>
    <mergeCell ref="C7:N7"/>
    <mergeCell ref="C11:N11"/>
  </mergeCells>
  <dataValidations count="1">
    <dataValidation type="list" allowBlank="1" showInputMessage="1" showErrorMessage="1" sqref="M3:N3">
      <formula1>INDIRECT("town_population[Municipality]")</formula1>
    </dataValidation>
  </dataValidations>
  <hyperlinks>
    <hyperlink ref="E12" r:id="rId1" display="Census data"/>
    <hyperlink ref="E35" r:id="rId2"/>
  </hyperlinks>
  <pageMargins left="0.7" right="0.7" top="0.75" bottom="0.75" header="0.3" footer="0.3"/>
  <pageSetup paperSize="0" orientation="portrait"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autoPageBreaks="0"/>
  </sheetPr>
  <dimension ref="A1:O70"/>
  <sheetViews>
    <sheetView zoomScale="70" zoomScaleNormal="70" workbookViewId="0"/>
  </sheetViews>
  <sheetFormatPr defaultRowHeight="15" x14ac:dyDescent="0.25"/>
  <cols>
    <col min="1" max="1" width="2.5703125" style="1" bestFit="1" customWidth="1"/>
    <col min="2" max="14" width="15.85546875" customWidth="1"/>
    <col min="15" max="15" width="12.5703125" customWidth="1"/>
  </cols>
  <sheetData>
    <row r="1" spans="1:15" ht="21" x14ac:dyDescent="0.35">
      <c r="B1" s="20" t="s">
        <v>0</v>
      </c>
    </row>
    <row r="2" spans="1:15" ht="14.25" customHeight="1" x14ac:dyDescent="0.3">
      <c r="B2" s="2"/>
    </row>
    <row r="3" spans="1:15" ht="23.25" customHeight="1" x14ac:dyDescent="0.25">
      <c r="B3" s="86" t="s">
        <v>382</v>
      </c>
      <c r="C3" s="87"/>
      <c r="D3" s="87"/>
      <c r="E3" s="87"/>
      <c r="F3" s="87"/>
      <c r="G3" s="87"/>
      <c r="H3" s="87"/>
      <c r="I3" s="87"/>
      <c r="J3" s="87"/>
      <c r="K3" s="87"/>
      <c r="L3" s="110"/>
      <c r="M3" s="122" t="s">
        <v>264</v>
      </c>
      <c r="N3" s="123"/>
    </row>
    <row r="4" spans="1:15" ht="23.25" customHeight="1" x14ac:dyDescent="0.25">
      <c r="B4" s="88" t="s">
        <v>383</v>
      </c>
      <c r="C4" s="89"/>
      <c r="D4" s="89"/>
      <c r="E4" s="89"/>
      <c r="F4" s="89"/>
      <c r="G4" s="89"/>
      <c r="H4" s="89"/>
      <c r="I4" s="89"/>
      <c r="J4" s="89"/>
      <c r="K4" s="89"/>
      <c r="L4" s="89"/>
      <c r="M4" s="89"/>
      <c r="N4" s="90"/>
    </row>
    <row r="5" spans="1:15" ht="23.25" customHeight="1" x14ac:dyDescent="0.25">
      <c r="B5" s="91" t="s">
        <v>381</v>
      </c>
      <c r="C5" s="92"/>
      <c r="D5" s="92"/>
      <c r="E5" s="92"/>
      <c r="F5" s="92"/>
      <c r="G5" s="92"/>
      <c r="H5" s="92"/>
      <c r="I5" s="92"/>
      <c r="J5" s="92"/>
      <c r="K5" s="92"/>
      <c r="L5" s="92"/>
      <c r="M5" s="111"/>
      <c r="N5" s="76" t="s">
        <v>372</v>
      </c>
    </row>
    <row r="7" spans="1:15" ht="40.5" customHeight="1" x14ac:dyDescent="0.25">
      <c r="B7" s="3">
        <f>SUM(B28,B40)</f>
        <v>3230.4912585227271</v>
      </c>
      <c r="C7" s="93" t="s">
        <v>384</v>
      </c>
      <c r="D7" s="94"/>
      <c r="E7" s="94"/>
      <c r="F7" s="94"/>
      <c r="G7" s="94"/>
      <c r="H7" s="94"/>
      <c r="I7" s="94"/>
      <c r="J7" s="94"/>
      <c r="K7" s="94"/>
      <c r="L7" s="94"/>
      <c r="M7" s="94"/>
      <c r="N7" s="94"/>
      <c r="O7" s="112">
        <f>B7/regional_ldv_mmbtu</f>
        <v>2.9234302120603555E-2</v>
      </c>
    </row>
    <row r="9" spans="1:15" ht="18.75" x14ac:dyDescent="0.3">
      <c r="C9" s="2" t="s">
        <v>1</v>
      </c>
    </row>
    <row r="10" spans="1:15" x14ac:dyDescent="0.25">
      <c r="C10" s="5"/>
    </row>
    <row r="11" spans="1:15" ht="39" customHeight="1" x14ac:dyDescent="0.25">
      <c r="A11" s="1">
        <v>1</v>
      </c>
      <c r="B11" s="115">
        <f>IF(ISNA(INDEX(town_vehicles[Vehicles],MATCH(M3,town_vehicles[Municipality]))),0,INDEX(town_vehicles[Vehicles],MATCH(M3,town_vehicles[Municipality])))-B34</f>
        <v>9</v>
      </c>
      <c r="C11" s="113" t="s">
        <v>374</v>
      </c>
      <c r="D11" s="94"/>
      <c r="E11" s="94"/>
      <c r="F11" s="94"/>
      <c r="G11" s="94"/>
      <c r="H11" s="94"/>
      <c r="I11" s="94"/>
      <c r="J11" s="94"/>
      <c r="K11" s="94"/>
      <c r="L11" s="94"/>
      <c r="M11" s="94"/>
      <c r="N11" s="94"/>
      <c r="O11" s="28">
        <f>B11/regional_ldv_count</f>
        <v>6.0402684563758387E-3</v>
      </c>
    </row>
    <row r="12" spans="1:15" ht="39" customHeight="1" x14ac:dyDescent="0.25">
      <c r="B12" s="7"/>
      <c r="C12" s="8"/>
      <c r="D12" s="9" t="s">
        <v>386</v>
      </c>
      <c r="E12" s="96" t="s">
        <v>3</v>
      </c>
      <c r="F12" s="96"/>
      <c r="G12" s="97" t="s">
        <v>385</v>
      </c>
      <c r="H12" s="97"/>
      <c r="I12" s="97"/>
      <c r="J12" s="97"/>
      <c r="K12" s="97"/>
      <c r="L12" s="97"/>
      <c r="M12" s="97"/>
      <c r="N12" s="97"/>
    </row>
    <row r="13" spans="1:15" ht="39" customHeight="1" x14ac:dyDescent="0.25">
      <c r="B13" s="7"/>
      <c r="C13" s="8"/>
      <c r="D13" s="9" t="s">
        <v>5</v>
      </c>
      <c r="E13" s="97" t="s">
        <v>4</v>
      </c>
      <c r="F13" s="97"/>
      <c r="G13" s="94" t="s">
        <v>387</v>
      </c>
      <c r="H13" s="94"/>
      <c r="I13" s="94"/>
      <c r="J13" s="94"/>
      <c r="K13" s="94"/>
      <c r="L13" s="94"/>
      <c r="M13" s="94"/>
      <c r="N13" s="94"/>
    </row>
    <row r="14" spans="1:15" ht="39" customHeight="1" x14ac:dyDescent="0.25">
      <c r="B14" s="7"/>
      <c r="C14" s="8"/>
      <c r="D14" s="9" t="s">
        <v>5</v>
      </c>
      <c r="E14" s="97" t="s">
        <v>6</v>
      </c>
      <c r="F14" s="97"/>
      <c r="G14" s="97"/>
      <c r="H14" s="97"/>
      <c r="I14" s="97"/>
      <c r="J14" s="97"/>
      <c r="K14" s="97"/>
      <c r="L14" s="97"/>
      <c r="M14" s="97"/>
      <c r="N14" s="97"/>
    </row>
    <row r="15" spans="1:15" ht="48.75" customHeight="1" x14ac:dyDescent="0.25">
      <c r="A15" s="1">
        <v>2</v>
      </c>
      <c r="B15" s="6">
        <v>12500</v>
      </c>
      <c r="C15" s="95" t="s">
        <v>63</v>
      </c>
      <c r="D15" s="94"/>
      <c r="E15" s="94"/>
      <c r="F15" s="94"/>
      <c r="G15" s="94"/>
      <c r="H15" s="94"/>
      <c r="I15" s="94"/>
      <c r="J15" s="94"/>
      <c r="K15" s="94"/>
      <c r="L15" s="94"/>
      <c r="M15" s="94"/>
      <c r="N15" s="94"/>
      <c r="O15" s="19">
        <f>B15*O11</f>
        <v>75.503355704697981</v>
      </c>
    </row>
    <row r="16" spans="1:15" ht="60.75" customHeight="1" x14ac:dyDescent="0.25">
      <c r="A16" s="1">
        <v>3</v>
      </c>
      <c r="B16" s="6">
        <v>22</v>
      </c>
      <c r="C16" s="95" t="s">
        <v>64</v>
      </c>
      <c r="D16" s="94"/>
      <c r="E16" s="94"/>
      <c r="F16" s="94"/>
      <c r="G16" s="94"/>
      <c r="H16" s="94"/>
      <c r="I16" s="94"/>
      <c r="J16" s="94"/>
      <c r="K16" s="94"/>
      <c r="L16" s="94"/>
      <c r="M16" s="94"/>
      <c r="N16" s="94"/>
      <c r="O16" s="63">
        <f>B16*O11</f>
        <v>0.13288590604026845</v>
      </c>
    </row>
    <row r="17" spans="1:15" s="60" customFormat="1" ht="39" customHeight="1" x14ac:dyDescent="0.25">
      <c r="A17" s="10"/>
      <c r="D17" s="12">
        <v>0.4</v>
      </c>
      <c r="E17" s="85" t="s">
        <v>7</v>
      </c>
      <c r="F17" s="85"/>
      <c r="G17" s="85"/>
      <c r="H17" s="85"/>
      <c r="I17" s="85"/>
      <c r="J17" s="85"/>
      <c r="K17" s="85"/>
      <c r="L17" s="85"/>
      <c r="M17" s="85"/>
      <c r="N17" s="85"/>
    </row>
    <row r="18" spans="1:15" s="60" customFormat="1" ht="39" customHeight="1" x14ac:dyDescent="0.25">
      <c r="A18" s="10"/>
      <c r="D18" s="12">
        <f>150000/583770</f>
        <v>0.25695051133151753</v>
      </c>
      <c r="E18" s="94" t="s">
        <v>8</v>
      </c>
      <c r="F18" s="94"/>
      <c r="G18" s="94"/>
      <c r="H18" s="94"/>
      <c r="I18" s="94"/>
      <c r="J18" s="94"/>
      <c r="K18" s="94"/>
      <c r="L18" s="94"/>
      <c r="M18" s="94"/>
      <c r="N18" s="94"/>
    </row>
    <row r="19" spans="1:15" s="60" customFormat="1" ht="39" customHeight="1" x14ac:dyDescent="0.25">
      <c r="A19" s="10"/>
      <c r="D19" s="12">
        <v>0.86</v>
      </c>
      <c r="E19" s="94" t="s">
        <v>9</v>
      </c>
      <c r="F19" s="94"/>
      <c r="G19" s="94"/>
      <c r="H19" s="94"/>
      <c r="I19" s="94"/>
      <c r="J19" s="94"/>
      <c r="K19" s="94"/>
      <c r="L19" s="94"/>
      <c r="M19" s="94"/>
      <c r="N19" s="94"/>
    </row>
    <row r="20" spans="1:15" ht="55.5" customHeight="1" x14ac:dyDescent="0.25">
      <c r="B20" s="13">
        <f>B11*B15/B16</f>
        <v>5113.636363636364</v>
      </c>
      <c r="C20" s="94" t="s">
        <v>65</v>
      </c>
      <c r="D20" s="94"/>
      <c r="E20" s="94"/>
      <c r="F20" s="94"/>
      <c r="G20" s="94"/>
      <c r="H20" s="94"/>
      <c r="I20" s="94"/>
      <c r="J20" s="94"/>
      <c r="K20" s="94"/>
      <c r="L20" s="94"/>
      <c r="M20" s="94"/>
      <c r="N20" s="94"/>
      <c r="O20" s="28">
        <f>B20/regional_gsl_gallons</f>
        <v>6.7481887861298041E-3</v>
      </c>
    </row>
    <row r="21" spans="1:15" ht="55.5" customHeight="1" x14ac:dyDescent="0.25">
      <c r="A21" s="1">
        <v>4</v>
      </c>
      <c r="B21" s="14">
        <v>0.09</v>
      </c>
      <c r="C21" s="95" t="s">
        <v>66</v>
      </c>
      <c r="D21" s="94"/>
      <c r="E21" s="94"/>
      <c r="F21" s="94"/>
      <c r="G21" s="94"/>
      <c r="H21" s="94"/>
      <c r="I21" s="94"/>
      <c r="J21" s="94"/>
      <c r="K21" s="94"/>
      <c r="L21" s="94"/>
      <c r="M21" s="94"/>
      <c r="N21" s="94"/>
      <c r="O21" s="64">
        <f>B21*O20</f>
        <v>6.073369907516824E-4</v>
      </c>
    </row>
    <row r="22" spans="1:15" ht="39" customHeight="1" x14ac:dyDescent="0.25">
      <c r="B22" s="13">
        <f>(1-B21)*B20</f>
        <v>4653.409090909091</v>
      </c>
      <c r="C22" s="94" t="s">
        <v>54</v>
      </c>
      <c r="D22" s="94"/>
      <c r="E22" s="94"/>
      <c r="F22" s="94"/>
      <c r="G22" s="94"/>
      <c r="H22" s="94"/>
      <c r="I22" s="94"/>
      <c r="J22" s="94"/>
      <c r="K22" s="94"/>
      <c r="L22" s="94"/>
      <c r="M22" s="94"/>
      <c r="N22" s="94"/>
    </row>
    <row r="23" spans="1:15" ht="39" customHeight="1" x14ac:dyDescent="0.25">
      <c r="B23" s="13">
        <f>fossilBtu</f>
        <v>121258.5</v>
      </c>
      <c r="C23" s="94" t="s">
        <v>10</v>
      </c>
      <c r="D23" s="94"/>
      <c r="E23" s="94"/>
      <c r="F23" s="94"/>
      <c r="G23" s="94"/>
      <c r="H23" s="94"/>
      <c r="I23" s="94"/>
      <c r="J23" s="94"/>
      <c r="K23" s="94"/>
      <c r="L23" s="94"/>
      <c r="M23" s="94"/>
      <c r="N23" s="94"/>
    </row>
    <row r="24" spans="1:15" ht="39" customHeight="1" x14ac:dyDescent="0.25">
      <c r="B24" s="13">
        <f>B22*B23/1000000</f>
        <v>564.26540624999996</v>
      </c>
      <c r="C24" s="94" t="s">
        <v>11</v>
      </c>
      <c r="D24" s="94"/>
      <c r="E24" s="94"/>
      <c r="F24" s="94"/>
      <c r="G24" s="94"/>
      <c r="H24" s="94"/>
      <c r="I24" s="94"/>
      <c r="J24" s="94"/>
      <c r="K24" s="94"/>
      <c r="L24" s="94"/>
      <c r="M24" s="94"/>
      <c r="N24" s="94"/>
    </row>
    <row r="25" spans="1:15" ht="39" customHeight="1" x14ac:dyDescent="0.25">
      <c r="B25" s="13">
        <f>B20-B22</f>
        <v>460.22727272727298</v>
      </c>
      <c r="C25" s="94" t="s">
        <v>55</v>
      </c>
      <c r="D25" s="94"/>
      <c r="E25" s="94"/>
      <c r="F25" s="94"/>
      <c r="G25" s="94"/>
      <c r="H25" s="94"/>
      <c r="I25" s="94"/>
      <c r="J25" s="94"/>
      <c r="K25" s="94"/>
      <c r="L25" s="94"/>
      <c r="M25" s="94"/>
      <c r="N25" s="94"/>
    </row>
    <row r="26" spans="1:15" ht="39" customHeight="1" x14ac:dyDescent="0.25">
      <c r="B26" s="13">
        <v>84710</v>
      </c>
      <c r="C26" s="94" t="s">
        <v>12</v>
      </c>
      <c r="D26" s="94"/>
      <c r="E26" s="94"/>
      <c r="F26" s="94"/>
      <c r="G26" s="94"/>
      <c r="H26" s="94"/>
      <c r="I26" s="94"/>
      <c r="J26" s="94"/>
      <c r="K26" s="94"/>
      <c r="L26" s="94"/>
      <c r="M26" s="94"/>
      <c r="N26" s="94"/>
    </row>
    <row r="27" spans="1:15" ht="39" customHeight="1" x14ac:dyDescent="0.25">
      <c r="B27" s="13">
        <f>B25*B26/1000000</f>
        <v>38.985852272727293</v>
      </c>
      <c r="C27" s="94" t="s">
        <v>13</v>
      </c>
      <c r="D27" s="94"/>
      <c r="E27" s="94"/>
      <c r="F27" s="94"/>
      <c r="G27" s="94"/>
      <c r="H27" s="94"/>
      <c r="I27" s="94"/>
      <c r="J27" s="94"/>
      <c r="K27" s="94"/>
      <c r="L27" s="94"/>
      <c r="M27" s="94"/>
      <c r="N27" s="94"/>
    </row>
    <row r="28" spans="1:15" ht="39" customHeight="1" x14ac:dyDescent="0.25">
      <c r="B28" s="3">
        <f>B24+B27</f>
        <v>603.2512585227272</v>
      </c>
      <c r="C28" s="93" t="s">
        <v>56</v>
      </c>
      <c r="D28" s="94"/>
      <c r="E28" s="94"/>
      <c r="F28" s="94"/>
      <c r="G28" s="94"/>
      <c r="H28" s="94"/>
      <c r="I28" s="94"/>
      <c r="J28" s="94"/>
      <c r="K28" s="94"/>
      <c r="L28" s="94"/>
      <c r="M28" s="94"/>
      <c r="N28" s="94"/>
    </row>
    <row r="29" spans="1:15" x14ac:dyDescent="0.25">
      <c r="B29" s="7"/>
    </row>
    <row r="30" spans="1:15" x14ac:dyDescent="0.25">
      <c r="B30" s="7"/>
      <c r="C30" s="4" t="s">
        <v>14</v>
      </c>
    </row>
    <row r="31" spans="1:15" x14ac:dyDescent="0.25">
      <c r="B31" s="7"/>
      <c r="C31" s="4"/>
    </row>
    <row r="32" spans="1:15" x14ac:dyDescent="0.25">
      <c r="B32" s="7" t="s">
        <v>15</v>
      </c>
      <c r="C32" s="5"/>
    </row>
    <row r="33" spans="1:15" x14ac:dyDescent="0.25">
      <c r="B33" s="7"/>
      <c r="C33" s="5"/>
    </row>
    <row r="34" spans="1:15" ht="39" customHeight="1" x14ac:dyDescent="0.25">
      <c r="A34" s="1">
        <v>1</v>
      </c>
      <c r="B34" s="15">
        <v>330</v>
      </c>
      <c r="C34" s="95" t="s">
        <v>67</v>
      </c>
      <c r="D34" s="94"/>
      <c r="E34" s="94"/>
      <c r="F34" s="94"/>
      <c r="G34" s="94"/>
      <c r="H34" s="94"/>
      <c r="I34" s="94"/>
      <c r="J34" s="94"/>
      <c r="K34" s="94"/>
      <c r="L34" s="94"/>
      <c r="M34" s="94"/>
      <c r="O34" s="28">
        <f>B34/regional_ev_count</f>
        <v>0.1736842105263158</v>
      </c>
    </row>
    <row r="35" spans="1:15" ht="39" customHeight="1" x14ac:dyDescent="0.25">
      <c r="B35" s="16"/>
      <c r="C35" s="16"/>
      <c r="D35" s="9" t="s">
        <v>2</v>
      </c>
      <c r="E35" s="17" t="s">
        <v>16</v>
      </c>
      <c r="F35" s="16"/>
      <c r="G35" s="16"/>
      <c r="H35" s="16"/>
      <c r="I35" s="16"/>
      <c r="J35" s="16"/>
      <c r="K35" s="16"/>
      <c r="L35" s="16"/>
      <c r="M35" s="16"/>
      <c r="N35" s="16"/>
    </row>
    <row r="36" spans="1:15" ht="39" customHeight="1" x14ac:dyDescent="0.25">
      <c r="B36" s="15">
        <v>7000</v>
      </c>
      <c r="C36" s="94" t="s">
        <v>388</v>
      </c>
      <c r="D36" s="94"/>
      <c r="E36" s="94"/>
      <c r="F36" s="94"/>
      <c r="G36" s="94"/>
      <c r="H36" s="94"/>
      <c r="I36" s="94"/>
      <c r="J36" s="94"/>
      <c r="K36" s="94"/>
      <c r="L36" s="94"/>
      <c r="M36" s="94"/>
      <c r="N36" s="94"/>
      <c r="O36" s="19">
        <f>B36*O34</f>
        <v>1215.7894736842106</v>
      </c>
    </row>
    <row r="37" spans="1:15" ht="39" customHeight="1" x14ac:dyDescent="0.25">
      <c r="B37" s="13">
        <v>3</v>
      </c>
      <c r="C37" s="97" t="s">
        <v>17</v>
      </c>
      <c r="D37" s="97"/>
      <c r="E37" s="97"/>
      <c r="F37" s="97"/>
      <c r="G37" s="97"/>
      <c r="H37" s="97"/>
      <c r="I37" s="97"/>
      <c r="J37" s="97"/>
      <c r="K37" s="97"/>
      <c r="L37" s="97"/>
      <c r="M37" s="97"/>
      <c r="N37" s="97"/>
    </row>
    <row r="38" spans="1:15" ht="39" customHeight="1" x14ac:dyDescent="0.25">
      <c r="B38" s="13">
        <f>B34*B36/B37</f>
        <v>770000</v>
      </c>
      <c r="C38" s="97" t="s">
        <v>57</v>
      </c>
      <c r="D38" s="97"/>
      <c r="E38" s="97"/>
      <c r="F38" s="97"/>
      <c r="G38" s="97"/>
      <c r="H38" s="97"/>
      <c r="I38" s="97"/>
      <c r="J38" s="97"/>
      <c r="K38" s="97"/>
      <c r="L38" s="97"/>
      <c r="M38" s="97"/>
      <c r="N38" s="97"/>
    </row>
    <row r="39" spans="1:15" ht="39" customHeight="1" x14ac:dyDescent="0.25">
      <c r="B39" s="13">
        <v>3412</v>
      </c>
      <c r="C39" s="97" t="s">
        <v>18</v>
      </c>
      <c r="D39" s="97"/>
      <c r="E39" s="97"/>
      <c r="F39" s="97"/>
      <c r="G39" s="97"/>
      <c r="H39" s="97"/>
      <c r="I39" s="97"/>
      <c r="J39" s="97"/>
      <c r="K39" s="97"/>
      <c r="L39" s="97"/>
      <c r="M39" s="97"/>
      <c r="N39" s="97"/>
    </row>
    <row r="40" spans="1:15" ht="39" customHeight="1" x14ac:dyDescent="0.25">
      <c r="B40" s="3">
        <f>B38*B39/1000000</f>
        <v>2627.24</v>
      </c>
      <c r="C40" s="99" t="s">
        <v>19</v>
      </c>
      <c r="D40" s="97"/>
      <c r="E40" s="97"/>
      <c r="F40" s="97"/>
      <c r="G40" s="97"/>
      <c r="H40" s="97"/>
      <c r="I40" s="97"/>
      <c r="J40" s="97"/>
      <c r="K40" s="97"/>
      <c r="L40" s="97"/>
      <c r="M40" s="97"/>
      <c r="N40" s="97"/>
    </row>
    <row r="41" spans="1:15" x14ac:dyDescent="0.25">
      <c r="B41" s="7"/>
    </row>
    <row r="43" spans="1:15" x14ac:dyDescent="0.25">
      <c r="C43" s="5"/>
    </row>
    <row r="45" spans="1:15" x14ac:dyDescent="0.25">
      <c r="B45" s="7"/>
    </row>
    <row r="50" spans="2:2" x14ac:dyDescent="0.25">
      <c r="B50" s="7"/>
    </row>
    <row r="52" spans="2:2" x14ac:dyDescent="0.25">
      <c r="B52" s="7"/>
    </row>
    <row r="54" spans="2:2" x14ac:dyDescent="0.25">
      <c r="B54" s="18"/>
    </row>
    <row r="55" spans="2:2" x14ac:dyDescent="0.25">
      <c r="B55" s="18"/>
    </row>
    <row r="56" spans="2:2" x14ac:dyDescent="0.25">
      <c r="B56" s="18"/>
    </row>
    <row r="70" spans="2:2" x14ac:dyDescent="0.25">
      <c r="B70" s="7"/>
    </row>
  </sheetData>
  <mergeCells count="31">
    <mergeCell ref="C40:N40"/>
    <mergeCell ref="C28:N28"/>
    <mergeCell ref="C34:M34"/>
    <mergeCell ref="C36:N36"/>
    <mergeCell ref="C37:N37"/>
    <mergeCell ref="C38:N38"/>
    <mergeCell ref="C39:N39"/>
    <mergeCell ref="C22:N22"/>
    <mergeCell ref="C23:N23"/>
    <mergeCell ref="C24:N24"/>
    <mergeCell ref="C25:N25"/>
    <mergeCell ref="C26:N26"/>
    <mergeCell ref="C27:N27"/>
    <mergeCell ref="C16:N16"/>
    <mergeCell ref="E17:N17"/>
    <mergeCell ref="E18:N18"/>
    <mergeCell ref="E19:N19"/>
    <mergeCell ref="C20:N20"/>
    <mergeCell ref="C21:N21"/>
    <mergeCell ref="E12:F12"/>
    <mergeCell ref="G12:N12"/>
    <mergeCell ref="E13:F13"/>
    <mergeCell ref="G13:N13"/>
    <mergeCell ref="E14:N14"/>
    <mergeCell ref="C15:N15"/>
    <mergeCell ref="B3:L3"/>
    <mergeCell ref="M3:N3"/>
    <mergeCell ref="B4:N4"/>
    <mergeCell ref="B5:M5"/>
    <mergeCell ref="C7:N7"/>
    <mergeCell ref="C11:N11"/>
  </mergeCells>
  <dataValidations count="1">
    <dataValidation type="list" allowBlank="1" showInputMessage="1" showErrorMessage="1" sqref="M3:N3">
      <formula1>INDIRECT("town_population[Municipality]")</formula1>
    </dataValidation>
  </dataValidations>
  <hyperlinks>
    <hyperlink ref="E12" r:id="rId1" display="Census data"/>
    <hyperlink ref="E35" r:id="rId2"/>
  </hyperlinks>
  <pageMargins left="0.7" right="0.7" top="0.75" bottom="0.75" header="0.3" footer="0.3"/>
  <pageSetup paperSize="0" orientation="portrait"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autoPageBreaks="0"/>
  </sheetPr>
  <dimension ref="A1:O70"/>
  <sheetViews>
    <sheetView zoomScale="70" zoomScaleNormal="70" workbookViewId="0"/>
  </sheetViews>
  <sheetFormatPr defaultRowHeight="15" x14ac:dyDescent="0.25"/>
  <cols>
    <col min="1" max="1" width="2.5703125" style="1" bestFit="1" customWidth="1"/>
    <col min="2" max="14" width="15.85546875" customWidth="1"/>
    <col min="15" max="15" width="12.5703125" customWidth="1"/>
  </cols>
  <sheetData>
    <row r="1" spans="1:15" ht="21" x14ac:dyDescent="0.35">
      <c r="B1" s="20" t="s">
        <v>0</v>
      </c>
    </row>
    <row r="2" spans="1:15" ht="14.25" customHeight="1" x14ac:dyDescent="0.3">
      <c r="B2" s="2"/>
    </row>
    <row r="3" spans="1:15" ht="23.25" customHeight="1" x14ac:dyDescent="0.25">
      <c r="B3" s="86" t="s">
        <v>382</v>
      </c>
      <c r="C3" s="87"/>
      <c r="D3" s="87"/>
      <c r="E3" s="87"/>
      <c r="F3" s="87"/>
      <c r="G3" s="87"/>
      <c r="H3" s="87"/>
      <c r="I3" s="87"/>
      <c r="J3" s="87"/>
      <c r="K3" s="87"/>
      <c r="L3" s="110"/>
      <c r="M3" s="122" t="s">
        <v>264</v>
      </c>
      <c r="N3" s="123"/>
    </row>
    <row r="4" spans="1:15" ht="23.25" customHeight="1" x14ac:dyDescent="0.25">
      <c r="B4" s="88" t="s">
        <v>383</v>
      </c>
      <c r="C4" s="89"/>
      <c r="D4" s="89"/>
      <c r="E4" s="89"/>
      <c r="F4" s="89"/>
      <c r="G4" s="89"/>
      <c r="H4" s="89"/>
      <c r="I4" s="89"/>
      <c r="J4" s="89"/>
      <c r="K4" s="89"/>
      <c r="L4" s="89"/>
      <c r="M4" s="89"/>
      <c r="N4" s="90"/>
    </row>
    <row r="5" spans="1:15" ht="23.25" customHeight="1" x14ac:dyDescent="0.25">
      <c r="B5" s="91" t="s">
        <v>381</v>
      </c>
      <c r="C5" s="92"/>
      <c r="D5" s="92"/>
      <c r="E5" s="92"/>
      <c r="F5" s="92"/>
      <c r="G5" s="92"/>
      <c r="H5" s="92"/>
      <c r="I5" s="92"/>
      <c r="J5" s="92"/>
      <c r="K5" s="92"/>
      <c r="L5" s="92"/>
      <c r="M5" s="111"/>
      <c r="N5" s="76" t="s">
        <v>372</v>
      </c>
    </row>
    <row r="7" spans="1:15" ht="40.5" customHeight="1" x14ac:dyDescent="0.25">
      <c r="B7" s="3">
        <f>SUM(B28,B40)</f>
        <v>22722.464071022729</v>
      </c>
      <c r="C7" s="93" t="s">
        <v>384</v>
      </c>
      <c r="D7" s="94"/>
      <c r="E7" s="94"/>
      <c r="F7" s="94"/>
      <c r="G7" s="94"/>
      <c r="H7" s="94"/>
      <c r="I7" s="94"/>
      <c r="J7" s="94"/>
      <c r="K7" s="94"/>
      <c r="L7" s="94"/>
      <c r="M7" s="94"/>
      <c r="N7" s="94"/>
      <c r="O7" s="112">
        <f>B7/regional_ldv_mmbtu</f>
        <v>0.20562673798430417</v>
      </c>
    </row>
    <row r="9" spans="1:15" ht="18.75" x14ac:dyDescent="0.3">
      <c r="C9" s="2" t="s">
        <v>1</v>
      </c>
    </row>
    <row r="10" spans="1:15" x14ac:dyDescent="0.25">
      <c r="C10" s="5"/>
    </row>
    <row r="11" spans="1:15" ht="39" customHeight="1" x14ac:dyDescent="0.25">
      <c r="A11" s="1">
        <v>1</v>
      </c>
      <c r="B11" s="115">
        <f>IF(ISNA(INDEX(town_vehicles[Vehicles],MATCH(M3,town_vehicles[Municipality]))),0,INDEX(town_vehicles[Vehicles],MATCH(M3,town_vehicles[Municipality])))-B34</f>
        <v>339</v>
      </c>
      <c r="C11" s="113" t="s">
        <v>374</v>
      </c>
      <c r="D11" s="94"/>
      <c r="E11" s="94"/>
      <c r="F11" s="94"/>
      <c r="G11" s="94"/>
      <c r="H11" s="94"/>
      <c r="I11" s="94"/>
      <c r="J11" s="94"/>
      <c r="K11" s="94"/>
      <c r="L11" s="94"/>
      <c r="M11" s="94"/>
      <c r="N11" s="94"/>
      <c r="O11" s="28">
        <f>B11/regional_ldv_count</f>
        <v>0.22751677852348992</v>
      </c>
    </row>
    <row r="12" spans="1:15" ht="39" customHeight="1" x14ac:dyDescent="0.25">
      <c r="B12" s="7"/>
      <c r="C12" s="8"/>
      <c r="D12" s="9" t="s">
        <v>386</v>
      </c>
      <c r="E12" s="96" t="s">
        <v>3</v>
      </c>
      <c r="F12" s="96"/>
      <c r="G12" s="97" t="s">
        <v>385</v>
      </c>
      <c r="H12" s="97"/>
      <c r="I12" s="97"/>
      <c r="J12" s="97"/>
      <c r="K12" s="97"/>
      <c r="L12" s="97"/>
      <c r="M12" s="97"/>
      <c r="N12" s="97"/>
    </row>
    <row r="13" spans="1:15" ht="39" customHeight="1" x14ac:dyDescent="0.25">
      <c r="B13" s="7"/>
      <c r="C13" s="8"/>
      <c r="D13" s="9" t="s">
        <v>5</v>
      </c>
      <c r="E13" s="97" t="s">
        <v>4</v>
      </c>
      <c r="F13" s="97"/>
      <c r="G13" s="94" t="s">
        <v>387</v>
      </c>
      <c r="H13" s="94"/>
      <c r="I13" s="94"/>
      <c r="J13" s="94"/>
      <c r="K13" s="94"/>
      <c r="L13" s="94"/>
      <c r="M13" s="94"/>
      <c r="N13" s="94"/>
    </row>
    <row r="14" spans="1:15" ht="39" customHeight="1" x14ac:dyDescent="0.25">
      <c r="B14" s="7"/>
      <c r="C14" s="8"/>
      <c r="D14" s="9" t="s">
        <v>5</v>
      </c>
      <c r="E14" s="97" t="s">
        <v>6</v>
      </c>
      <c r="F14" s="97"/>
      <c r="G14" s="97"/>
      <c r="H14" s="97"/>
      <c r="I14" s="97"/>
      <c r="J14" s="97"/>
      <c r="K14" s="97"/>
      <c r="L14" s="97"/>
      <c r="M14" s="97"/>
      <c r="N14" s="97"/>
    </row>
    <row r="15" spans="1:15" ht="48.75" customHeight="1" x14ac:dyDescent="0.25">
      <c r="A15" s="1">
        <v>2</v>
      </c>
      <c r="B15" s="6">
        <v>12500</v>
      </c>
      <c r="C15" s="95" t="s">
        <v>63</v>
      </c>
      <c r="D15" s="94"/>
      <c r="E15" s="94"/>
      <c r="F15" s="94"/>
      <c r="G15" s="94"/>
      <c r="H15" s="94"/>
      <c r="I15" s="94"/>
      <c r="J15" s="94"/>
      <c r="K15" s="94"/>
      <c r="L15" s="94"/>
      <c r="M15" s="94"/>
      <c r="N15" s="94"/>
      <c r="O15" s="19">
        <f>B15*O11</f>
        <v>2843.959731543624</v>
      </c>
    </row>
    <row r="16" spans="1:15" ht="60.75" customHeight="1" x14ac:dyDescent="0.25">
      <c r="A16" s="1">
        <v>3</v>
      </c>
      <c r="B16" s="6">
        <v>22</v>
      </c>
      <c r="C16" s="95" t="s">
        <v>64</v>
      </c>
      <c r="D16" s="94"/>
      <c r="E16" s="94"/>
      <c r="F16" s="94"/>
      <c r="G16" s="94"/>
      <c r="H16" s="94"/>
      <c r="I16" s="94"/>
      <c r="J16" s="94"/>
      <c r="K16" s="94"/>
      <c r="L16" s="94"/>
      <c r="M16" s="94"/>
      <c r="N16" s="94"/>
      <c r="O16" s="63">
        <f>B16*O11</f>
        <v>5.0053691275167784</v>
      </c>
    </row>
    <row r="17" spans="1:15" s="60" customFormat="1" ht="39" customHeight="1" x14ac:dyDescent="0.25">
      <c r="A17" s="10"/>
      <c r="D17" s="12">
        <v>0.4</v>
      </c>
      <c r="E17" s="85" t="s">
        <v>7</v>
      </c>
      <c r="F17" s="85"/>
      <c r="G17" s="85"/>
      <c r="H17" s="85"/>
      <c r="I17" s="85"/>
      <c r="J17" s="85"/>
      <c r="K17" s="85"/>
      <c r="L17" s="85"/>
      <c r="M17" s="85"/>
      <c r="N17" s="85"/>
    </row>
    <row r="18" spans="1:15" s="60" customFormat="1" ht="39" customHeight="1" x14ac:dyDescent="0.25">
      <c r="A18" s="10"/>
      <c r="D18" s="12">
        <f>150000/583770</f>
        <v>0.25695051133151753</v>
      </c>
      <c r="E18" s="94" t="s">
        <v>8</v>
      </c>
      <c r="F18" s="94"/>
      <c r="G18" s="94"/>
      <c r="H18" s="94"/>
      <c r="I18" s="94"/>
      <c r="J18" s="94"/>
      <c r="K18" s="94"/>
      <c r="L18" s="94"/>
      <c r="M18" s="94"/>
      <c r="N18" s="94"/>
    </row>
    <row r="19" spans="1:15" s="60" customFormat="1" ht="39" customHeight="1" x14ac:dyDescent="0.25">
      <c r="A19" s="10"/>
      <c r="D19" s="12">
        <v>0.86</v>
      </c>
      <c r="E19" s="94" t="s">
        <v>9</v>
      </c>
      <c r="F19" s="94"/>
      <c r="G19" s="94"/>
      <c r="H19" s="94"/>
      <c r="I19" s="94"/>
      <c r="J19" s="94"/>
      <c r="K19" s="94"/>
      <c r="L19" s="94"/>
      <c r="M19" s="94"/>
      <c r="N19" s="94"/>
    </row>
    <row r="20" spans="1:15" ht="55.5" customHeight="1" x14ac:dyDescent="0.25">
      <c r="B20" s="13">
        <f>B11*B15/B16</f>
        <v>192613.63636363635</v>
      </c>
      <c r="C20" s="94" t="s">
        <v>65</v>
      </c>
      <c r="D20" s="94"/>
      <c r="E20" s="94"/>
      <c r="F20" s="94"/>
      <c r="G20" s="94"/>
      <c r="H20" s="94"/>
      <c r="I20" s="94"/>
      <c r="J20" s="94"/>
      <c r="K20" s="94"/>
      <c r="L20" s="94"/>
      <c r="M20" s="94"/>
      <c r="N20" s="94"/>
      <c r="O20" s="28">
        <f>B20/regional_gsl_gallons</f>
        <v>0.25418177761088923</v>
      </c>
    </row>
    <row r="21" spans="1:15" ht="55.5" customHeight="1" x14ac:dyDescent="0.25">
      <c r="A21" s="1">
        <v>4</v>
      </c>
      <c r="B21" s="14">
        <v>0.09</v>
      </c>
      <c r="C21" s="95" t="s">
        <v>66</v>
      </c>
      <c r="D21" s="94"/>
      <c r="E21" s="94"/>
      <c r="F21" s="94"/>
      <c r="G21" s="94"/>
      <c r="H21" s="94"/>
      <c r="I21" s="94"/>
      <c r="J21" s="94"/>
      <c r="K21" s="94"/>
      <c r="L21" s="94"/>
      <c r="M21" s="94"/>
      <c r="N21" s="94"/>
      <c r="O21" s="64">
        <f>B21*O20</f>
        <v>2.287635998498003E-2</v>
      </c>
    </row>
    <row r="22" spans="1:15" ht="39" customHeight="1" x14ac:dyDescent="0.25">
      <c r="B22" s="13">
        <f>(1-B21)*B20</f>
        <v>175278.40909090909</v>
      </c>
      <c r="C22" s="94" t="s">
        <v>54</v>
      </c>
      <c r="D22" s="94"/>
      <c r="E22" s="94"/>
      <c r="F22" s="94"/>
      <c r="G22" s="94"/>
      <c r="H22" s="94"/>
      <c r="I22" s="94"/>
      <c r="J22" s="94"/>
      <c r="K22" s="94"/>
      <c r="L22" s="94"/>
      <c r="M22" s="94"/>
      <c r="N22" s="94"/>
    </row>
    <row r="23" spans="1:15" ht="39" customHeight="1" x14ac:dyDescent="0.25">
      <c r="B23" s="13">
        <f>fossilBtu</f>
        <v>121258.5</v>
      </c>
      <c r="C23" s="94" t="s">
        <v>10</v>
      </c>
      <c r="D23" s="94"/>
      <c r="E23" s="94"/>
      <c r="F23" s="94"/>
      <c r="G23" s="94"/>
      <c r="H23" s="94"/>
      <c r="I23" s="94"/>
      <c r="J23" s="94"/>
      <c r="K23" s="94"/>
      <c r="L23" s="94"/>
      <c r="M23" s="94"/>
      <c r="N23" s="94"/>
    </row>
    <row r="24" spans="1:15" ht="39" customHeight="1" x14ac:dyDescent="0.25">
      <c r="B24" s="13">
        <f>B22*B23/1000000</f>
        <v>21253.996968750002</v>
      </c>
      <c r="C24" s="94" t="s">
        <v>11</v>
      </c>
      <c r="D24" s="94"/>
      <c r="E24" s="94"/>
      <c r="F24" s="94"/>
      <c r="G24" s="94"/>
      <c r="H24" s="94"/>
      <c r="I24" s="94"/>
      <c r="J24" s="94"/>
      <c r="K24" s="94"/>
      <c r="L24" s="94"/>
      <c r="M24" s="94"/>
      <c r="N24" s="94"/>
    </row>
    <row r="25" spans="1:15" ht="39" customHeight="1" x14ac:dyDescent="0.25">
      <c r="B25" s="13">
        <f>B20-B22</f>
        <v>17335.227272727265</v>
      </c>
      <c r="C25" s="94" t="s">
        <v>55</v>
      </c>
      <c r="D25" s="94"/>
      <c r="E25" s="94"/>
      <c r="F25" s="94"/>
      <c r="G25" s="94"/>
      <c r="H25" s="94"/>
      <c r="I25" s="94"/>
      <c r="J25" s="94"/>
      <c r="K25" s="94"/>
      <c r="L25" s="94"/>
      <c r="M25" s="94"/>
      <c r="N25" s="94"/>
    </row>
    <row r="26" spans="1:15" ht="39" customHeight="1" x14ac:dyDescent="0.25">
      <c r="B26" s="13">
        <v>84710</v>
      </c>
      <c r="C26" s="94" t="s">
        <v>12</v>
      </c>
      <c r="D26" s="94"/>
      <c r="E26" s="94"/>
      <c r="F26" s="94"/>
      <c r="G26" s="94"/>
      <c r="H26" s="94"/>
      <c r="I26" s="94"/>
      <c r="J26" s="94"/>
      <c r="K26" s="94"/>
      <c r="L26" s="94"/>
      <c r="M26" s="94"/>
      <c r="N26" s="94"/>
    </row>
    <row r="27" spans="1:15" ht="39" customHeight="1" x14ac:dyDescent="0.25">
      <c r="B27" s="13">
        <f>B25*B26/1000000</f>
        <v>1468.4671022727266</v>
      </c>
      <c r="C27" s="94" t="s">
        <v>13</v>
      </c>
      <c r="D27" s="94"/>
      <c r="E27" s="94"/>
      <c r="F27" s="94"/>
      <c r="G27" s="94"/>
      <c r="H27" s="94"/>
      <c r="I27" s="94"/>
      <c r="J27" s="94"/>
      <c r="K27" s="94"/>
      <c r="L27" s="94"/>
      <c r="M27" s="94"/>
      <c r="N27" s="94"/>
    </row>
    <row r="28" spans="1:15" ht="39" customHeight="1" x14ac:dyDescent="0.25">
      <c r="B28" s="3">
        <f>B24+B27</f>
        <v>22722.464071022729</v>
      </c>
      <c r="C28" s="93" t="s">
        <v>56</v>
      </c>
      <c r="D28" s="94"/>
      <c r="E28" s="94"/>
      <c r="F28" s="94"/>
      <c r="G28" s="94"/>
      <c r="H28" s="94"/>
      <c r="I28" s="94"/>
      <c r="J28" s="94"/>
      <c r="K28" s="94"/>
      <c r="L28" s="94"/>
      <c r="M28" s="94"/>
      <c r="N28" s="94"/>
    </row>
    <row r="29" spans="1:15" x14ac:dyDescent="0.25">
      <c r="B29" s="7"/>
    </row>
    <row r="30" spans="1:15" x14ac:dyDescent="0.25">
      <c r="B30" s="7"/>
      <c r="C30" s="4" t="s">
        <v>14</v>
      </c>
    </row>
    <row r="31" spans="1:15" x14ac:dyDescent="0.25">
      <c r="B31" s="7"/>
      <c r="C31" s="4"/>
    </row>
    <row r="32" spans="1:15" x14ac:dyDescent="0.25">
      <c r="B32" s="7" t="s">
        <v>15</v>
      </c>
      <c r="C32" s="5"/>
    </row>
    <row r="33" spans="1:15" x14ac:dyDescent="0.25">
      <c r="B33" s="7"/>
      <c r="C33" s="5"/>
    </row>
    <row r="34" spans="1:15" ht="39" customHeight="1" x14ac:dyDescent="0.25">
      <c r="A34" s="1">
        <v>1</v>
      </c>
      <c r="B34" s="15">
        <v>0</v>
      </c>
      <c r="C34" s="95" t="s">
        <v>67</v>
      </c>
      <c r="D34" s="94"/>
      <c r="E34" s="94"/>
      <c r="F34" s="94"/>
      <c r="G34" s="94"/>
      <c r="H34" s="94"/>
      <c r="I34" s="94"/>
      <c r="J34" s="94"/>
      <c r="K34" s="94"/>
      <c r="L34" s="94"/>
      <c r="M34" s="94"/>
      <c r="O34" s="28">
        <f>B34/regional_ev_count</f>
        <v>0</v>
      </c>
    </row>
    <row r="35" spans="1:15" ht="39" customHeight="1" x14ac:dyDescent="0.25">
      <c r="B35" s="16"/>
      <c r="C35" s="16"/>
      <c r="D35" s="9" t="s">
        <v>2</v>
      </c>
      <c r="E35" s="17" t="s">
        <v>16</v>
      </c>
      <c r="F35" s="16"/>
      <c r="G35" s="16"/>
      <c r="H35" s="16"/>
      <c r="I35" s="16"/>
      <c r="J35" s="16"/>
      <c r="K35" s="16"/>
      <c r="L35" s="16"/>
      <c r="M35" s="16"/>
      <c r="N35" s="16"/>
    </row>
    <row r="36" spans="1:15" ht="39" customHeight="1" x14ac:dyDescent="0.25">
      <c r="B36" s="15">
        <v>7000</v>
      </c>
      <c r="C36" s="94" t="s">
        <v>388</v>
      </c>
      <c r="D36" s="94"/>
      <c r="E36" s="94"/>
      <c r="F36" s="94"/>
      <c r="G36" s="94"/>
      <c r="H36" s="94"/>
      <c r="I36" s="94"/>
      <c r="J36" s="94"/>
      <c r="K36" s="94"/>
      <c r="L36" s="94"/>
      <c r="M36" s="94"/>
      <c r="N36" s="94"/>
      <c r="O36" s="19">
        <f>B36*O34</f>
        <v>0</v>
      </c>
    </row>
    <row r="37" spans="1:15" ht="39" customHeight="1" x14ac:dyDescent="0.25">
      <c r="B37" s="13">
        <v>3</v>
      </c>
      <c r="C37" s="97" t="s">
        <v>17</v>
      </c>
      <c r="D37" s="97"/>
      <c r="E37" s="97"/>
      <c r="F37" s="97"/>
      <c r="G37" s="97"/>
      <c r="H37" s="97"/>
      <c r="I37" s="97"/>
      <c r="J37" s="97"/>
      <c r="K37" s="97"/>
      <c r="L37" s="97"/>
      <c r="M37" s="97"/>
      <c r="N37" s="97"/>
    </row>
    <row r="38" spans="1:15" ht="39" customHeight="1" x14ac:dyDescent="0.25">
      <c r="B38" s="13">
        <f>B34*B36/B37</f>
        <v>0</v>
      </c>
      <c r="C38" s="97" t="s">
        <v>57</v>
      </c>
      <c r="D38" s="97"/>
      <c r="E38" s="97"/>
      <c r="F38" s="97"/>
      <c r="G38" s="97"/>
      <c r="H38" s="97"/>
      <c r="I38" s="97"/>
      <c r="J38" s="97"/>
      <c r="K38" s="97"/>
      <c r="L38" s="97"/>
      <c r="M38" s="97"/>
      <c r="N38" s="97"/>
    </row>
    <row r="39" spans="1:15" ht="39" customHeight="1" x14ac:dyDescent="0.25">
      <c r="B39" s="13">
        <v>3412</v>
      </c>
      <c r="C39" s="97" t="s">
        <v>18</v>
      </c>
      <c r="D39" s="97"/>
      <c r="E39" s="97"/>
      <c r="F39" s="97"/>
      <c r="G39" s="97"/>
      <c r="H39" s="97"/>
      <c r="I39" s="97"/>
      <c r="J39" s="97"/>
      <c r="K39" s="97"/>
      <c r="L39" s="97"/>
      <c r="M39" s="97"/>
      <c r="N39" s="97"/>
    </row>
    <row r="40" spans="1:15" ht="39" customHeight="1" x14ac:dyDescent="0.25">
      <c r="B40" s="3">
        <f>B38*B39/1000000</f>
        <v>0</v>
      </c>
      <c r="C40" s="99" t="s">
        <v>19</v>
      </c>
      <c r="D40" s="97"/>
      <c r="E40" s="97"/>
      <c r="F40" s="97"/>
      <c r="G40" s="97"/>
      <c r="H40" s="97"/>
      <c r="I40" s="97"/>
      <c r="J40" s="97"/>
      <c r="K40" s="97"/>
      <c r="L40" s="97"/>
      <c r="M40" s="97"/>
      <c r="N40" s="97"/>
    </row>
    <row r="41" spans="1:15" x14ac:dyDescent="0.25">
      <c r="B41" s="7"/>
    </row>
    <row r="43" spans="1:15" x14ac:dyDescent="0.25">
      <c r="C43" s="5"/>
    </row>
    <row r="45" spans="1:15" x14ac:dyDescent="0.25">
      <c r="B45" s="7"/>
    </row>
    <row r="50" spans="2:2" x14ac:dyDescent="0.25">
      <c r="B50" s="7"/>
    </row>
    <row r="52" spans="2:2" x14ac:dyDescent="0.25">
      <c r="B52" s="7"/>
    </row>
    <row r="54" spans="2:2" x14ac:dyDescent="0.25">
      <c r="B54" s="18"/>
    </row>
    <row r="55" spans="2:2" x14ac:dyDescent="0.25">
      <c r="B55" s="18"/>
    </row>
    <row r="56" spans="2:2" x14ac:dyDescent="0.25">
      <c r="B56" s="18"/>
    </row>
    <row r="70" spans="2:2" x14ac:dyDescent="0.25">
      <c r="B70" s="7"/>
    </row>
  </sheetData>
  <mergeCells count="31">
    <mergeCell ref="C40:N40"/>
    <mergeCell ref="C28:N28"/>
    <mergeCell ref="C34:M34"/>
    <mergeCell ref="C36:N36"/>
    <mergeCell ref="C37:N37"/>
    <mergeCell ref="C38:N38"/>
    <mergeCell ref="C39:N39"/>
    <mergeCell ref="C22:N22"/>
    <mergeCell ref="C23:N23"/>
    <mergeCell ref="C24:N24"/>
    <mergeCell ref="C25:N25"/>
    <mergeCell ref="C26:N26"/>
    <mergeCell ref="C27:N27"/>
    <mergeCell ref="C16:N16"/>
    <mergeCell ref="E17:N17"/>
    <mergeCell ref="E18:N18"/>
    <mergeCell ref="E19:N19"/>
    <mergeCell ref="C20:N20"/>
    <mergeCell ref="C21:N21"/>
    <mergeCell ref="E12:F12"/>
    <mergeCell ref="G12:N12"/>
    <mergeCell ref="E13:F13"/>
    <mergeCell ref="G13:N13"/>
    <mergeCell ref="E14:N14"/>
    <mergeCell ref="C15:N15"/>
    <mergeCell ref="B3:L3"/>
    <mergeCell ref="M3:N3"/>
    <mergeCell ref="B4:N4"/>
    <mergeCell ref="B5:M5"/>
    <mergeCell ref="C7:N7"/>
    <mergeCell ref="C11:N11"/>
  </mergeCells>
  <dataValidations count="1">
    <dataValidation type="list" allowBlank="1" showInputMessage="1" showErrorMessage="1" sqref="M3:N3">
      <formula1>INDIRECT("town_population[Municipality]")</formula1>
    </dataValidation>
  </dataValidations>
  <hyperlinks>
    <hyperlink ref="E12" r:id="rId1" display="Census data"/>
    <hyperlink ref="E35" r:id="rId2"/>
  </hyperlinks>
  <pageMargins left="0.7" right="0.7" top="0.75" bottom="0.75" header="0.3" footer="0.3"/>
  <pageSetup paperSize="0" orientation="portrait"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5" x14ac:dyDescent="0.25"/>
  <sheetData>
    <row r="1" spans="1:1" x14ac:dyDescent="0.25">
      <c r="A1" t="s">
        <v>380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3"/>
  <sheetViews>
    <sheetView workbookViewId="0">
      <selection activeCell="A2" sqref="A2"/>
    </sheetView>
  </sheetViews>
  <sheetFormatPr defaultRowHeight="15" x14ac:dyDescent="0.25"/>
  <sheetData>
    <row r="1" spans="1:2" x14ac:dyDescent="0.25">
      <c r="A1" t="s">
        <v>379</v>
      </c>
    </row>
    <row r="2" spans="1:2" x14ac:dyDescent="0.25">
      <c r="A2" s="7">
        <f>SUM(BeginHeat:EndHeat!B20)</f>
        <v>710600</v>
      </c>
      <c r="B2" t="s">
        <v>58</v>
      </c>
    </row>
    <row r="3" spans="1:2" x14ac:dyDescent="0.25">
      <c r="A3" s="7">
        <f ca="1">SUM(BeginHeat:EndHeat!B45)</f>
        <v>2952.9602737736009</v>
      </c>
      <c r="B3" t="s">
        <v>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256"/>
  <sheetViews>
    <sheetView zoomScale="80" zoomScaleNormal="80" workbookViewId="0">
      <selection activeCell="C11" sqref="C11:N11"/>
    </sheetView>
  </sheetViews>
  <sheetFormatPr defaultRowHeight="15" x14ac:dyDescent="0.25"/>
  <cols>
    <col min="1" max="1" width="19.5703125" bestFit="1" customWidth="1"/>
    <col min="2" max="2" width="55.140625" bestFit="1" customWidth="1"/>
    <col min="3" max="3" width="19.140625" customWidth="1"/>
    <col min="4" max="5" width="20.140625" customWidth="1"/>
    <col min="7" max="7" width="52.7109375" bestFit="1" customWidth="1"/>
    <col min="8" max="8" width="18.28515625" customWidth="1"/>
  </cols>
  <sheetData>
    <row r="1" spans="1:8" ht="15.75" x14ac:dyDescent="0.25">
      <c r="A1" s="71" t="s">
        <v>72</v>
      </c>
      <c r="B1" s="71" t="s">
        <v>73</v>
      </c>
      <c r="C1" s="71" t="s">
        <v>357</v>
      </c>
      <c r="D1" s="72" t="s">
        <v>358</v>
      </c>
      <c r="E1" s="72" t="s">
        <v>359</v>
      </c>
      <c r="G1" t="s">
        <v>73</v>
      </c>
      <c r="H1" t="s">
        <v>358</v>
      </c>
    </row>
    <row r="2" spans="1:8" ht="15.75" x14ac:dyDescent="0.25">
      <c r="A2" s="71" t="s">
        <v>92</v>
      </c>
      <c r="B2" s="71" t="s">
        <v>93</v>
      </c>
      <c r="C2" s="71">
        <v>1415</v>
      </c>
      <c r="D2" s="67">
        <f>C2/SUM($C$2:$C$256)</f>
        <v>2.2590914461059009E-3</v>
      </c>
      <c r="E2" s="73">
        <f>town_population[[#This Row],[Pop Share of State]]/(INDEX(regional_population[Pop Share of State],MATCH(town_population[[#This Row],[Regional Planning Commission]],regional_population[Regional Planning Commission],0)))</f>
        <v>3.9110005527915978E-2</v>
      </c>
      <c r="G2" t="s">
        <v>93</v>
      </c>
      <c r="H2" s="67">
        <f>SUMIF(town_population[Regional Planning Commission],G2,town_population[Pop Share of State])</f>
        <v>5.7762493653789042E-2</v>
      </c>
    </row>
    <row r="3" spans="1:8" ht="15.75" x14ac:dyDescent="0.25">
      <c r="A3" s="71" t="s">
        <v>187</v>
      </c>
      <c r="B3" s="71" t="s">
        <v>103</v>
      </c>
      <c r="C3" s="71">
        <v>893</v>
      </c>
      <c r="D3" s="67">
        <f>C3/SUM($C$2:$C$256)</f>
        <v>1.4257022341855616E-3</v>
      </c>
      <c r="E3" s="73">
        <f>town_population[[#This Row],[Pop Share of State]]/(INDEX(regional_population[Pop Share of State],MATCH(town_population[[#This Row],[Regional Planning Commission]],regional_population[Regional Planning Commission],0)))</f>
        <v>1.3844961240310079E-2</v>
      </c>
      <c r="G3" t="s">
        <v>95</v>
      </c>
      <c r="H3" s="67">
        <f>SUMIF(town_population[Regional Planning Commission],G3,town_population[Pop Share of State])</f>
        <v>5.6215455059247271E-2</v>
      </c>
    </row>
    <row r="4" spans="1:8" ht="15.75" x14ac:dyDescent="0.25">
      <c r="A4" s="71" t="s">
        <v>236</v>
      </c>
      <c r="B4" s="71" t="s">
        <v>105</v>
      </c>
      <c r="C4" s="71">
        <v>1623</v>
      </c>
      <c r="D4" s="67">
        <f>C4/SUM($C$2:$C$256)</f>
        <v>2.5911699060281821E-3</v>
      </c>
      <c r="E4" s="73">
        <f>town_population[[#This Row],[Pop Share of State]]/(INDEX(regional_population[Pop Share of State],MATCH(town_population[[#This Row],[Regional Planning Commission]],regional_population[Regional Planning Commission],0)))</f>
        <v>2.9399510913866497E-2</v>
      </c>
      <c r="G4" t="s">
        <v>97</v>
      </c>
      <c r="H4" s="67">
        <f>SUMIF(town_population[Regional Planning Commission],G4,town_population[Pop Share of State])</f>
        <v>0.10352705641182838</v>
      </c>
    </row>
    <row r="5" spans="1:8" ht="15.75" x14ac:dyDescent="0.25">
      <c r="A5" s="71" t="s">
        <v>283</v>
      </c>
      <c r="B5" s="71" t="s">
        <v>109</v>
      </c>
      <c r="C5" s="71">
        <v>425</v>
      </c>
      <c r="D5" s="67">
        <f>C5/SUM($C$2:$C$256)</f>
        <v>6.7852569936042962E-4</v>
      </c>
      <c r="E5" s="73">
        <f>town_population[[#This Row],[Pop Share of State]]/(INDEX(regional_population[Pop Share of State],MATCH(town_population[[#This Row],[Regional Planning Commission]],regional_population[Regional Planning Commission],0)))</f>
        <v>1.7029972752043595E-2</v>
      </c>
      <c r="G5" t="s">
        <v>99</v>
      </c>
      <c r="H5" s="67">
        <f>SUMIF(town_population[Regional Planning Commission],G5,town_population[Pop Share of State])</f>
        <v>0.25334712736166864</v>
      </c>
    </row>
    <row r="6" spans="1:8" ht="15.75" x14ac:dyDescent="0.25">
      <c r="A6" s="71" t="s">
        <v>124</v>
      </c>
      <c r="B6" s="71" t="s">
        <v>95</v>
      </c>
      <c r="C6" s="71">
        <v>2354</v>
      </c>
      <c r="D6" s="67">
        <f>C6/SUM($C$2:$C$256)</f>
        <v>3.7582341089281209E-3</v>
      </c>
      <c r="E6" s="73">
        <f>town_population[[#This Row],[Pop Share of State]]/(INDEX(regional_population[Pop Share of State],MATCH(town_population[[#This Row],[Regional Planning Commission]],regional_population[Regional Planning Commission],0)))</f>
        <v>6.6854108091221484E-2</v>
      </c>
      <c r="G6" t="s">
        <v>101</v>
      </c>
      <c r="H6" s="67">
        <f>SUMIF(town_population[Regional Planning Commission],G6,town_population[Pop Share of State])</f>
        <v>3.9662621056967426E-2</v>
      </c>
    </row>
    <row r="7" spans="1:8" ht="15.75" x14ac:dyDescent="0.25">
      <c r="A7" s="71" t="s">
        <v>323</v>
      </c>
      <c r="B7" s="71" t="s">
        <v>113</v>
      </c>
      <c r="C7" s="71">
        <v>402</v>
      </c>
      <c r="D7" s="67">
        <f>C7/SUM($C$2:$C$256)</f>
        <v>6.4180548504210052E-4</v>
      </c>
      <c r="E7" s="73">
        <f>town_population[[#This Row],[Pop Share of State]]/(INDEX(regional_population[Pop Share of State],MATCH(town_population[[#This Row],[Regional Planning Commission]],regional_population[Regional Planning Commission],0)))</f>
        <v>8.7058212058212063E-3</v>
      </c>
      <c r="G7" t="s">
        <v>103</v>
      </c>
      <c r="H7" s="67">
        <f>SUMIF(town_population[Regional Planning Commission],G7,town_population[Pop Share of State])</f>
        <v>0.10297625319705343</v>
      </c>
    </row>
    <row r="8" spans="1:8" ht="15.75" x14ac:dyDescent="0.25">
      <c r="A8" s="71" t="s">
        <v>188</v>
      </c>
      <c r="B8" s="71" t="s">
        <v>103</v>
      </c>
      <c r="C8" s="71">
        <v>19</v>
      </c>
      <c r="D8" s="67">
        <f>C8/SUM($C$2:$C$256)</f>
        <v>3.0334090089054504E-5</v>
      </c>
      <c r="E8" s="73">
        <f>town_population[[#This Row],[Pop Share of State]]/(INDEX(regional_population[Pop Share of State],MATCH(town_population[[#This Row],[Regional Planning Commission]],regional_population[Regional Planning Commission],0)))</f>
        <v>2.9457364341085277E-4</v>
      </c>
      <c r="G8" t="s">
        <v>105</v>
      </c>
      <c r="H8" s="67">
        <f>SUMIF(town_population[Regional Planning Commission],G8,town_population[Pop Share of State])</f>
        <v>8.8136497019276519E-2</v>
      </c>
    </row>
    <row r="9" spans="1:8" ht="15.75" x14ac:dyDescent="0.25">
      <c r="A9" s="71" t="s">
        <v>360</v>
      </c>
      <c r="B9" s="71" t="s">
        <v>103</v>
      </c>
      <c r="C9" s="71">
        <v>0</v>
      </c>
      <c r="D9" s="67">
        <f>C9/SUM($C$2:$C$256)</f>
        <v>0</v>
      </c>
      <c r="E9" s="73">
        <f>town_population[[#This Row],[Pop Share of State]]/(INDEX(regional_population[Pop Share of State],MATCH(town_population[[#This Row],[Regional Planning Commission]],regional_population[Regional Planning Commission],0)))</f>
        <v>0</v>
      </c>
      <c r="G9" t="s">
        <v>107</v>
      </c>
      <c r="H9" s="67">
        <f>SUMIF(town_population[Regional Planning Commission],G9,town_population[Pop Share of State])</f>
        <v>9.6186206610277186E-2</v>
      </c>
    </row>
    <row r="10" spans="1:8" ht="15.75" x14ac:dyDescent="0.25">
      <c r="A10" s="71" t="s">
        <v>237</v>
      </c>
      <c r="B10" s="71" t="s">
        <v>105</v>
      </c>
      <c r="C10" s="71">
        <v>1551</v>
      </c>
      <c r="D10" s="67">
        <f>C10/SUM($C$2:$C$256)</f>
        <v>2.4762196699012386E-3</v>
      </c>
      <c r="E10" s="73">
        <f>town_population[[#This Row],[Pop Share of State]]/(INDEX(regional_population[Pop Share of State],MATCH(town_population[[#This Row],[Regional Planning Commission]],regional_population[Regional Planning Commission],0)))</f>
        <v>2.8095281224526765E-2</v>
      </c>
      <c r="G10" t="s">
        <v>109</v>
      </c>
      <c r="H10" s="67">
        <f>SUMIF(town_population[Regional Planning Commission],G10,town_population[Pop Share of State])</f>
        <v>3.9843029066444428E-2</v>
      </c>
    </row>
    <row r="11" spans="1:8" ht="15.75" x14ac:dyDescent="0.25">
      <c r="A11" s="71" t="s">
        <v>284</v>
      </c>
      <c r="B11" s="71" t="s">
        <v>109</v>
      </c>
      <c r="C11" s="71">
        <v>234</v>
      </c>
      <c r="D11" s="67">
        <f>C11/SUM($C$2:$C$256)</f>
        <v>3.73588267412566E-4</v>
      </c>
      <c r="E11" s="73">
        <f>town_population[[#This Row],[Pop Share of State]]/(INDEX(regional_population[Pop Share of State],MATCH(town_population[[#This Row],[Regional Planning Commission]],regional_population[Regional Planning Commission],0)))</f>
        <v>9.3765026446545937E-3</v>
      </c>
      <c r="G11" t="s">
        <v>111</v>
      </c>
      <c r="H11" s="67">
        <f>SUMIF(town_population[Regional Planning Commission],G11,town_population[Pop Share of State])</f>
        <v>8.86218424607014E-2</v>
      </c>
    </row>
    <row r="12" spans="1:8" ht="15.75" x14ac:dyDescent="0.25">
      <c r="A12" s="71" t="s">
        <v>293</v>
      </c>
      <c r="B12" s="71" t="s">
        <v>111</v>
      </c>
      <c r="C12" s="71">
        <v>899</v>
      </c>
      <c r="D12" s="67">
        <f>C12/SUM($C$2:$C$256)</f>
        <v>1.4352814205294735E-3</v>
      </c>
      <c r="E12" s="73">
        <f>town_population[[#This Row],[Pop Share of State]]/(INDEX(regional_population[Pop Share of State],MATCH(town_population[[#This Row],[Regional Planning Commission]],regional_population[Regional Planning Commission],0)))</f>
        <v>1.6195571889243181E-2</v>
      </c>
      <c r="G12" t="s">
        <v>113</v>
      </c>
      <c r="H12" s="67">
        <f>SUMIF(town_population[Regional Planning Commission],G12,town_population[Pop Share of State])</f>
        <v>7.372141810274635E-2</v>
      </c>
    </row>
    <row r="13" spans="1:8" ht="15.75" x14ac:dyDescent="0.25">
      <c r="A13" s="71" t="s">
        <v>189</v>
      </c>
      <c r="B13" s="71" t="s">
        <v>103</v>
      </c>
      <c r="C13" s="71">
        <v>1648</v>
      </c>
      <c r="D13" s="67">
        <f>C13/SUM($C$2:$C$256)</f>
        <v>2.6310831824611484E-3</v>
      </c>
      <c r="E13" s="73">
        <f>town_population[[#This Row],[Pop Share of State]]/(INDEX(regional_population[Pop Share of State],MATCH(town_population[[#This Row],[Regional Planning Commission]],regional_population[Regional Planning Commission],0)))</f>
        <v>2.5550387596899225E-2</v>
      </c>
    </row>
    <row r="14" spans="1:8" ht="15.75" x14ac:dyDescent="0.25">
      <c r="A14" s="71" t="s">
        <v>137</v>
      </c>
      <c r="B14" s="71" t="s">
        <v>97</v>
      </c>
      <c r="C14" s="71">
        <v>7908</v>
      </c>
      <c r="D14" s="67">
        <f>C14/SUM($C$2:$C$256)</f>
        <v>1.2625367601275948E-2</v>
      </c>
      <c r="E14" s="73">
        <f>town_population[[#This Row],[Pop Share of State]]/(INDEX(regional_population[Pop Share of State],MATCH(town_population[[#This Row],[Regional Planning Commission]],regional_population[Regional Planning Commission],0)))</f>
        <v>0.12195234790654637</v>
      </c>
    </row>
    <row r="15" spans="1:8" ht="15.75" x14ac:dyDescent="0.25">
      <c r="A15" s="71" t="s">
        <v>138</v>
      </c>
      <c r="B15" s="71" t="s">
        <v>97</v>
      </c>
      <c r="C15" s="71">
        <v>8955</v>
      </c>
      <c r="D15" s="67">
        <f>C15/SUM($C$2:$C$256)</f>
        <v>1.4296935618288582E-2</v>
      </c>
      <c r="E15" s="73">
        <f>town_population[[#This Row],[Pop Share of State]]/(INDEX(regional_population[Pop Share of State],MATCH(town_population[[#This Row],[Regional Planning Commission]],regional_population[Regional Planning Commission],0)))</f>
        <v>0.13809854267869534</v>
      </c>
    </row>
    <row r="16" spans="1:8" ht="15.75" x14ac:dyDescent="0.25">
      <c r="A16" s="71" t="s">
        <v>190</v>
      </c>
      <c r="B16" s="71" t="s">
        <v>103</v>
      </c>
      <c r="C16" s="71">
        <v>2766</v>
      </c>
      <c r="D16" s="67">
        <f>C16/SUM($C$2:$C$256)</f>
        <v>4.4160049045434083E-3</v>
      </c>
      <c r="E16" s="73">
        <f>town_population[[#This Row],[Pop Share of State]]/(INDEX(regional_population[Pop Share of State],MATCH(town_population[[#This Row],[Regional Planning Commission]],regional_population[Regional Planning Commission],0)))</f>
        <v>4.2883720930232565E-2</v>
      </c>
    </row>
    <row r="17" spans="1:5" ht="15.75" x14ac:dyDescent="0.25">
      <c r="A17" s="71" t="s">
        <v>177</v>
      </c>
      <c r="B17" s="71" t="s">
        <v>101</v>
      </c>
      <c r="C17" s="71">
        <v>364</v>
      </c>
      <c r="D17" s="67">
        <f>C17/SUM($C$2:$C$256)</f>
        <v>5.8113730486399149E-4</v>
      </c>
      <c r="E17" s="73">
        <f>town_population[[#This Row],[Pop Share of State]]/(INDEX(regional_population[Pop Share of State],MATCH(town_population[[#This Row],[Regional Planning Commission]],regional_population[Regional Planning Commission],0)))</f>
        <v>1.465201465201465E-2</v>
      </c>
    </row>
    <row r="18" spans="1:5" ht="15.75" x14ac:dyDescent="0.25">
      <c r="A18" s="71" t="s">
        <v>125</v>
      </c>
      <c r="B18" s="71" t="s">
        <v>95</v>
      </c>
      <c r="C18" s="71">
        <v>15575</v>
      </c>
      <c r="D18" s="67">
        <f>C18/SUM($C$2:$C$256)</f>
        <v>2.4865971217738099E-2</v>
      </c>
      <c r="E18" s="73">
        <f>town_population[[#This Row],[Pop Share of State]]/(INDEX(regional_population[Pop Share of State],MATCH(town_population[[#This Row],[Regional Planning Commission]],regional_population[Regional Planning Commission],0)))</f>
        <v>0.44233336173354915</v>
      </c>
    </row>
    <row r="19" spans="1:5" ht="15.75" x14ac:dyDescent="0.25">
      <c r="A19" s="71" t="s">
        <v>256</v>
      </c>
      <c r="B19" s="71" t="s">
        <v>107</v>
      </c>
      <c r="C19" s="71">
        <v>1065</v>
      </c>
      <c r="D19" s="67">
        <f>C19/SUM($C$2:$C$256)</f>
        <v>1.7003055760443709E-3</v>
      </c>
      <c r="E19" s="73">
        <f>town_population[[#This Row],[Pop Share of State]]/(INDEX(regional_population[Pop Share of State],MATCH(town_population[[#This Row],[Regional Planning Commission]],regional_population[Regional Planning Commission],0)))</f>
        <v>1.7677228741680085E-2</v>
      </c>
    </row>
    <row r="20" spans="1:5" ht="15.75" x14ac:dyDescent="0.25">
      <c r="A20" s="71" t="s">
        <v>238</v>
      </c>
      <c r="B20" s="71" t="s">
        <v>105</v>
      </c>
      <c r="C20" s="71">
        <v>1760</v>
      </c>
      <c r="D20" s="67">
        <f>C20/SUM($C$2:$C$256)</f>
        <v>2.8098946608808382E-3</v>
      </c>
      <c r="E20" s="73">
        <f>town_population[[#This Row],[Pop Share of State]]/(INDEX(regional_population[Pop Share of State],MATCH(town_population[[#This Row],[Regional Planning Commission]],regional_population[Regional Planning Commission],0)))</f>
        <v>3.1881170183860157E-2</v>
      </c>
    </row>
    <row r="21" spans="1:5" ht="15.75" x14ac:dyDescent="0.25">
      <c r="A21" s="71" t="s">
        <v>139</v>
      </c>
      <c r="B21" s="71" t="s">
        <v>97</v>
      </c>
      <c r="C21" s="71">
        <v>2869</v>
      </c>
      <c r="D21" s="67">
        <f>C21/SUM($C$2:$C$256)</f>
        <v>4.5804476034472302E-3</v>
      </c>
      <c r="E21" s="73">
        <f>town_population[[#This Row],[Pop Share of State]]/(INDEX(regional_population[Pop Share of State],MATCH(town_population[[#This Row],[Regional Planning Commission]],regional_population[Regional Planning Commission],0)))</f>
        <v>4.4243966381370965E-2</v>
      </c>
    </row>
    <row r="22" spans="1:5" ht="15.75" x14ac:dyDescent="0.25">
      <c r="A22" s="71" t="s">
        <v>294</v>
      </c>
      <c r="B22" s="71" t="s">
        <v>111</v>
      </c>
      <c r="C22" s="71">
        <v>1919</v>
      </c>
      <c r="D22" s="67">
        <f>C22/SUM($C$2:$C$256)</f>
        <v>3.0637430989945047E-3</v>
      </c>
      <c r="E22" s="73">
        <f>town_population[[#This Row],[Pop Share of State]]/(INDEX(regional_population[Pop Share of State],MATCH(town_population[[#This Row],[Regional Planning Commission]],regional_population[Regional Planning Commission],0)))</f>
        <v>3.4570970473256586E-2</v>
      </c>
    </row>
    <row r="23" spans="1:5" ht="15.75" x14ac:dyDescent="0.25">
      <c r="A23" s="71" t="s">
        <v>191</v>
      </c>
      <c r="B23" s="71" t="s">
        <v>103</v>
      </c>
      <c r="C23" s="71">
        <v>207</v>
      </c>
      <c r="D23" s="67">
        <f>C23/SUM($C$2:$C$256)</f>
        <v>3.304819288649622E-4</v>
      </c>
      <c r="E23" s="73">
        <f>town_population[[#This Row],[Pop Share of State]]/(INDEX(regional_population[Pop Share of State],MATCH(town_population[[#This Row],[Regional Planning Commission]],regional_population[Regional Planning Commission],0)))</f>
        <v>3.2093023255813954E-3</v>
      </c>
    </row>
    <row r="24" spans="1:5" ht="15.75" x14ac:dyDescent="0.25">
      <c r="A24" s="71" t="s">
        <v>160</v>
      </c>
      <c r="B24" s="71" t="s">
        <v>99</v>
      </c>
      <c r="C24" s="71">
        <v>1247</v>
      </c>
      <c r="D24" s="67">
        <f>C24/SUM($C$2:$C$256)</f>
        <v>1.9908742284763664E-3</v>
      </c>
      <c r="E24" s="73">
        <f>town_population[[#This Row],[Pop Share of State]]/(INDEX(regional_population[Pop Share of State],MATCH(town_population[[#This Row],[Regional Planning Commission]],regional_population[Regional Planning Commission],0)))</f>
        <v>7.8582861752139414E-3</v>
      </c>
    </row>
    <row r="25" spans="1:5" ht="15.75" x14ac:dyDescent="0.25">
      <c r="A25" s="71" t="s">
        <v>295</v>
      </c>
      <c r="B25" s="71" t="s">
        <v>111</v>
      </c>
      <c r="C25" s="71">
        <v>2776</v>
      </c>
      <c r="D25" s="67">
        <f>C25/SUM($C$2:$C$256)</f>
        <v>4.431970215116595E-3</v>
      </c>
      <c r="E25" s="73">
        <f>town_population[[#This Row],[Pop Share of State]]/(INDEX(regional_population[Pop Share of State],MATCH(town_population[[#This Row],[Regional Planning Commission]],regional_population[Regional Planning Commission],0)))</f>
        <v>5.0009908303158046E-2</v>
      </c>
    </row>
    <row r="26" spans="1:5" ht="15.75" x14ac:dyDescent="0.25">
      <c r="A26" s="71" t="s">
        <v>296</v>
      </c>
      <c r="B26" s="71" t="s">
        <v>111</v>
      </c>
      <c r="C26" s="71">
        <v>1238</v>
      </c>
      <c r="D26" s="67">
        <f>C26/SUM($C$2:$C$256)</f>
        <v>1.9765054489604985E-3</v>
      </c>
      <c r="E26" s="73">
        <f>town_population[[#This Row],[Pop Share of State]]/(INDEX(regional_population[Pop Share of State],MATCH(town_population[[#This Row],[Regional Planning Commission]],regional_population[Regional Planning Commission],0)))</f>
        <v>2.2302689653929987E-2</v>
      </c>
    </row>
    <row r="27" spans="1:5" ht="15.75" x14ac:dyDescent="0.25">
      <c r="A27" s="71" t="s">
        <v>257</v>
      </c>
      <c r="B27" s="71" t="s">
        <v>107</v>
      </c>
      <c r="C27" s="71">
        <v>3906</v>
      </c>
      <c r="D27" s="67">
        <f>C27/SUM($C$2:$C$256)</f>
        <v>6.2360503098866779E-3</v>
      </c>
      <c r="E27" s="73">
        <f>town_population[[#This Row],[Pop Share of State]]/(INDEX(regional_population[Pop Share of State],MATCH(town_population[[#This Row],[Regional Planning Commission]],regional_population[Regional Planning Commission],0)))</f>
        <v>6.4833103723006949E-2</v>
      </c>
    </row>
    <row r="28" spans="1:5" ht="15.75" x14ac:dyDescent="0.25">
      <c r="A28" s="71" t="s">
        <v>324</v>
      </c>
      <c r="B28" s="71" t="s">
        <v>113</v>
      </c>
      <c r="C28" s="71">
        <v>11876</v>
      </c>
      <c r="D28" s="67">
        <f>C28/SUM($C$2:$C$256)</f>
        <v>1.8960402836716381E-2</v>
      </c>
      <c r="E28" s="73">
        <f>town_population[[#This Row],[Pop Share of State]]/(INDEX(regional_population[Pop Share of State],MATCH(town_population[[#This Row],[Regional Planning Commission]],regional_population[Regional Planning Commission],0)))</f>
        <v>0.2571898821898822</v>
      </c>
    </row>
    <row r="29" spans="1:5" ht="15.75" x14ac:dyDescent="0.25">
      <c r="A29" s="71" t="s">
        <v>297</v>
      </c>
      <c r="B29" s="71" t="s">
        <v>111</v>
      </c>
      <c r="C29" s="71">
        <v>710</v>
      </c>
      <c r="D29" s="67">
        <f>C29/SUM($C$2:$C$256)</f>
        <v>1.1335370506962471E-3</v>
      </c>
      <c r="E29" s="73">
        <f>town_population[[#This Row],[Pop Share of State]]/(INDEX(regional_population[Pop Share of State],MATCH(town_population[[#This Row],[Regional Planning Commission]],regional_population[Regional Planning Commission],0)))</f>
        <v>1.2790718622205405E-2</v>
      </c>
    </row>
    <row r="30" spans="1:5" ht="15.75" x14ac:dyDescent="0.25">
      <c r="A30" s="71" t="s">
        <v>94</v>
      </c>
      <c r="B30" s="71" t="s">
        <v>93</v>
      </c>
      <c r="C30" s="71">
        <v>1180</v>
      </c>
      <c r="D30" s="67">
        <f>C30/SUM($C$2:$C$256)</f>
        <v>1.8839066476360165E-3</v>
      </c>
      <c r="E30" s="73">
        <f>town_population[[#This Row],[Pop Share of State]]/(INDEX(regional_population[Pop Share of State],MATCH(town_population[[#This Row],[Regional Planning Commission]],regional_population[Regional Planning Commission],0)))</f>
        <v>3.2614704256495305E-2</v>
      </c>
    </row>
    <row r="31" spans="1:5" ht="15.75" x14ac:dyDescent="0.25">
      <c r="A31" s="71" t="s">
        <v>192</v>
      </c>
      <c r="B31" s="71" t="s">
        <v>103</v>
      </c>
      <c r="C31" s="71">
        <v>939</v>
      </c>
      <c r="D31" s="67">
        <f>C31/SUM($C$2:$C$256)</f>
        <v>1.4991426628222198E-3</v>
      </c>
      <c r="E31" s="73">
        <f>town_population[[#This Row],[Pop Share of State]]/(INDEX(regional_population[Pop Share of State],MATCH(town_population[[#This Row],[Regional Planning Commission]],regional_population[Regional Planning Commission],0)))</f>
        <v>1.4558139534883722E-2</v>
      </c>
    </row>
    <row r="32" spans="1:5" ht="15.75" x14ac:dyDescent="0.25">
      <c r="A32" s="71" t="s">
        <v>96</v>
      </c>
      <c r="B32" s="71" t="s">
        <v>93</v>
      </c>
      <c r="C32" s="71">
        <v>3896</v>
      </c>
      <c r="D32" s="67">
        <f>C32/SUM($C$2:$C$256)</f>
        <v>6.2200849993134921E-3</v>
      </c>
      <c r="E32" s="73">
        <f>town_population[[#This Row],[Pop Share of State]]/(INDEX(regional_population[Pop Share of State],MATCH(town_population[[#This Row],[Regional Planning Commission]],regional_population[Regional Planning Commission],0)))</f>
        <v>0.10768380320619128</v>
      </c>
    </row>
    <row r="33" spans="1:5" ht="15.75" x14ac:dyDescent="0.25">
      <c r="A33" s="71" t="s">
        <v>298</v>
      </c>
      <c r="B33" s="71" t="s">
        <v>111</v>
      </c>
      <c r="C33" s="71">
        <v>1297</v>
      </c>
      <c r="D33" s="67">
        <f>C33/SUM($C$2:$C$256)</f>
        <v>2.0707007813422994E-3</v>
      </c>
      <c r="E33" s="73">
        <f>town_population[[#This Row],[Pop Share of State]]/(INDEX(regional_population[Pop Share of State],MATCH(town_population[[#This Row],[Regional Planning Commission]],regional_population[Regional Planning Commission],0)))</f>
        <v>2.3365580356338608E-2</v>
      </c>
    </row>
    <row r="34" spans="1:5" ht="15.75" x14ac:dyDescent="0.25">
      <c r="A34" s="71" t="s">
        <v>325</v>
      </c>
      <c r="B34" s="71" t="s">
        <v>113</v>
      </c>
      <c r="C34" s="71">
        <v>567</v>
      </c>
      <c r="D34" s="67">
        <f>C34/SUM($C$2:$C$256)</f>
        <v>9.0523310949967904E-4</v>
      </c>
      <c r="E34" s="73">
        <f>town_population[[#This Row],[Pop Share of State]]/(INDEX(regional_population[Pop Share of State],MATCH(town_population[[#This Row],[Regional Planning Commission]],regional_population[Regional Planning Commission],0)))</f>
        <v>1.2279106029106028E-2</v>
      </c>
    </row>
    <row r="35" spans="1:5" ht="15.75" x14ac:dyDescent="0.25">
      <c r="A35" s="71" t="s">
        <v>193</v>
      </c>
      <c r="B35" s="71" t="s">
        <v>103</v>
      </c>
      <c r="C35" s="71">
        <v>973</v>
      </c>
      <c r="D35" s="67">
        <f>C35/SUM($C$2:$C$256)</f>
        <v>1.5534247187710543E-3</v>
      </c>
      <c r="E35" s="73">
        <f>town_population[[#This Row],[Pop Share of State]]/(INDEX(regional_population[Pop Share of State],MATCH(town_population[[#This Row],[Regional Planning Commission]],regional_population[Regional Planning Commission],0)))</f>
        <v>1.5085271317829458E-2</v>
      </c>
    </row>
    <row r="36" spans="1:5" ht="15.75" x14ac:dyDescent="0.25">
      <c r="A36" s="71" t="s">
        <v>194</v>
      </c>
      <c r="B36" s="71" t="s">
        <v>103</v>
      </c>
      <c r="C36" s="71">
        <v>84</v>
      </c>
      <c r="D36" s="67">
        <f>C36/SUM($C$2:$C$256)</f>
        <v>1.3410860881476726E-4</v>
      </c>
      <c r="E36" s="73">
        <f>town_population[[#This Row],[Pop Share of State]]/(INDEX(regional_population[Pop Share of State],MATCH(town_population[[#This Row],[Regional Planning Commission]],regional_population[Regional Planning Commission],0)))</f>
        <v>1.3023255813953488E-3</v>
      </c>
    </row>
    <row r="37" spans="1:5" ht="15.75" x14ac:dyDescent="0.25">
      <c r="A37" s="71" t="s">
        <v>361</v>
      </c>
      <c r="B37" s="71" t="s">
        <v>99</v>
      </c>
      <c r="C37" s="71">
        <v>43</v>
      </c>
      <c r="D37" s="67">
        <f>C37/SUM($C$2:$C$256)</f>
        <v>6.8650835464702291E-5</v>
      </c>
      <c r="E37" s="73">
        <f>town_population[[#This Row],[Pop Share of State]]/(INDEX(regional_population[Pop Share of State],MATCH(town_population[[#This Row],[Regional Planning Commission]],regional_population[Regional Planning Commission],0)))</f>
        <v>2.7097538535220486E-4</v>
      </c>
    </row>
    <row r="38" spans="1:5" ht="15.75" x14ac:dyDescent="0.25">
      <c r="A38" s="71" t="s">
        <v>195</v>
      </c>
      <c r="B38" s="71" t="s">
        <v>103</v>
      </c>
      <c r="C38" s="71">
        <v>1711</v>
      </c>
      <c r="D38" s="67">
        <f>C38/SUM($C$2:$C$256)</f>
        <v>2.7316646390722239E-3</v>
      </c>
      <c r="E38" s="73">
        <f>town_population[[#This Row],[Pop Share of State]]/(INDEX(regional_population[Pop Share of State],MATCH(town_population[[#This Row],[Regional Planning Commission]],regional_population[Regional Planning Commission],0)))</f>
        <v>2.6527131782945738E-2</v>
      </c>
    </row>
    <row r="39" spans="1:5" ht="15.75" x14ac:dyDescent="0.25">
      <c r="A39" s="74" t="s">
        <v>161</v>
      </c>
      <c r="B39" s="71" t="s">
        <v>99</v>
      </c>
      <c r="C39" s="71">
        <v>42342</v>
      </c>
      <c r="D39" s="67">
        <f>C39/SUM($C$2:$C$256)</f>
        <v>6.7600318028986611E-2</v>
      </c>
      <c r="E39" s="73">
        <f>town_population[[#This Row],[Pop Share of State]]/(INDEX(regional_population[Pop Share of State],MATCH(town_population[[#This Row],[Regional Planning Commission]],regional_population[Regional Planning Commission],0)))</f>
        <v>0.26682883178100136</v>
      </c>
    </row>
    <row r="40" spans="1:5" ht="15.75" x14ac:dyDescent="0.25">
      <c r="A40" s="71" t="s">
        <v>140</v>
      </c>
      <c r="B40" s="71" t="s">
        <v>97</v>
      </c>
      <c r="C40" s="71">
        <v>1393</v>
      </c>
      <c r="D40" s="67">
        <f>C40/SUM($C$2:$C$256)</f>
        <v>2.2239677628448904E-3</v>
      </c>
      <c r="E40" s="73">
        <f>town_population[[#This Row],[Pop Share of State]]/(INDEX(regional_population[Pop Share of State],MATCH(town_population[[#This Row],[Regional Planning Commission]],regional_population[Regional Planning Commission],0)))</f>
        <v>2.1481995527797053E-2</v>
      </c>
    </row>
    <row r="41" spans="1:5" ht="15.75" x14ac:dyDescent="0.25">
      <c r="A41" s="71" t="s">
        <v>141</v>
      </c>
      <c r="B41" s="71" t="s">
        <v>97</v>
      </c>
      <c r="C41" s="71">
        <v>1556</v>
      </c>
      <c r="D41" s="67">
        <f>C41/SUM($C$2:$C$256)</f>
        <v>2.484202325187832E-3</v>
      </c>
      <c r="E41" s="73">
        <f>town_population[[#This Row],[Pop Share of State]]/(INDEX(regional_population[Pop Share of State],MATCH(town_population[[#This Row],[Regional Planning Commission]],regional_population[Regional Planning Commission],0)))</f>
        <v>2.3995682010949187E-2</v>
      </c>
    </row>
    <row r="42" spans="1:5" ht="15.75" x14ac:dyDescent="0.25">
      <c r="A42" s="71" t="s">
        <v>178</v>
      </c>
      <c r="B42" s="71" t="s">
        <v>101</v>
      </c>
      <c r="C42" s="71">
        <v>3713</v>
      </c>
      <c r="D42" s="67">
        <f>C42/SUM($C$2:$C$256)</f>
        <v>5.9279198158241776E-3</v>
      </c>
      <c r="E42" s="73">
        <f>town_population[[#This Row],[Pop Share of State]]/(INDEX(regional_population[Pop Share of State],MATCH(town_population[[#This Row],[Regional Planning Commission]],regional_population[Regional Planning Commission],0)))</f>
        <v>0.14945860000805056</v>
      </c>
    </row>
    <row r="43" spans="1:5" ht="15.75" x14ac:dyDescent="0.25">
      <c r="A43" s="71" t="s">
        <v>196</v>
      </c>
      <c r="B43" s="71" t="s">
        <v>103</v>
      </c>
      <c r="C43" s="71">
        <v>1164</v>
      </c>
      <c r="D43" s="67">
        <f>C43/SUM($C$2:$C$256)</f>
        <v>1.8583621507189179E-3</v>
      </c>
      <c r="E43" s="73">
        <f>town_population[[#This Row],[Pop Share of State]]/(INDEX(regional_population[Pop Share of State],MATCH(town_population[[#This Row],[Regional Planning Commission]],regional_population[Regional Planning Commission],0)))</f>
        <v>1.8046511627906978E-2</v>
      </c>
    </row>
    <row r="44" spans="1:5" ht="15.75" x14ac:dyDescent="0.25">
      <c r="A44" s="71" t="s">
        <v>258</v>
      </c>
      <c r="B44" s="71" t="s">
        <v>107</v>
      </c>
      <c r="C44" s="71">
        <v>4669</v>
      </c>
      <c r="D44" s="67">
        <f>C44/SUM($C$2:$C$256)</f>
        <v>7.4542035066208143E-3</v>
      </c>
      <c r="E44" s="73">
        <f>town_population[[#This Row],[Pop Share of State]]/(INDEX(regional_population[Pop Share of State],MATCH(town_population[[#This Row],[Regional Planning Commission]],regional_population[Regional Planning Commission],0)))</f>
        <v>7.749763473699936E-2</v>
      </c>
    </row>
    <row r="45" spans="1:5" ht="15.75" x14ac:dyDescent="0.25">
      <c r="A45" s="71" t="s">
        <v>285</v>
      </c>
      <c r="B45" s="71" t="s">
        <v>109</v>
      </c>
      <c r="C45" s="71">
        <v>1587</v>
      </c>
      <c r="D45" s="67">
        <f>C45/SUM($C$2:$C$256)</f>
        <v>2.5336947879647104E-3</v>
      </c>
      <c r="E45" s="73">
        <f>town_population[[#This Row],[Pop Share of State]]/(INDEX(regional_population[Pop Share of State],MATCH(town_population[[#This Row],[Regional Planning Commission]],regional_population[Regional Planning Commission],0)))</f>
        <v>6.3591921782336913E-2</v>
      </c>
    </row>
    <row r="46" spans="1:5" ht="15.75" x14ac:dyDescent="0.25">
      <c r="A46" s="71" t="s">
        <v>197</v>
      </c>
      <c r="B46" s="71" t="s">
        <v>103</v>
      </c>
      <c r="C46" s="71">
        <v>939</v>
      </c>
      <c r="D46" s="67">
        <f>C46/SUM($C$2:$C$256)</f>
        <v>1.4991426628222198E-3</v>
      </c>
      <c r="E46" s="73">
        <f>town_population[[#This Row],[Pop Share of State]]/(INDEX(regional_population[Pop Share of State],MATCH(town_population[[#This Row],[Regional Planning Commission]],regional_population[Regional Planning Commission],0)))</f>
        <v>1.4558139534883722E-2</v>
      </c>
    </row>
    <row r="47" spans="1:5" ht="15.75" x14ac:dyDescent="0.25">
      <c r="A47" s="71" t="s">
        <v>162</v>
      </c>
      <c r="B47" s="71" t="s">
        <v>99</v>
      </c>
      <c r="C47" s="71">
        <v>3810</v>
      </c>
      <c r="D47" s="67">
        <f>C47/SUM($C$2:$C$256)</f>
        <v>6.0827833283840869E-3</v>
      </c>
      <c r="E47" s="73">
        <f>town_population[[#This Row],[Pop Share of State]]/(INDEX(regional_population[Pop Share of State],MATCH(town_population[[#This Row],[Regional Planning Commission]],regional_population[Regional Planning Commission],0)))</f>
        <v>2.4009679492834897E-2</v>
      </c>
    </row>
    <row r="48" spans="1:5" ht="15.75" x14ac:dyDescent="0.25">
      <c r="A48" s="71" t="s">
        <v>299</v>
      </c>
      <c r="B48" s="71" t="s">
        <v>111</v>
      </c>
      <c r="C48" s="71">
        <v>1430</v>
      </c>
      <c r="D48" s="67">
        <f>C48/SUM($C$2:$C$256)</f>
        <v>2.2830394119656809E-3</v>
      </c>
      <c r="E48" s="73">
        <f>town_population[[#This Row],[Pop Share of State]]/(INDEX(regional_population[Pop Share of State],MATCH(town_population[[#This Row],[Regional Planning Commission]],regional_population[Regional Planning Commission],0)))</f>
        <v>2.5761588210920748E-2</v>
      </c>
    </row>
    <row r="49" spans="1:5" ht="15.75" x14ac:dyDescent="0.25">
      <c r="A49" s="71" t="s">
        <v>286</v>
      </c>
      <c r="B49" s="71" t="s">
        <v>109</v>
      </c>
      <c r="C49" s="71">
        <v>3128</v>
      </c>
      <c r="D49" s="67">
        <f>C49/SUM($C$2:$C$256)</f>
        <v>4.9939491472927623E-3</v>
      </c>
      <c r="E49" s="73">
        <f>town_population[[#This Row],[Pop Share of State]]/(INDEX(regional_population[Pop Share of State],MATCH(town_population[[#This Row],[Regional Planning Commission]],regional_population[Regional Planning Commission],0)))</f>
        <v>0.12534059945504086</v>
      </c>
    </row>
    <row r="50" spans="1:5" ht="15.75" x14ac:dyDescent="0.25">
      <c r="A50" s="71" t="s">
        <v>259</v>
      </c>
      <c r="B50" s="71" t="s">
        <v>107</v>
      </c>
      <c r="C50" s="71">
        <v>1198</v>
      </c>
      <c r="D50" s="67">
        <f>C50/SUM($C$2:$C$256)</f>
        <v>1.9126442066677524E-3</v>
      </c>
      <c r="E50" s="73">
        <f>town_population[[#This Row],[Pop Share of State]]/(INDEX(regional_population[Pop Share of State],MATCH(town_population[[#This Row],[Regional Planning Commission]],regional_population[Regional Planning Commission],0)))</f>
        <v>1.9884807542284264E-2</v>
      </c>
    </row>
    <row r="51" spans="1:5" ht="15.75" x14ac:dyDescent="0.25">
      <c r="A51" s="71" t="s">
        <v>260</v>
      </c>
      <c r="B51" s="71" t="s">
        <v>107</v>
      </c>
      <c r="C51" s="71">
        <v>2535</v>
      </c>
      <c r="D51" s="67">
        <f>C51/SUM($C$2:$C$256)</f>
        <v>4.0472062303027979E-3</v>
      </c>
      <c r="E51" s="73">
        <f>town_population[[#This Row],[Pop Share of State]]/(INDEX(regional_population[Pop Share of State],MATCH(town_population[[#This Row],[Regional Planning Commission]],regional_population[Regional Planning Commission],0)))</f>
        <v>4.2076783906252593E-2</v>
      </c>
    </row>
    <row r="52" spans="1:5" ht="15.75" x14ac:dyDescent="0.25">
      <c r="A52" s="71" t="s">
        <v>163</v>
      </c>
      <c r="B52" s="71" t="s">
        <v>99</v>
      </c>
      <c r="C52" s="71">
        <v>17249</v>
      </c>
      <c r="D52" s="67">
        <f>C52/SUM($C$2:$C$256)</f>
        <v>2.7538564207689534E-2</v>
      </c>
      <c r="E52" s="73">
        <f>town_population[[#This Row],[Pop Share of State]]/(INDEX(regional_population[Pop Share of State],MATCH(town_population[[#This Row],[Regional Planning Commission]],regional_population[Regional Planning Commission],0)))</f>
        <v>0.10869894004512053</v>
      </c>
    </row>
    <row r="53" spans="1:5" ht="15.75" x14ac:dyDescent="0.25">
      <c r="A53" s="71" t="s">
        <v>198</v>
      </c>
      <c r="B53" s="71" t="s">
        <v>103</v>
      </c>
      <c r="C53" s="71">
        <v>1203</v>
      </c>
      <c r="D53" s="67">
        <f>C53/SUM($C$2:$C$256)</f>
        <v>1.9206268619543455E-3</v>
      </c>
      <c r="E53" s="73">
        <f>town_population[[#This Row],[Pop Share of State]]/(INDEX(regional_population[Pop Share of State],MATCH(town_population[[#This Row],[Regional Planning Commission]],regional_population[Regional Planning Commission],0)))</f>
        <v>1.8651162790697676E-2</v>
      </c>
    </row>
    <row r="54" spans="1:5" ht="15.75" x14ac:dyDescent="0.25">
      <c r="A54" s="71" t="s">
        <v>300</v>
      </c>
      <c r="B54" s="71" t="s">
        <v>111</v>
      </c>
      <c r="C54" s="71">
        <v>1302</v>
      </c>
      <c r="D54" s="67">
        <f>C54/SUM($C$2:$C$256)</f>
        <v>2.0786834366288928E-3</v>
      </c>
      <c r="E54" s="73">
        <f>town_population[[#This Row],[Pop Share of State]]/(INDEX(regional_population[Pop Share of State],MATCH(town_population[[#This Row],[Regional Planning Commission]],regional_population[Regional Planning Commission],0)))</f>
        <v>2.3455655839593578E-2</v>
      </c>
    </row>
    <row r="55" spans="1:5" ht="15.75" x14ac:dyDescent="0.25">
      <c r="A55" s="71" t="s">
        <v>98</v>
      </c>
      <c r="B55" s="71" t="s">
        <v>93</v>
      </c>
      <c r="C55" s="71">
        <v>1089</v>
      </c>
      <c r="D55" s="67">
        <f>C55/SUM($C$2:$C$256)</f>
        <v>1.7386223214200186E-3</v>
      </c>
      <c r="E55" s="73">
        <f>town_population[[#This Row],[Pop Share of State]]/(INDEX(regional_population[Pop Share of State],MATCH(town_population[[#This Row],[Regional Planning Commission]],regional_population[Regional Planning Commission],0)))</f>
        <v>3.0099502487562192E-2</v>
      </c>
    </row>
    <row r="56" spans="1:5" ht="15.75" x14ac:dyDescent="0.25">
      <c r="A56" s="71" t="s">
        <v>199</v>
      </c>
      <c r="B56" s="71" t="s">
        <v>103</v>
      </c>
      <c r="C56" s="71">
        <v>1123</v>
      </c>
      <c r="D56" s="67">
        <f>C56/SUM($C$2:$C$256)</f>
        <v>1.7929043773688529E-3</v>
      </c>
      <c r="E56" s="73">
        <f>town_population[[#This Row],[Pop Share of State]]/(INDEX(regional_population[Pop Share of State],MATCH(town_population[[#This Row],[Regional Planning Commission]],regional_population[Regional Planning Commission],0)))</f>
        <v>1.7410852713178295E-2</v>
      </c>
    </row>
    <row r="57" spans="1:5" ht="15.75" x14ac:dyDescent="0.25">
      <c r="A57" s="71" t="s">
        <v>200</v>
      </c>
      <c r="B57" s="71" t="s">
        <v>103</v>
      </c>
      <c r="C57" s="71">
        <v>1238</v>
      </c>
      <c r="D57" s="67">
        <f>C57/SUM($C$2:$C$256)</f>
        <v>1.9765054489604985E-3</v>
      </c>
      <c r="E57" s="73">
        <f>town_population[[#This Row],[Pop Share of State]]/(INDEX(regional_population[Pop Share of State],MATCH(town_population[[#This Row],[Regional Planning Commission]],regional_population[Regional Planning Commission],0)))</f>
        <v>1.9193798449612404E-2</v>
      </c>
    </row>
    <row r="58" spans="1:5" ht="15.75" x14ac:dyDescent="0.25">
      <c r="A58" s="71" t="s">
        <v>261</v>
      </c>
      <c r="B58" s="71" t="s">
        <v>107</v>
      </c>
      <c r="C58" s="71">
        <v>1366</v>
      </c>
      <c r="D58" s="67">
        <f>C58/SUM($C$2:$C$256)</f>
        <v>2.1808614242972871E-3</v>
      </c>
      <c r="E58" s="73">
        <f>town_population[[#This Row],[Pop Share of State]]/(INDEX(regional_population[Pop Share of State],MATCH(town_population[[#This Row],[Regional Planning Commission]],regional_population[Regional Planning Commission],0)))</f>
        <v>2.2673328132521126E-2</v>
      </c>
    </row>
    <row r="59" spans="1:5" ht="15.75" x14ac:dyDescent="0.25">
      <c r="A59" s="71" t="s">
        <v>201</v>
      </c>
      <c r="B59" s="71" t="s">
        <v>103</v>
      </c>
      <c r="C59" s="71">
        <v>2247</v>
      </c>
      <c r="D59" s="67">
        <f>C59/SUM($C$2:$C$256)</f>
        <v>3.5874052857950245E-3</v>
      </c>
      <c r="E59" s="73">
        <f>town_population[[#This Row],[Pop Share of State]]/(INDEX(regional_population[Pop Share of State],MATCH(town_population[[#This Row],[Regional Planning Commission]],regional_population[Regional Planning Commission],0)))</f>
        <v>3.4837209302325582E-2</v>
      </c>
    </row>
    <row r="60" spans="1:5" ht="15.75" x14ac:dyDescent="0.25">
      <c r="A60" s="71" t="s">
        <v>202</v>
      </c>
      <c r="B60" s="71" t="s">
        <v>103</v>
      </c>
      <c r="C60" s="71">
        <v>4561</v>
      </c>
      <c r="D60" s="67">
        <f>C60/SUM($C$2:$C$256)</f>
        <v>7.2817781524303991E-3</v>
      </c>
      <c r="E60" s="73">
        <f>town_population[[#This Row],[Pop Share of State]]/(INDEX(regional_population[Pop Share of State],MATCH(town_population[[#This Row],[Regional Planning Commission]],regional_population[Regional Planning Commission],0)))</f>
        <v>7.0713178294573645E-2</v>
      </c>
    </row>
    <row r="61" spans="1:5" ht="15.75" x14ac:dyDescent="0.25">
      <c r="A61" s="71" t="s">
        <v>126</v>
      </c>
      <c r="B61" s="71" t="s">
        <v>95</v>
      </c>
      <c r="C61" s="71">
        <v>2118</v>
      </c>
      <c r="D61" s="67">
        <f>C61/SUM($C$2:$C$256)</f>
        <v>3.3814527794009176E-3</v>
      </c>
      <c r="E61" s="73">
        <f>town_population[[#This Row],[Pop Share of State]]/(INDEX(regional_population[Pop Share of State],MATCH(town_population[[#This Row],[Regional Planning Commission]],regional_population[Regional Planning Commission],0)))</f>
        <v>6.0151657152594351E-2</v>
      </c>
    </row>
    <row r="62" spans="1:5" ht="15.75" x14ac:dyDescent="0.25">
      <c r="A62" s="71" t="s">
        <v>326</v>
      </c>
      <c r="B62" s="71" t="s">
        <v>113</v>
      </c>
      <c r="C62" s="71">
        <v>1335</v>
      </c>
      <c r="D62" s="67">
        <f>C62/SUM($C$2:$C$256)</f>
        <v>2.1313689615204087E-3</v>
      </c>
      <c r="E62" s="73">
        <f>town_population[[#This Row],[Pop Share of State]]/(INDEX(regional_population[Pop Share of State],MATCH(town_population[[#This Row],[Regional Planning Commission]],regional_population[Regional Planning Commission],0)))</f>
        <v>2.8911122661122664E-2</v>
      </c>
    </row>
    <row r="63" spans="1:5" ht="15.75" x14ac:dyDescent="0.25">
      <c r="A63" s="71" t="s">
        <v>327</v>
      </c>
      <c r="B63" s="71" t="s">
        <v>113</v>
      </c>
      <c r="C63" s="71">
        <v>1933</v>
      </c>
      <c r="D63" s="67">
        <f>C63/SUM($C$2:$C$256)</f>
        <v>3.086094533796966E-3</v>
      </c>
      <c r="E63" s="73">
        <f>town_population[[#This Row],[Pop Share of State]]/(INDEX(regional_population[Pop Share of State],MATCH(town_population[[#This Row],[Regional Planning Commission]],regional_population[Regional Planning Commission],0)))</f>
        <v>4.1861573111573111E-2</v>
      </c>
    </row>
    <row r="64" spans="1:5" ht="15.75" x14ac:dyDescent="0.25">
      <c r="A64" s="71" t="s">
        <v>142</v>
      </c>
      <c r="B64" s="71" t="s">
        <v>97</v>
      </c>
      <c r="C64" s="71">
        <v>1409</v>
      </c>
      <c r="D64" s="67">
        <f>C64/SUM($C$2:$C$256)</f>
        <v>2.2495122597619892E-3</v>
      </c>
      <c r="E64" s="73">
        <f>town_population[[#This Row],[Pop Share of State]]/(INDEX(regional_population[Pop Share of State],MATCH(town_population[[#This Row],[Regional Planning Commission]],regional_population[Regional Planning Commission],0)))</f>
        <v>2.1728737759272112E-2</v>
      </c>
    </row>
    <row r="65" spans="1:5" ht="15.75" x14ac:dyDescent="0.25">
      <c r="A65" s="71" t="s">
        <v>203</v>
      </c>
      <c r="B65" s="71" t="s">
        <v>103</v>
      </c>
      <c r="C65" s="71">
        <v>338</v>
      </c>
      <c r="D65" s="67">
        <f>C65/SUM($C$2:$C$256)</f>
        <v>5.3962749737370645E-4</v>
      </c>
      <c r="E65" s="73">
        <f>town_population[[#This Row],[Pop Share of State]]/(INDEX(regional_population[Pop Share of State],MATCH(town_population[[#This Row],[Regional Planning Commission]],regional_population[Regional Planning Commission],0)))</f>
        <v>5.2403100775193804E-3</v>
      </c>
    </row>
    <row r="66" spans="1:5" ht="15.75" x14ac:dyDescent="0.25">
      <c r="A66" s="71" t="s">
        <v>143</v>
      </c>
      <c r="B66" s="71" t="s">
        <v>97</v>
      </c>
      <c r="C66" s="71">
        <v>2601</v>
      </c>
      <c r="D66" s="67">
        <f>C66/SUM($C$2:$C$256)</f>
        <v>4.1525772800858297E-3</v>
      </c>
      <c r="E66" s="73">
        <f>town_population[[#This Row],[Pop Share of State]]/(INDEX(regional_population[Pop Share of State],MATCH(town_population[[#This Row],[Regional Planning Commission]],regional_population[Regional Planning Commission],0)))</f>
        <v>4.0111034004163777E-2</v>
      </c>
    </row>
    <row r="67" spans="1:5" ht="15.75" x14ac:dyDescent="0.25">
      <c r="A67" s="71" t="s">
        <v>179</v>
      </c>
      <c r="B67" s="71" t="s">
        <v>101</v>
      </c>
      <c r="C67" s="71">
        <v>1353</v>
      </c>
      <c r="D67" s="67">
        <f>C67/SUM($C$2:$C$256)</f>
        <v>2.1601065205521441E-3</v>
      </c>
      <c r="E67" s="73">
        <f>town_population[[#This Row],[Pop Share of State]]/(INDEX(regional_population[Pop Share of State],MATCH(town_population[[#This Row],[Regional Planning Commission]],regional_population[Regional Planning Commission],0)))</f>
        <v>5.4462021494988515E-2</v>
      </c>
    </row>
    <row r="68" spans="1:5" ht="15.75" x14ac:dyDescent="0.25">
      <c r="A68" s="71" t="s">
        <v>180</v>
      </c>
      <c r="B68" s="71" t="s">
        <v>101</v>
      </c>
      <c r="C68" s="71">
        <v>946</v>
      </c>
      <c r="D68" s="67">
        <f>C68/SUM($C$2:$C$256)</f>
        <v>1.5103183802234505E-3</v>
      </c>
      <c r="E68" s="73">
        <f>town_population[[#This Row],[Pop Share of State]]/(INDEX(regional_population[Pop Share of State],MATCH(town_population[[#This Row],[Regional Planning Commission]],regional_population[Regional Planning Commission],0)))</f>
        <v>3.8079136980235878E-2</v>
      </c>
    </row>
    <row r="69" spans="1:5" ht="15.75" x14ac:dyDescent="0.25">
      <c r="A69" s="71" t="s">
        <v>239</v>
      </c>
      <c r="B69" s="71" t="s">
        <v>105</v>
      </c>
      <c r="C69" s="71">
        <v>2771</v>
      </c>
      <c r="D69" s="67">
        <f>C69/SUM($C$2:$C$256)</f>
        <v>4.4239875598300017E-3</v>
      </c>
      <c r="E69" s="73">
        <f>town_population[[#This Row],[Pop Share of State]]/(INDEX(regional_population[Pop Share of State],MATCH(town_population[[#This Row],[Regional Planning Commission]],regional_population[Regional Planning Commission],0)))</f>
        <v>5.0194728738338919E-2</v>
      </c>
    </row>
    <row r="70" spans="1:5" ht="15.75" x14ac:dyDescent="0.25">
      <c r="A70" s="71" t="s">
        <v>164</v>
      </c>
      <c r="B70" s="71" t="s">
        <v>99</v>
      </c>
      <c r="C70" s="71">
        <v>20172</v>
      </c>
      <c r="D70" s="67">
        <f>C70/SUM($C$2:$C$256)</f>
        <v>3.2205224488231966E-2</v>
      </c>
      <c r="E70" s="73">
        <f>town_population[[#This Row],[Pop Share of State]]/(INDEX(regional_population[Pop Share of State],MATCH(town_population[[#This Row],[Regional Planning Commission]],regional_population[Regional Planning Commission],0)))</f>
        <v>0.12711896449592272</v>
      </c>
    </row>
    <row r="71" spans="1:5" ht="15.75" x14ac:dyDescent="0.25">
      <c r="A71" s="71" t="s">
        <v>262</v>
      </c>
      <c r="B71" s="71" t="s">
        <v>107</v>
      </c>
      <c r="C71" s="71">
        <v>2694</v>
      </c>
      <c r="D71" s="67">
        <f>C71/SUM($C$2:$C$256)</f>
        <v>4.3010546684164649E-3</v>
      </c>
      <c r="E71" s="73">
        <f>town_population[[#This Row],[Pop Share of State]]/(INDEX(regional_population[Pop Share of State],MATCH(town_population[[#This Row],[Regional Planning Commission]],regional_population[Regional Planning Commission],0)))</f>
        <v>4.4715919464869622E-2</v>
      </c>
    </row>
    <row r="72" spans="1:5" ht="15.75" x14ac:dyDescent="0.25">
      <c r="A72" s="71" t="s">
        <v>240</v>
      </c>
      <c r="B72" s="71" t="s">
        <v>105</v>
      </c>
      <c r="C72" s="71">
        <v>4397</v>
      </c>
      <c r="D72" s="67">
        <f>C72/SUM($C$2:$C$256)</f>
        <v>7.0199470590301396E-3</v>
      </c>
      <c r="E72" s="73">
        <f>town_population[[#This Row],[Pop Share of State]]/(INDEX(regional_population[Pop Share of State],MATCH(town_population[[#This Row],[Regional Planning Commission]],regional_population[Regional Planning Commission],0)))</f>
        <v>7.964858255592791E-2</v>
      </c>
    </row>
    <row r="73" spans="1:5" ht="15.75" x14ac:dyDescent="0.25">
      <c r="A73" s="71" t="s">
        <v>241</v>
      </c>
      <c r="B73" s="71" t="s">
        <v>105</v>
      </c>
      <c r="C73" s="71">
        <v>1856</v>
      </c>
      <c r="D73" s="67">
        <f>C73/SUM($C$2:$C$256)</f>
        <v>2.9631616423834292E-3</v>
      </c>
      <c r="E73" s="73">
        <f>town_population[[#This Row],[Pop Share of State]]/(INDEX(regional_population[Pop Share of State],MATCH(town_population[[#This Row],[Regional Planning Commission]],regional_population[Regional Planning Commission],0)))</f>
        <v>3.3620143102979803E-2</v>
      </c>
    </row>
    <row r="74" spans="1:5" ht="15.75" x14ac:dyDescent="0.25">
      <c r="A74" s="71" t="s">
        <v>301</v>
      </c>
      <c r="B74" s="71" t="s">
        <v>111</v>
      </c>
      <c r="C74" s="71">
        <v>1029</v>
      </c>
      <c r="D74" s="67">
        <f>C74/SUM($C$2:$C$256)</f>
        <v>1.6428304579808992E-3</v>
      </c>
      <c r="E74" s="73">
        <f>town_population[[#This Row],[Pop Share of State]]/(INDEX(regional_population[Pop Share of State],MATCH(town_population[[#This Row],[Regional Planning Commission]],regional_population[Regional Planning Commission],0)))</f>
        <v>1.8537534453872344E-2</v>
      </c>
    </row>
    <row r="75" spans="1:5" ht="15.75" x14ac:dyDescent="0.25">
      <c r="A75" s="71" t="s">
        <v>144</v>
      </c>
      <c r="B75" s="71" t="s">
        <v>97</v>
      </c>
      <c r="C75" s="71">
        <v>1314</v>
      </c>
      <c r="D75" s="67">
        <f>C75/SUM($C$2:$C$256)</f>
        <v>2.0978418093167165E-3</v>
      </c>
      <c r="E75" s="73">
        <f>town_population[[#This Row],[Pop Share of State]]/(INDEX(regional_population[Pop Share of State],MATCH(town_population[[#This Row],[Regional Planning Commission]],regional_population[Regional Planning Commission],0)))</f>
        <v>2.0263705759888964E-2</v>
      </c>
    </row>
    <row r="76" spans="1:5" ht="15.75" x14ac:dyDescent="0.25">
      <c r="A76" s="71" t="s">
        <v>362</v>
      </c>
      <c r="B76" s="71" t="s">
        <v>103</v>
      </c>
      <c r="C76" s="71">
        <v>28</v>
      </c>
      <c r="D76" s="67">
        <f>C76/SUM($C$2:$C$256)</f>
        <v>4.4702869604922427E-5</v>
      </c>
      <c r="E76" s="73">
        <f>town_population[[#This Row],[Pop Share of State]]/(INDEX(regional_population[Pop Share of State],MATCH(town_population[[#This Row],[Regional Planning Commission]],regional_population[Regional Planning Commission],0)))</f>
        <v>4.3410852713178299E-4</v>
      </c>
    </row>
    <row r="77" spans="1:5" ht="15.75" x14ac:dyDescent="0.25">
      <c r="A77" s="71" t="s">
        <v>100</v>
      </c>
      <c r="B77" s="71" t="s">
        <v>93</v>
      </c>
      <c r="C77" s="71">
        <v>2779</v>
      </c>
      <c r="D77" s="67">
        <f>C77/SUM($C$2:$C$256)</f>
        <v>4.4367598082885509E-3</v>
      </c>
      <c r="E77" s="73">
        <f>town_population[[#This Row],[Pop Share of State]]/(INDEX(regional_population[Pop Share of State],MATCH(town_population[[#This Row],[Regional Planning Commission]],regional_population[Regional Planning Commission],0)))</f>
        <v>7.6810392482034279E-2</v>
      </c>
    </row>
    <row r="78" spans="1:5" ht="15.75" x14ac:dyDescent="0.25">
      <c r="A78" s="71" t="s">
        <v>242</v>
      </c>
      <c r="B78" s="71" t="s">
        <v>105</v>
      </c>
      <c r="C78" s="71">
        <v>1244</v>
      </c>
      <c r="D78" s="67">
        <f>C78/SUM($C$2:$C$256)</f>
        <v>1.9860846353044106E-3</v>
      </c>
      <c r="E78" s="73">
        <f>town_population[[#This Row],[Pop Share of State]]/(INDEX(regional_population[Pop Share of State],MATCH(town_population[[#This Row],[Regional Planning Commission]],regional_population[Regional Planning Commission],0)))</f>
        <v>2.2534190743592065E-2</v>
      </c>
    </row>
    <row r="79" spans="1:5" ht="15.75" x14ac:dyDescent="0.25">
      <c r="A79" s="71" t="s">
        <v>243</v>
      </c>
      <c r="B79" s="71" t="s">
        <v>105</v>
      </c>
      <c r="C79" s="71">
        <v>1240</v>
      </c>
      <c r="D79" s="67">
        <f>C79/SUM($C$2:$C$256)</f>
        <v>1.979698511075136E-3</v>
      </c>
      <c r="E79" s="73">
        <f>town_population[[#This Row],[Pop Share of State]]/(INDEX(regional_population[Pop Share of State],MATCH(town_population[[#This Row],[Regional Planning Commission]],regional_population[Regional Planning Commission],0)))</f>
        <v>2.2461733538628747E-2</v>
      </c>
    </row>
    <row r="80" spans="1:5" ht="15.75" x14ac:dyDescent="0.25">
      <c r="A80" s="71" t="s">
        <v>244</v>
      </c>
      <c r="B80" s="71" t="s">
        <v>105</v>
      </c>
      <c r="C80" s="71">
        <v>4610</v>
      </c>
      <c r="D80" s="67">
        <f>C80/SUM($C$2:$C$256)</f>
        <v>7.3600081742390133E-3</v>
      </c>
      <c r="E80" s="73">
        <f>town_population[[#This Row],[Pop Share of State]]/(INDEX(regional_population[Pop Share of State],MATCH(town_population[[#This Row],[Regional Planning Commission]],regional_population[Regional Planning Commission],0)))</f>
        <v>8.350692872022461E-2</v>
      </c>
    </row>
    <row r="81" spans="1:5" ht="15.75" x14ac:dyDescent="0.25">
      <c r="A81" s="71" t="s">
        <v>363</v>
      </c>
      <c r="B81" s="71" t="s">
        <v>95</v>
      </c>
      <c r="C81" s="71">
        <v>9</v>
      </c>
      <c r="D81" s="67">
        <f>C81/SUM($C$2:$C$256)</f>
        <v>1.4368779515867922E-5</v>
      </c>
      <c r="E81" s="73">
        <f>town_population[[#This Row],[Pop Share of State]]/(INDEX(regional_population[Pop Share of State],MATCH(town_population[[#This Row],[Regional Planning Commission]],regional_population[Regional Planning Commission],0)))</f>
        <v>2.5560194257476351E-4</v>
      </c>
    </row>
    <row r="82" spans="1:5" ht="15.75" x14ac:dyDescent="0.25">
      <c r="A82" s="71" t="s">
        <v>204</v>
      </c>
      <c r="B82" s="71" t="s">
        <v>103</v>
      </c>
      <c r="C82" s="71">
        <v>1072</v>
      </c>
      <c r="D82" s="67">
        <f>C82/SUM($C$2:$C$256)</f>
        <v>1.7114812934456013E-3</v>
      </c>
      <c r="E82" s="73">
        <f>town_population[[#This Row],[Pop Share of State]]/(INDEX(regional_population[Pop Share of State],MATCH(town_population[[#This Row],[Regional Planning Commission]],regional_population[Regional Planning Commission],0)))</f>
        <v>1.6620155038759691E-2</v>
      </c>
    </row>
    <row r="83" spans="1:5" ht="15.75" x14ac:dyDescent="0.25">
      <c r="A83" s="71" t="s">
        <v>102</v>
      </c>
      <c r="B83" s="71" t="s">
        <v>93</v>
      </c>
      <c r="C83" s="71">
        <v>135</v>
      </c>
      <c r="D83" s="67">
        <f>C83/SUM($C$2:$C$256)</f>
        <v>2.1553169273801884E-4</v>
      </c>
      <c r="E83" s="73">
        <f>town_population[[#This Row],[Pop Share of State]]/(INDEX(regional_population[Pop Share of State],MATCH(town_population[[#This Row],[Regional Planning Commission]],regional_population[Regional Planning Commission],0)))</f>
        <v>3.7313432835820899E-3</v>
      </c>
    </row>
    <row r="84" spans="1:5" ht="15.75" x14ac:dyDescent="0.25">
      <c r="A84" s="71" t="s">
        <v>328</v>
      </c>
      <c r="B84" s="71" t="s">
        <v>113</v>
      </c>
      <c r="C84" s="71">
        <v>609</v>
      </c>
      <c r="D84" s="67">
        <f>C84/SUM($C$2:$C$256)</f>
        <v>9.7228741390706277E-4</v>
      </c>
      <c r="E84" s="73">
        <f>town_population[[#This Row],[Pop Share of State]]/(INDEX(regional_population[Pop Share of State],MATCH(town_population[[#This Row],[Regional Planning Commission]],regional_population[Regional Planning Commission],0)))</f>
        <v>1.3188669438669439E-2</v>
      </c>
    </row>
    <row r="85" spans="1:5" ht="15.75" x14ac:dyDescent="0.25">
      <c r="A85" s="71" t="s">
        <v>205</v>
      </c>
      <c r="B85" s="71" t="s">
        <v>103</v>
      </c>
      <c r="C85" s="71">
        <v>85</v>
      </c>
      <c r="D85" s="67">
        <f>C85/SUM($C$2:$C$256)</f>
        <v>1.3570513987208593E-4</v>
      </c>
      <c r="E85" s="73">
        <f>town_population[[#This Row],[Pop Share of State]]/(INDEX(regional_population[Pop Share of State],MATCH(town_population[[#This Row],[Regional Planning Commission]],regional_population[Regional Planning Commission],0)))</f>
        <v>1.3178294573643412E-3</v>
      </c>
    </row>
    <row r="86" spans="1:5" ht="15.75" x14ac:dyDescent="0.25">
      <c r="A86" s="71" t="s">
        <v>245</v>
      </c>
      <c r="B86" s="71" t="s">
        <v>105</v>
      </c>
      <c r="C86" s="71">
        <v>2264</v>
      </c>
      <c r="D86" s="67">
        <f>C86/SUM($C$2:$C$256)</f>
        <v>3.6145463137694416E-3</v>
      </c>
      <c r="E86" s="73">
        <f>town_population[[#This Row],[Pop Share of State]]/(INDEX(regional_population[Pop Share of State],MATCH(town_population[[#This Row],[Regional Planning Commission]],regional_population[Regional Planning Commission],0)))</f>
        <v>4.1010778009238288E-2</v>
      </c>
    </row>
    <row r="87" spans="1:5" ht="15.75" x14ac:dyDescent="0.25">
      <c r="A87" s="71" t="s">
        <v>302</v>
      </c>
      <c r="B87" s="71" t="s">
        <v>111</v>
      </c>
      <c r="C87" s="71">
        <v>308</v>
      </c>
      <c r="D87" s="67">
        <f>C87/SUM($C$2:$C$256)</f>
        <v>4.917315656541467E-4</v>
      </c>
      <c r="E87" s="73">
        <f>town_population[[#This Row],[Pop Share of State]]/(INDEX(regional_population[Pop Share of State],MATCH(town_population[[#This Row],[Regional Planning Commission]],regional_population[Regional Planning Commission],0)))</f>
        <v>5.5486497685060081E-3</v>
      </c>
    </row>
    <row r="88" spans="1:5" ht="15.75" x14ac:dyDescent="0.25">
      <c r="A88" s="71" t="s">
        <v>206</v>
      </c>
      <c r="B88" s="71" t="s">
        <v>103</v>
      </c>
      <c r="C88" s="71">
        <v>723</v>
      </c>
      <c r="D88" s="67">
        <f>C88/SUM($C$2:$C$256)</f>
        <v>1.1542919544413899E-3</v>
      </c>
      <c r="E88" s="73">
        <f>town_population[[#This Row],[Pop Share of State]]/(INDEX(regional_population[Pop Share of State],MATCH(town_population[[#This Row],[Regional Planning Commission]],regional_population[Regional Planning Commission],0)))</f>
        <v>1.1209302325581398E-2</v>
      </c>
    </row>
    <row r="89" spans="1:5" ht="15.75" x14ac:dyDescent="0.25">
      <c r="A89" s="71" t="s">
        <v>207</v>
      </c>
      <c r="B89" s="71" t="s">
        <v>103</v>
      </c>
      <c r="C89" s="71">
        <v>1013</v>
      </c>
      <c r="D89" s="67">
        <f>C89/SUM($C$2:$C$256)</f>
        <v>1.6172859610638006E-3</v>
      </c>
      <c r="E89" s="73">
        <f>town_population[[#This Row],[Pop Share of State]]/(INDEX(regional_population[Pop Share of State],MATCH(town_population[[#This Row],[Regional Planning Commission]],regional_population[Regional Planning Commission],0)))</f>
        <v>1.5705426356589149E-2</v>
      </c>
    </row>
    <row r="90" spans="1:5" ht="15.75" x14ac:dyDescent="0.25">
      <c r="A90" s="71" t="s">
        <v>208</v>
      </c>
      <c r="B90" s="71" t="s">
        <v>103</v>
      </c>
      <c r="C90" s="71">
        <v>209</v>
      </c>
      <c r="D90" s="67">
        <f>C90/SUM($C$2:$C$256)</f>
        <v>3.3367499097959955E-4</v>
      </c>
      <c r="E90" s="73">
        <f>town_population[[#This Row],[Pop Share of State]]/(INDEX(regional_population[Pop Share of State],MATCH(town_population[[#This Row],[Regional Planning Commission]],regional_population[Regional Planning Commission],0)))</f>
        <v>3.2403100775193804E-3</v>
      </c>
    </row>
    <row r="91" spans="1:5" ht="15.75" x14ac:dyDescent="0.25">
      <c r="A91" s="71" t="s">
        <v>329</v>
      </c>
      <c r="B91" s="71" t="s">
        <v>113</v>
      </c>
      <c r="C91" s="71">
        <v>2151</v>
      </c>
      <c r="D91" s="67">
        <f>C91/SUM($C$2:$C$256)</f>
        <v>3.4341383042924335E-3</v>
      </c>
      <c r="E91" s="73">
        <f>town_population[[#This Row],[Pop Share of State]]/(INDEX(regional_population[Pop Share of State],MATCH(town_population[[#This Row],[Regional Planning Commission]],regional_population[Regional Planning Commission],0)))</f>
        <v>4.6582640332640333E-2</v>
      </c>
    </row>
    <row r="92" spans="1:5" ht="15.75" x14ac:dyDescent="0.25">
      <c r="A92" s="71" t="s">
        <v>330</v>
      </c>
      <c r="B92" s="71" t="s">
        <v>113</v>
      </c>
      <c r="C92" s="71">
        <v>692</v>
      </c>
      <c r="D92" s="67">
        <f>C92/SUM($C$2:$C$256)</f>
        <v>1.1047994916645112E-3</v>
      </c>
      <c r="E92" s="73">
        <f>town_population[[#This Row],[Pop Share of State]]/(INDEX(regional_population[Pop Share of State],MATCH(town_population[[#This Row],[Regional Planning Commission]],regional_population[Regional Planning Commission],0)))</f>
        <v>1.4986139986139985E-2</v>
      </c>
    </row>
    <row r="93" spans="1:5" ht="15.75" x14ac:dyDescent="0.25">
      <c r="A93" s="71" t="s">
        <v>303</v>
      </c>
      <c r="B93" s="71" t="s">
        <v>111</v>
      </c>
      <c r="C93" s="71">
        <v>395</v>
      </c>
      <c r="D93" s="67">
        <f>C93/SUM($C$2:$C$256)</f>
        <v>6.3062976764086988E-4</v>
      </c>
      <c r="E93" s="73">
        <f>town_population[[#This Row],[Pop Share of State]]/(INDEX(regional_population[Pop Share of State],MATCH(town_population[[#This Row],[Regional Planning Commission]],regional_population[Regional Planning Commission],0)))</f>
        <v>7.1159631771424443E-3</v>
      </c>
    </row>
    <row r="94" spans="1:5" ht="15.75" x14ac:dyDescent="0.25">
      <c r="A94" s="71" t="s">
        <v>209</v>
      </c>
      <c r="B94" s="71" t="s">
        <v>103</v>
      </c>
      <c r="C94" s="71">
        <v>2976</v>
      </c>
      <c r="D94" s="67">
        <f>C94/SUM($C$2:$C$256)</f>
        <v>4.7512764265803262E-3</v>
      </c>
      <c r="E94" s="73">
        <f>town_population[[#This Row],[Pop Share of State]]/(INDEX(regional_population[Pop Share of State],MATCH(town_population[[#This Row],[Regional Planning Commission]],regional_population[Regional Planning Commission],0)))</f>
        <v>4.6139534883720933E-2</v>
      </c>
    </row>
    <row r="95" spans="1:5" ht="15.75" x14ac:dyDescent="0.25">
      <c r="A95" s="71" t="s">
        <v>304</v>
      </c>
      <c r="B95" s="71" t="s">
        <v>111</v>
      </c>
      <c r="C95" s="71">
        <v>9869</v>
      </c>
      <c r="D95" s="67">
        <f>C95/SUM($C$2:$C$256)</f>
        <v>1.5756165004677837E-2</v>
      </c>
      <c r="E95" s="73">
        <f>town_population[[#This Row],[Pop Share of State]]/(INDEX(regional_population[Pop Share of State],MATCH(town_population[[#This Row],[Regional Planning Commission]],regional_population[Regional Planning Commission],0)))</f>
        <v>0.17779098884865516</v>
      </c>
    </row>
    <row r="96" spans="1:5" ht="15.75" x14ac:dyDescent="0.25">
      <c r="A96" s="71" t="s">
        <v>305</v>
      </c>
      <c r="B96" s="71" t="s">
        <v>111</v>
      </c>
      <c r="C96" s="71">
        <v>3397</v>
      </c>
      <c r="D96" s="67">
        <f>C96/SUM($C$2:$C$256)</f>
        <v>5.4234160017114811E-3</v>
      </c>
      <c r="E96" s="73">
        <f>town_population[[#This Row],[Pop Share of State]]/(INDEX(regional_population[Pop Share of State],MATCH(town_population[[#This Row],[Regional Planning Commission]],regional_population[Regional Planning Commission],0)))</f>
        <v>6.1197283323425021E-2</v>
      </c>
    </row>
    <row r="97" spans="1:5" ht="15.75" x14ac:dyDescent="0.25">
      <c r="A97" s="71" t="s">
        <v>246</v>
      </c>
      <c r="B97" s="71" t="s">
        <v>105</v>
      </c>
      <c r="C97" s="71">
        <v>3576</v>
      </c>
      <c r="D97" s="67">
        <f>C97/SUM($C$2:$C$256)</f>
        <v>5.7091950609715215E-3</v>
      </c>
      <c r="E97" s="73">
        <f>town_population[[#This Row],[Pop Share of State]]/(INDEX(regional_population[Pop Share of State],MATCH(town_population[[#This Row],[Regional Planning Commission]],regional_population[Regional Planning Commission],0)))</f>
        <v>6.4776741237206781E-2</v>
      </c>
    </row>
    <row r="98" spans="1:5" ht="15.75" x14ac:dyDescent="0.25">
      <c r="A98" s="71" t="s">
        <v>165</v>
      </c>
      <c r="B98" s="71" t="s">
        <v>99</v>
      </c>
      <c r="C98" s="71">
        <v>4451</v>
      </c>
      <c r="D98" s="67">
        <f>C98/SUM($C$2:$C$256)</f>
        <v>7.1061597361253472E-3</v>
      </c>
      <c r="E98" s="73">
        <f>town_population[[#This Row],[Pop Share of State]]/(INDEX(regional_population[Pop Share of State],MATCH(town_population[[#This Row],[Regional Planning Commission]],regional_population[Regional Planning Commission],0)))</f>
        <v>2.8049103260527071E-2</v>
      </c>
    </row>
    <row r="99" spans="1:5" ht="15.75" x14ac:dyDescent="0.25">
      <c r="A99" s="71" t="s">
        <v>210</v>
      </c>
      <c r="B99" s="71" t="s">
        <v>103</v>
      </c>
      <c r="C99" s="71">
        <v>689</v>
      </c>
      <c r="D99" s="67">
        <f>C99/SUM($C$2:$C$256)</f>
        <v>1.1000098984925554E-3</v>
      </c>
      <c r="E99" s="73">
        <f>town_population[[#This Row],[Pop Share of State]]/(INDEX(regional_population[Pop Share of State],MATCH(town_population[[#This Row],[Regional Planning Commission]],regional_population[Regional Planning Commission],0)))</f>
        <v>1.068217054263566E-2</v>
      </c>
    </row>
    <row r="100" spans="1:5" ht="15.75" x14ac:dyDescent="0.25">
      <c r="A100" s="71" t="s">
        <v>263</v>
      </c>
      <c r="B100" s="71" t="s">
        <v>107</v>
      </c>
      <c r="C100" s="71">
        <v>624</v>
      </c>
      <c r="D100" s="67">
        <f>C100/SUM($C$2:$C$256)</f>
        <v>9.9623537976684258E-4</v>
      </c>
      <c r="E100" s="73">
        <f>town_population[[#This Row],[Pop Share of State]]/(INDEX(regional_population[Pop Share of State],MATCH(town_population[[#This Row],[Regional Planning Commission]],regional_population[Regional Planning Commission],0)))</f>
        <v>1.0357362192308331E-2</v>
      </c>
    </row>
    <row r="101" spans="1:5" ht="15.75" x14ac:dyDescent="0.25">
      <c r="A101" s="71" t="s">
        <v>166</v>
      </c>
      <c r="B101" s="71" t="s">
        <v>99</v>
      </c>
      <c r="C101" s="71">
        <v>1924</v>
      </c>
      <c r="D101" s="67">
        <f>C101/SUM($C$2:$C$256)</f>
        <v>3.0717257542810981E-3</v>
      </c>
      <c r="E101" s="73">
        <f>town_population[[#This Row],[Pop Share of State]]/(INDEX(regional_population[Pop Share of State],MATCH(town_population[[#This Row],[Regional Planning Commission]],regional_population[Regional Planning Commission],0)))</f>
        <v>1.2124573056224238E-2</v>
      </c>
    </row>
    <row r="102" spans="1:5" ht="15.75" x14ac:dyDescent="0.25">
      <c r="A102" s="71" t="s">
        <v>181</v>
      </c>
      <c r="B102" s="71" t="s">
        <v>101</v>
      </c>
      <c r="C102" s="71">
        <v>3011</v>
      </c>
      <c r="D102" s="67">
        <f>C102/SUM($C$2:$C$256)</f>
        <v>4.8071550135864796E-3</v>
      </c>
      <c r="E102" s="73">
        <f>town_population[[#This Row],[Pop Share of State]]/(INDEX(regional_population[Pop Share of State],MATCH(town_population[[#This Row],[Regional Planning Commission]],regional_population[Regional Planning Commission],0)))</f>
        <v>0.12120114317916515</v>
      </c>
    </row>
    <row r="103" spans="1:5" ht="15.75" x14ac:dyDescent="0.25">
      <c r="A103" s="71" t="s">
        <v>264</v>
      </c>
      <c r="B103" s="71" t="s">
        <v>107</v>
      </c>
      <c r="C103" s="71">
        <v>441</v>
      </c>
      <c r="D103" s="67">
        <f>C103/SUM($C$2:$C$256)</f>
        <v>7.0407019627752819E-4</v>
      </c>
      <c r="E103" s="73">
        <f>town_population[[#This Row],[Pop Share of State]]/(INDEX(regional_population[Pop Share of State],MATCH(town_population[[#This Row],[Regional Planning Commission]],regional_population[Regional Planning Commission],0)))</f>
        <v>7.3198665493717533E-3</v>
      </c>
    </row>
    <row r="104" spans="1:5" ht="15.75" x14ac:dyDescent="0.25">
      <c r="A104" s="71" t="s">
        <v>211</v>
      </c>
      <c r="B104" s="71" t="s">
        <v>103</v>
      </c>
      <c r="C104" s="71">
        <v>1195</v>
      </c>
      <c r="D104" s="67">
        <f>C104/SUM($C$2:$C$256)</f>
        <v>1.9078546134957963E-3</v>
      </c>
      <c r="E104" s="73">
        <f>town_population[[#This Row],[Pop Share of State]]/(INDEX(regional_population[Pop Share of State],MATCH(town_population[[#This Row],[Regional Planning Commission]],regional_population[Regional Planning Commission],0)))</f>
        <v>1.8527131782945738E-2</v>
      </c>
    </row>
    <row r="105" spans="1:5" ht="15.75" x14ac:dyDescent="0.25">
      <c r="A105" s="71" t="s">
        <v>247</v>
      </c>
      <c r="B105" s="71" t="s">
        <v>105</v>
      </c>
      <c r="C105" s="71">
        <v>577</v>
      </c>
      <c r="D105" s="67">
        <f>C105/SUM($C$2:$C$256)</f>
        <v>9.2119842007286562E-4</v>
      </c>
      <c r="E105" s="73">
        <f>town_population[[#This Row],[Pop Share of State]]/(INDEX(regional_population[Pop Share of State],MATCH(town_population[[#This Row],[Regional Planning Commission]],regional_population[Regional Planning Commission],0)))</f>
        <v>1.0451951815958699E-2</v>
      </c>
    </row>
    <row r="106" spans="1:5" ht="15.75" x14ac:dyDescent="0.25">
      <c r="A106" s="71" t="s">
        <v>331</v>
      </c>
      <c r="B106" s="71" t="s">
        <v>113</v>
      </c>
      <c r="C106" s="71">
        <v>899</v>
      </c>
      <c r="D106" s="67">
        <f>C106/SUM($C$2:$C$256)</f>
        <v>1.4352814205294735E-3</v>
      </c>
      <c r="E106" s="73">
        <f>town_population[[#This Row],[Pop Share of State]]/(INDEX(regional_population[Pop Share of State],MATCH(town_population[[#This Row],[Regional Planning Commission]],regional_population[Regional Planning Commission],0)))</f>
        <v>1.9468988218988219E-2</v>
      </c>
    </row>
    <row r="107" spans="1:5" ht="15.75" x14ac:dyDescent="0.25">
      <c r="A107" s="71" t="s">
        <v>212</v>
      </c>
      <c r="B107" s="71" t="s">
        <v>103</v>
      </c>
      <c r="C107" s="71">
        <v>818</v>
      </c>
      <c r="D107" s="67">
        <f>C107/SUM($C$2:$C$256)</f>
        <v>1.3059624048866623E-3</v>
      </c>
      <c r="E107" s="73">
        <f>town_population[[#This Row],[Pop Share of State]]/(INDEX(regional_population[Pop Share of State],MATCH(town_population[[#This Row],[Regional Planning Commission]],regional_population[Regional Planning Commission],0)))</f>
        <v>1.268217054263566E-2</v>
      </c>
    </row>
    <row r="108" spans="1:5" ht="15.75" x14ac:dyDescent="0.25">
      <c r="A108" s="71" t="s">
        <v>167</v>
      </c>
      <c r="B108" s="71" t="s">
        <v>99</v>
      </c>
      <c r="C108" s="71">
        <v>5040</v>
      </c>
      <c r="D108" s="67">
        <f>C108/SUM($C$2:$C$256)</f>
        <v>8.0465165288860357E-3</v>
      </c>
      <c r="E108" s="73">
        <f>town_population[[#This Row],[Pop Share of State]]/(INDEX(regional_population[Pop Share of State],MATCH(town_population[[#This Row],[Regional Planning Commission]],regional_population[Regional Planning Commission],0)))</f>
        <v>3.1760835864537505E-2</v>
      </c>
    </row>
    <row r="109" spans="1:5" ht="15.75" x14ac:dyDescent="0.25">
      <c r="A109" s="71" t="s">
        <v>182</v>
      </c>
      <c r="B109" s="71" t="s">
        <v>101</v>
      </c>
      <c r="C109" s="71">
        <v>3491</v>
      </c>
      <c r="D109" s="67">
        <f>C109/SUM($C$2:$C$256)</f>
        <v>5.5734899210994355E-3</v>
      </c>
      <c r="E109" s="73">
        <f>town_population[[#This Row],[Pop Share of State]]/(INDEX(regional_population[Pop Share of State],MATCH(town_population[[#This Row],[Regional Planning Commission]],regional_population[Regional Planning Commission],0)))</f>
        <v>0.14052248118182184</v>
      </c>
    </row>
    <row r="110" spans="1:5" ht="15.75" x14ac:dyDescent="0.25">
      <c r="A110" s="71" t="s">
        <v>275</v>
      </c>
      <c r="B110" s="71" t="s">
        <v>107</v>
      </c>
      <c r="C110" s="71">
        <v>896</v>
      </c>
      <c r="D110" s="67">
        <f>C110/SUM($C$2:$C$256)</f>
        <v>1.4304918273575177E-3</v>
      </c>
      <c r="E110" s="73">
        <f>town_population[[#This Row],[Pop Share of State]]/(INDEX(regional_population[Pop Share of State],MATCH(town_population[[#This Row],[Regional Planning Commission]],regional_population[Regional Planning Commission],0)))</f>
        <v>1.4872109814596579E-2</v>
      </c>
    </row>
    <row r="111" spans="1:5" ht="15.75" x14ac:dyDescent="0.25">
      <c r="A111" s="71" t="s">
        <v>213</v>
      </c>
      <c r="B111" s="71" t="s">
        <v>103</v>
      </c>
      <c r="C111" s="71">
        <v>435</v>
      </c>
      <c r="D111" s="67">
        <f>C111/SUM($C$2:$C$256)</f>
        <v>6.944910099336162E-4</v>
      </c>
      <c r="E111" s="73">
        <f>town_population[[#This Row],[Pop Share of State]]/(INDEX(regional_population[Pop Share of State],MATCH(town_population[[#This Row],[Regional Planning Commission]],regional_population[Regional Planning Commission],0)))</f>
        <v>6.744186046511628E-3</v>
      </c>
    </row>
    <row r="112" spans="1:5" ht="15.75" x14ac:dyDescent="0.25">
      <c r="A112" s="71" t="s">
        <v>127</v>
      </c>
      <c r="B112" s="71" t="s">
        <v>95</v>
      </c>
      <c r="C112" s="71">
        <v>132</v>
      </c>
      <c r="D112" s="67">
        <f>C112/SUM($C$2:$C$256)</f>
        <v>2.1074209956606287E-4</v>
      </c>
      <c r="E112" s="73">
        <f>town_population[[#This Row],[Pop Share of State]]/(INDEX(regional_population[Pop Share of State],MATCH(town_population[[#This Row],[Regional Planning Commission]],regional_population[Regional Planning Commission],0)))</f>
        <v>3.7488284910965324E-3</v>
      </c>
    </row>
    <row r="113" spans="1:5" ht="15.75" x14ac:dyDescent="0.25">
      <c r="A113" s="71" t="s">
        <v>104</v>
      </c>
      <c r="B113" s="71" t="s">
        <v>93</v>
      </c>
      <c r="C113" s="71">
        <v>1226</v>
      </c>
      <c r="D113" s="67">
        <f>C113/SUM($C$2:$C$256)</f>
        <v>1.9573470762726747E-3</v>
      </c>
      <c r="E113" s="73">
        <f>town_population[[#This Row],[Pop Share of State]]/(INDEX(regional_population[Pop Share of State],MATCH(town_population[[#This Row],[Regional Planning Commission]],regional_population[Regional Planning Commission],0)))</f>
        <v>3.3886124930901054E-2</v>
      </c>
    </row>
    <row r="114" spans="1:5" ht="15.75" x14ac:dyDescent="0.25">
      <c r="A114" s="71" t="s">
        <v>364</v>
      </c>
      <c r="B114" s="71" t="s">
        <v>103</v>
      </c>
      <c r="C114" s="71">
        <v>134</v>
      </c>
      <c r="D114" s="67">
        <f>C114/SUM($C$2:$C$256)</f>
        <v>2.1393516168070016E-4</v>
      </c>
      <c r="E114" s="73">
        <f>town_population[[#This Row],[Pop Share of State]]/(INDEX(regional_population[Pop Share of State],MATCH(town_population[[#This Row],[Regional Planning Commission]],regional_population[Regional Planning Commission],0)))</f>
        <v>2.0775193798449614E-3</v>
      </c>
    </row>
    <row r="115" spans="1:5" ht="15.75" x14ac:dyDescent="0.25">
      <c r="A115" s="71" t="s">
        <v>365</v>
      </c>
      <c r="B115" s="71" t="s">
        <v>103</v>
      </c>
      <c r="C115" s="71">
        <v>0</v>
      </c>
      <c r="D115" s="67">
        <f>C115/SUM($C$2:$C$256)</f>
        <v>0</v>
      </c>
      <c r="E115" s="73">
        <f>town_population[[#This Row],[Pop Share of State]]/(INDEX(regional_population[Pop Share of State],MATCH(town_population[[#This Row],[Regional Planning Commission]],regional_population[Regional Planning Commission],0)))</f>
        <v>0</v>
      </c>
    </row>
    <row r="116" spans="1:5" ht="15.75" x14ac:dyDescent="0.25">
      <c r="A116" s="71" t="s">
        <v>106</v>
      </c>
      <c r="B116" s="71" t="s">
        <v>93</v>
      </c>
      <c r="C116" s="71">
        <v>1221</v>
      </c>
      <c r="D116" s="67">
        <f>C116/SUM($C$2:$C$256)</f>
        <v>1.9493644209860814E-3</v>
      </c>
      <c r="E116" s="73">
        <f>town_population[[#This Row],[Pop Share of State]]/(INDEX(regional_population[Pop Share of State],MATCH(town_population[[#This Row],[Regional Planning Commission]],regional_population[Regional Planning Commission],0)))</f>
        <v>3.3747927031509126E-2</v>
      </c>
    </row>
    <row r="117" spans="1:5" ht="15.75" x14ac:dyDescent="0.25">
      <c r="A117" s="71" t="s">
        <v>332</v>
      </c>
      <c r="B117" s="71" t="s">
        <v>113</v>
      </c>
      <c r="C117" s="71">
        <v>1596</v>
      </c>
      <c r="D117" s="67">
        <f>C117/SUM($C$2:$C$256)</f>
        <v>2.5480635674805783E-3</v>
      </c>
      <c r="E117" s="73">
        <f>town_population[[#This Row],[Pop Share of State]]/(INDEX(regional_population[Pop Share of State],MATCH(town_population[[#This Row],[Regional Planning Commission]],regional_population[Regional Planning Commission],0)))</f>
        <v>3.4563409563409565E-2</v>
      </c>
    </row>
    <row r="118" spans="1:5" ht="15.75" x14ac:dyDescent="0.25">
      <c r="A118" s="71" t="s">
        <v>214</v>
      </c>
      <c r="B118" s="71" t="s">
        <v>103</v>
      </c>
      <c r="C118" s="71">
        <v>810</v>
      </c>
      <c r="D118" s="67">
        <f>C118/SUM($C$2:$C$256)</f>
        <v>1.2931901564281129E-3</v>
      </c>
      <c r="E118" s="73">
        <f>town_population[[#This Row],[Pop Share of State]]/(INDEX(regional_population[Pop Share of State],MATCH(town_population[[#This Row],[Regional Planning Commission]],regional_population[Regional Planning Commission],0)))</f>
        <v>1.2558139534883722E-2</v>
      </c>
    </row>
    <row r="119" spans="1:5" ht="15.75" x14ac:dyDescent="0.25">
      <c r="A119" s="71" t="s">
        <v>287</v>
      </c>
      <c r="B119" s="71" t="s">
        <v>109</v>
      </c>
      <c r="C119" s="71">
        <v>2131</v>
      </c>
      <c r="D119" s="67">
        <f>C119/SUM($C$2:$C$256)</f>
        <v>3.4022076831460601E-3</v>
      </c>
      <c r="E119" s="73">
        <f>town_population[[#This Row],[Pop Share of State]]/(INDEX(regional_population[Pop Share of State],MATCH(town_population[[#This Row],[Regional Planning Commission]],regional_population[Regional Planning Commission],0)))</f>
        <v>8.539028690495272E-2</v>
      </c>
    </row>
    <row r="120" spans="1:5" ht="15.75" x14ac:dyDescent="0.25">
      <c r="A120" s="71" t="s">
        <v>215</v>
      </c>
      <c r="B120" s="71" t="s">
        <v>103</v>
      </c>
      <c r="C120" s="71">
        <v>1331</v>
      </c>
      <c r="D120" s="67">
        <f>C120/SUM($C$2:$C$256)</f>
        <v>2.1249828372911336E-3</v>
      </c>
      <c r="E120" s="73">
        <f>town_population[[#This Row],[Pop Share of State]]/(INDEX(regional_population[Pop Share of State],MATCH(town_population[[#This Row],[Regional Planning Commission]],regional_population[Regional Planning Commission],0)))</f>
        <v>2.0635658914728683E-2</v>
      </c>
    </row>
    <row r="121" spans="1:5" ht="15.75" x14ac:dyDescent="0.25">
      <c r="A121" s="71" t="s">
        <v>216</v>
      </c>
      <c r="B121" s="71" t="s">
        <v>103</v>
      </c>
      <c r="C121" s="71">
        <v>5966</v>
      </c>
      <c r="D121" s="67">
        <f>C121/SUM($C$2:$C$256)</f>
        <v>9.5249042879631141E-3</v>
      </c>
      <c r="E121" s="73">
        <f>town_population[[#This Row],[Pop Share of State]]/(INDEX(regional_population[Pop Share of State],MATCH(town_population[[#This Row],[Regional Planning Commission]],regional_population[Regional Planning Commission],0)))</f>
        <v>9.2496124031007765E-2</v>
      </c>
    </row>
    <row r="122" spans="1:5" ht="15.75" x14ac:dyDescent="0.25">
      <c r="A122" s="71" t="s">
        <v>217</v>
      </c>
      <c r="B122" s="71" t="s">
        <v>103</v>
      </c>
      <c r="C122" s="71">
        <v>217</v>
      </c>
      <c r="D122" s="67">
        <f>C122/SUM($C$2:$C$256)</f>
        <v>3.4644723943814878E-4</v>
      </c>
      <c r="E122" s="73">
        <f>town_population[[#This Row],[Pop Share of State]]/(INDEX(regional_population[Pop Share of State],MATCH(town_population[[#This Row],[Regional Planning Commission]],regional_population[Regional Planning Commission],0)))</f>
        <v>3.3643410852713181E-3</v>
      </c>
    </row>
    <row r="123" spans="1:5" ht="15.75" x14ac:dyDescent="0.25">
      <c r="A123" s="71" t="s">
        <v>128</v>
      </c>
      <c r="B123" s="71" t="s">
        <v>95</v>
      </c>
      <c r="C123" s="71">
        <v>4352</v>
      </c>
      <c r="D123" s="67">
        <f>C123/SUM($C$2:$C$256)</f>
        <v>6.9481031614507995E-3</v>
      </c>
      <c r="E123" s="73">
        <f>town_population[[#This Row],[Pop Share of State]]/(INDEX(regional_population[Pop Share of State],MATCH(town_population[[#This Row],[Regional Planning Commission]],regional_population[Regional Planning Commission],0)))</f>
        <v>0.12359773934281899</v>
      </c>
    </row>
    <row r="124" spans="1:5" ht="15.75" x14ac:dyDescent="0.25">
      <c r="A124" s="71" t="s">
        <v>333</v>
      </c>
      <c r="B124" s="71" t="s">
        <v>113</v>
      </c>
      <c r="C124" s="71">
        <v>1196</v>
      </c>
      <c r="D124" s="67">
        <f>C124/SUM($C$2:$C$256)</f>
        <v>1.9094511445531151E-3</v>
      </c>
      <c r="E124" s="73">
        <f>town_population[[#This Row],[Pop Share of State]]/(INDEX(regional_population[Pop Share of State],MATCH(town_population[[#This Row],[Regional Planning Commission]],regional_population[Regional Planning Commission],0)))</f>
        <v>2.5900900900900903E-2</v>
      </c>
    </row>
    <row r="125" spans="1:5" ht="15.75" x14ac:dyDescent="0.25">
      <c r="A125" s="71" t="s">
        <v>145</v>
      </c>
      <c r="B125" s="71" t="s">
        <v>97</v>
      </c>
      <c r="C125" s="71">
        <v>1724</v>
      </c>
      <c r="D125" s="67">
        <f>C125/SUM($C$2:$C$256)</f>
        <v>2.7524195428173664E-3</v>
      </c>
      <c r="E125" s="73">
        <f>town_population[[#This Row],[Pop Share of State]]/(INDEX(regional_population[Pop Share of State],MATCH(town_population[[#This Row],[Regional Planning Commission]],regional_population[Regional Planning Commission],0)))</f>
        <v>2.6586475441437274E-2</v>
      </c>
    </row>
    <row r="126" spans="1:5" ht="15.75" x14ac:dyDescent="0.25">
      <c r="A126" s="71" t="s">
        <v>265</v>
      </c>
      <c r="B126" s="71" t="s">
        <v>107</v>
      </c>
      <c r="C126" s="71">
        <v>862</v>
      </c>
      <c r="D126" s="67">
        <f>C126/SUM($C$2:$C$256)</f>
        <v>1.3762097714086832E-3</v>
      </c>
      <c r="E126" s="73">
        <f>town_population[[#This Row],[Pop Share of State]]/(INDEX(regional_population[Pop Share of State],MATCH(town_population[[#This Row],[Regional Planning Commission]],regional_population[Regional Planning Commission],0)))</f>
        <v>1.4307766361810548E-2</v>
      </c>
    </row>
    <row r="127" spans="1:5" ht="15.75" x14ac:dyDescent="0.25">
      <c r="A127" s="71" t="s">
        <v>108</v>
      </c>
      <c r="B127" s="71" t="s">
        <v>93</v>
      </c>
      <c r="C127" s="71">
        <v>8505</v>
      </c>
      <c r="D127" s="67">
        <f>C127/SUM($C$2:$C$256)</f>
        <v>1.3578496642495186E-2</v>
      </c>
      <c r="E127" s="73">
        <f>town_population[[#This Row],[Pop Share of State]]/(INDEX(regional_population[Pop Share of State],MATCH(town_population[[#This Row],[Regional Planning Commission]],regional_population[Regional Planning Commission],0)))</f>
        <v>0.23507462686567165</v>
      </c>
    </row>
    <row r="128" spans="1:5" ht="15.75" x14ac:dyDescent="0.25">
      <c r="A128" s="71" t="s">
        <v>146</v>
      </c>
      <c r="B128" s="71" t="s">
        <v>97</v>
      </c>
      <c r="C128" s="71">
        <v>1899</v>
      </c>
      <c r="D128" s="67">
        <f>C128/SUM($C$2:$C$256)</f>
        <v>3.0318124778481318E-3</v>
      </c>
      <c r="E128" s="73">
        <f>town_population[[#This Row],[Pop Share of State]]/(INDEX(regional_population[Pop Share of State],MATCH(town_population[[#This Row],[Regional Planning Commission]],regional_population[Regional Planning Commission],0)))</f>
        <v>2.92852185981957E-2</v>
      </c>
    </row>
    <row r="129" spans="1:5" ht="15.75" x14ac:dyDescent="0.25">
      <c r="A129" s="71" t="s">
        <v>266</v>
      </c>
      <c r="B129" s="71" t="s">
        <v>107</v>
      </c>
      <c r="C129" s="71">
        <v>731</v>
      </c>
      <c r="D129" s="67">
        <f>C129/SUM($C$2:$C$256)</f>
        <v>1.167064202899939E-3</v>
      </c>
      <c r="E129" s="73">
        <f>town_population[[#This Row],[Pop Share of State]]/(INDEX(regional_population[Pop Share of State],MATCH(town_population[[#This Row],[Regional Planning Commission]],regional_population[Regional Planning Commission],0)))</f>
        <v>1.2133384234899664E-2</v>
      </c>
    </row>
    <row r="130" spans="1:5" ht="15.75" x14ac:dyDescent="0.25">
      <c r="A130" s="71" t="s">
        <v>168</v>
      </c>
      <c r="B130" s="71" t="s">
        <v>99</v>
      </c>
      <c r="C130" s="71">
        <v>10533</v>
      </c>
      <c r="D130" s="67">
        <f>C130/SUM($C$2:$C$256)</f>
        <v>1.6816261626737425E-2</v>
      </c>
      <c r="E130" s="73">
        <f>town_population[[#This Row],[Pop Share of State]]/(INDEX(regional_population[Pop Share of State],MATCH(town_population[[#This Row],[Regional Planning Commission]],regional_population[Regional Planning Commission],0)))</f>
        <v>6.6376365904994752E-2</v>
      </c>
    </row>
    <row r="131" spans="1:5" ht="15.75" x14ac:dyDescent="0.25">
      <c r="A131" s="71" t="s">
        <v>110</v>
      </c>
      <c r="B131" s="71" t="s">
        <v>93</v>
      </c>
      <c r="C131" s="71">
        <v>2043</v>
      </c>
      <c r="D131" s="67">
        <f>C131/SUM($C$2:$C$256)</f>
        <v>3.2617129501020183E-3</v>
      </c>
      <c r="E131" s="73">
        <f>town_population[[#This Row],[Pop Share of State]]/(INDEX(regional_population[Pop Share of State],MATCH(town_population[[#This Row],[Regional Planning Commission]],regional_population[Regional Planning Commission],0)))</f>
        <v>5.6467661691542291E-2</v>
      </c>
    </row>
    <row r="132" spans="1:5" ht="15.75" x14ac:dyDescent="0.25">
      <c r="A132" s="71" t="s">
        <v>248</v>
      </c>
      <c r="B132" s="71" t="s">
        <v>105</v>
      </c>
      <c r="C132" s="71">
        <v>1084</v>
      </c>
      <c r="D132" s="67">
        <f>C132/SUM($C$2:$C$256)</f>
        <v>1.7306396661334253E-3</v>
      </c>
      <c r="E132" s="73">
        <f>town_population[[#This Row],[Pop Share of State]]/(INDEX(regional_population[Pop Share of State],MATCH(town_population[[#This Row],[Regional Planning Commission]],regional_population[Regional Planning Commission],0)))</f>
        <v>1.9635902545059324E-2</v>
      </c>
    </row>
    <row r="133" spans="1:5" ht="15.75" x14ac:dyDescent="0.25">
      <c r="A133" s="71" t="s">
        <v>147</v>
      </c>
      <c r="B133" s="71" t="s">
        <v>97</v>
      </c>
      <c r="C133" s="71">
        <v>7760</v>
      </c>
      <c r="D133" s="67">
        <f>C133/SUM($C$2:$C$256)</f>
        <v>1.2389081004792786E-2</v>
      </c>
      <c r="E133" s="73">
        <f>town_population[[#This Row],[Pop Share of State]]/(INDEX(regional_population[Pop Share of State],MATCH(town_population[[#This Row],[Regional Planning Commission]],regional_population[Regional Planning Commission],0)))</f>
        <v>0.1196699822654021</v>
      </c>
    </row>
    <row r="134" spans="1:5" ht="15.75" x14ac:dyDescent="0.25">
      <c r="A134" s="71" t="s">
        <v>148</v>
      </c>
      <c r="B134" s="71" t="s">
        <v>97</v>
      </c>
      <c r="C134" s="71">
        <v>1653</v>
      </c>
      <c r="D134" s="67">
        <f>C134/SUM($C$2:$C$256)</f>
        <v>2.6390658377477417E-3</v>
      </c>
      <c r="E134" s="73">
        <f>town_population[[#This Row],[Pop Share of State]]/(INDEX(regional_population[Pop Share of State],MATCH(town_population[[#This Row],[Regional Planning Commission]],regional_population[Regional Planning Commission],0)))</f>
        <v>2.5491556789266713E-2</v>
      </c>
    </row>
    <row r="135" spans="1:5" ht="15.75" x14ac:dyDescent="0.25">
      <c r="A135" s="71" t="s">
        <v>218</v>
      </c>
      <c r="B135" s="71" t="s">
        <v>103</v>
      </c>
      <c r="C135" s="71">
        <v>721</v>
      </c>
      <c r="D135" s="67">
        <f>C135/SUM($C$2:$C$256)</f>
        <v>1.1510988923267523E-3</v>
      </c>
      <c r="E135" s="73">
        <f>town_population[[#This Row],[Pop Share of State]]/(INDEX(regional_population[Pop Share of State],MATCH(town_population[[#This Row],[Regional Planning Commission]],regional_population[Regional Planning Commission],0)))</f>
        <v>1.1178294573643411E-2</v>
      </c>
    </row>
    <row r="136" spans="1:5" ht="15.75" x14ac:dyDescent="0.25">
      <c r="A136" s="71" t="s">
        <v>183</v>
      </c>
      <c r="B136" s="71" t="s">
        <v>101</v>
      </c>
      <c r="C136" s="71">
        <v>5314</v>
      </c>
      <c r="D136" s="67">
        <f>C136/SUM($C$2:$C$256)</f>
        <v>8.4839660385913479E-3</v>
      </c>
      <c r="E136" s="73">
        <f>town_population[[#This Row],[Pop Share of State]]/(INDEX(regional_population[Pop Share of State],MATCH(town_population[[#This Row],[Regional Planning Commission]],regional_population[Regional Planning Commission],0)))</f>
        <v>0.21390331280441166</v>
      </c>
    </row>
    <row r="137" spans="1:5" ht="15.75" x14ac:dyDescent="0.25">
      <c r="A137" s="71" t="s">
        <v>267</v>
      </c>
      <c r="B137" s="71" t="s">
        <v>107</v>
      </c>
      <c r="C137" s="71">
        <v>1258</v>
      </c>
      <c r="D137" s="67">
        <f>C137/SUM($C$2:$C$256)</f>
        <v>2.0084360701068719E-3</v>
      </c>
      <c r="E137" s="73">
        <f>town_population[[#This Row],[Pop Share of State]]/(INDEX(regional_population[Pop Share of State],MATCH(town_population[[#This Row],[Regional Planning Commission]],regional_population[Regional Planning Commission],0)))</f>
        <v>2.0880707753083143E-2</v>
      </c>
    </row>
    <row r="138" spans="1:5" ht="15.75" x14ac:dyDescent="0.25">
      <c r="A138" s="71" t="s">
        <v>268</v>
      </c>
      <c r="B138" s="71" t="s">
        <v>107</v>
      </c>
      <c r="C138" s="71">
        <v>271</v>
      </c>
      <c r="D138" s="67">
        <f>C138/SUM($C$2:$C$256)</f>
        <v>4.3265991653335632E-4</v>
      </c>
      <c r="E138" s="73">
        <f>town_population[[#This Row],[Pop Share of State]]/(INDEX(regional_population[Pop Share of State],MATCH(town_population[[#This Row],[Regional Planning Commission]],regional_population[Regional Planning Commission],0)))</f>
        <v>4.4981492854415991E-3</v>
      </c>
    </row>
    <row r="139" spans="1:5" ht="15.75" x14ac:dyDescent="0.25">
      <c r="A139" s="71" t="s">
        <v>112</v>
      </c>
      <c r="B139" s="71" t="s">
        <v>93</v>
      </c>
      <c r="C139" s="71">
        <v>1648</v>
      </c>
      <c r="D139" s="67">
        <f>C139/SUM($C$2:$C$256)</f>
        <v>2.6310831824611484E-3</v>
      </c>
      <c r="E139" s="73">
        <f>town_population[[#This Row],[Pop Share of State]]/(INDEX(regional_population[Pop Share of State],MATCH(town_population[[#This Row],[Regional Planning Commission]],regional_population[Regional Planning Commission],0)))</f>
        <v>4.5550027639579882E-2</v>
      </c>
    </row>
    <row r="140" spans="1:5" ht="15.75" x14ac:dyDescent="0.25">
      <c r="A140" s="71" t="s">
        <v>219</v>
      </c>
      <c r="B140" s="71" t="s">
        <v>103</v>
      </c>
      <c r="C140" s="71">
        <v>534</v>
      </c>
      <c r="D140" s="67">
        <f>C140/SUM($C$2:$C$256)</f>
        <v>8.5254758460816336E-4</v>
      </c>
      <c r="E140" s="73">
        <f>town_population[[#This Row],[Pop Share of State]]/(INDEX(regional_population[Pop Share of State],MATCH(town_population[[#This Row],[Regional Planning Commission]],regional_population[Regional Planning Commission],0)))</f>
        <v>8.2790697674418618E-3</v>
      </c>
    </row>
    <row r="141" spans="1:5" ht="15.75" x14ac:dyDescent="0.25">
      <c r="A141" s="71" t="s">
        <v>306</v>
      </c>
      <c r="B141" s="71" t="s">
        <v>111</v>
      </c>
      <c r="C141" s="71">
        <v>2155</v>
      </c>
      <c r="D141" s="67">
        <f>C141/SUM($C$2:$C$256)</f>
        <v>3.4405244285217081E-3</v>
      </c>
      <c r="E141" s="73">
        <f>town_population[[#This Row],[Pop Share of State]]/(INDEX(regional_population[Pop Share of State],MATCH(town_population[[#This Row],[Regional Planning Commission]],regional_population[Regional Planning Commission],0)))</f>
        <v>3.8822533282891057E-2</v>
      </c>
    </row>
    <row r="142" spans="1:5" ht="15.75" x14ac:dyDescent="0.25">
      <c r="A142" s="71" t="s">
        <v>334</v>
      </c>
      <c r="B142" s="71" t="s">
        <v>113</v>
      </c>
      <c r="C142" s="71">
        <v>1819</v>
      </c>
      <c r="D142" s="67">
        <f>C142/SUM($C$2:$C$256)</f>
        <v>2.9040899932626391E-3</v>
      </c>
      <c r="E142" s="73">
        <f>town_population[[#This Row],[Pop Share of State]]/(INDEX(regional_population[Pop Share of State],MATCH(town_population[[#This Row],[Regional Planning Commission]],regional_population[Regional Planning Commission],0)))</f>
        <v>3.9392758142758146E-2</v>
      </c>
    </row>
    <row r="143" spans="1:5" ht="15.75" x14ac:dyDescent="0.25">
      <c r="A143" s="71" t="s">
        <v>221</v>
      </c>
      <c r="B143" s="71" t="s">
        <v>103</v>
      </c>
      <c r="C143" s="71">
        <v>1764</v>
      </c>
      <c r="D143" s="67">
        <f>C143/SUM($C$2:$C$256)</f>
        <v>2.8162807851101128E-3</v>
      </c>
      <c r="E143" s="73">
        <f>town_population[[#This Row],[Pop Share of State]]/(INDEX(regional_population[Pop Share of State],MATCH(town_population[[#This Row],[Regional Planning Commission]],regional_population[Regional Planning Commission],0)))</f>
        <v>2.734883720930233E-2</v>
      </c>
    </row>
    <row r="144" spans="1:5" ht="15.75" x14ac:dyDescent="0.25">
      <c r="A144" s="71" t="s">
        <v>220</v>
      </c>
      <c r="B144" s="71" t="s">
        <v>103</v>
      </c>
      <c r="C144" s="71">
        <v>4535</v>
      </c>
      <c r="D144" s="67">
        <f>C144/SUM($C$2:$C$256)</f>
        <v>7.240268344940114E-3</v>
      </c>
      <c r="E144" s="73">
        <f>town_population[[#This Row],[Pop Share of State]]/(INDEX(regional_population[Pop Share of State],MATCH(town_population[[#This Row],[Regional Planning Commission]],regional_population[Regional Planning Commission],0)))</f>
        <v>7.0310077519379857E-2</v>
      </c>
    </row>
    <row r="145" spans="1:5" ht="15.75" x14ac:dyDescent="0.25">
      <c r="A145" s="71" t="s">
        <v>249</v>
      </c>
      <c r="B145" s="71" t="s">
        <v>105</v>
      </c>
      <c r="C145" s="71">
        <v>939</v>
      </c>
      <c r="D145" s="67">
        <f>C145/SUM($C$2:$C$256)</f>
        <v>1.4991426628222198E-3</v>
      </c>
      <c r="E145" s="73">
        <f>town_population[[#This Row],[Pop Share of State]]/(INDEX(regional_population[Pop Share of State],MATCH(town_population[[#This Row],[Regional Planning Commission]],regional_population[Regional Planning Commission],0)))</f>
        <v>1.7009328865139027E-2</v>
      </c>
    </row>
    <row r="146" spans="1:5" ht="15.75" x14ac:dyDescent="0.25">
      <c r="A146" s="71" t="s">
        <v>149</v>
      </c>
      <c r="B146" s="71" t="s">
        <v>97</v>
      </c>
      <c r="C146" s="71">
        <v>6175</v>
      </c>
      <c r="D146" s="67">
        <f>C146/SUM($C$2:$C$256)</f>
        <v>9.8585792789427137E-3</v>
      </c>
      <c r="E146" s="73">
        <f>town_population[[#This Row],[Pop Share of State]]/(INDEX(regional_population[Pop Share of State],MATCH(town_population[[#This Row],[Regional Planning Commission]],regional_population[Regional Planning Commission],0)))</f>
        <v>9.5227079959904384E-2</v>
      </c>
    </row>
    <row r="147" spans="1:5" ht="15.75" x14ac:dyDescent="0.25">
      <c r="A147" s="71" t="s">
        <v>222</v>
      </c>
      <c r="B147" s="71" t="s">
        <v>103</v>
      </c>
      <c r="C147" s="71">
        <v>161</v>
      </c>
      <c r="D147" s="67">
        <f>C147/SUM($C$2:$C$256)</f>
        <v>2.5704150022830394E-4</v>
      </c>
      <c r="E147" s="73">
        <f>town_population[[#This Row],[Pop Share of State]]/(INDEX(regional_population[Pop Share of State],MATCH(town_population[[#This Row],[Regional Planning Commission]],regional_population[Regional Planning Commission],0)))</f>
        <v>2.4961240310077521E-3</v>
      </c>
    </row>
    <row r="148" spans="1:5" ht="15.75" x14ac:dyDescent="0.25">
      <c r="A148" s="71" t="s">
        <v>307</v>
      </c>
      <c r="B148" s="71" t="s">
        <v>111</v>
      </c>
      <c r="C148" s="71">
        <v>3400</v>
      </c>
      <c r="D148" s="67">
        <f>C148/SUM($C$2:$C$256)</f>
        <v>5.428205594883437E-3</v>
      </c>
      <c r="E148" s="73">
        <f>town_population[[#This Row],[Pop Share of State]]/(INDEX(regional_population[Pop Share of State],MATCH(town_population[[#This Row],[Regional Planning Commission]],regional_population[Regional Planning Commission],0)))</f>
        <v>6.1251328613378002E-2</v>
      </c>
    </row>
    <row r="149" spans="1:5" ht="15.75" x14ac:dyDescent="0.25">
      <c r="A149" s="71" t="s">
        <v>150</v>
      </c>
      <c r="B149" s="71" t="s">
        <v>97</v>
      </c>
      <c r="C149" s="71">
        <v>1048</v>
      </c>
      <c r="D149" s="67">
        <f>C149/SUM($C$2:$C$256)</f>
        <v>1.6731645480699536E-3</v>
      </c>
      <c r="E149" s="73">
        <f>town_population[[#This Row],[Pop Share of State]]/(INDEX(regional_population[Pop Share of State],MATCH(town_population[[#This Row],[Regional Planning Commission]],regional_population[Regional Planning Commission],0)))</f>
        <v>1.6161616161616162E-2</v>
      </c>
    </row>
    <row r="150" spans="1:5" ht="15.75" x14ac:dyDescent="0.25">
      <c r="A150" s="71" t="s">
        <v>114</v>
      </c>
      <c r="B150" s="71" t="s">
        <v>93</v>
      </c>
      <c r="C150" s="71">
        <v>1242</v>
      </c>
      <c r="D150" s="67">
        <f>C150/SUM($C$2:$C$256)</f>
        <v>1.9828915731897731E-3</v>
      </c>
      <c r="E150" s="73">
        <f>town_population[[#This Row],[Pop Share of State]]/(INDEX(regional_population[Pop Share of State],MATCH(town_population[[#This Row],[Regional Planning Commission]],regional_population[Regional Planning Commission],0)))</f>
        <v>3.4328358208955224E-2</v>
      </c>
    </row>
    <row r="151" spans="1:5" ht="15.75" x14ac:dyDescent="0.25">
      <c r="A151" s="71" t="s">
        <v>115</v>
      </c>
      <c r="B151" s="71" t="s">
        <v>93</v>
      </c>
      <c r="C151" s="71">
        <v>740</v>
      </c>
      <c r="D151" s="67">
        <f>C151/SUM($C$2:$C$256)</f>
        <v>1.181432982415807E-3</v>
      </c>
      <c r="E151" s="73">
        <f>town_population[[#This Row],[Pop Share of State]]/(INDEX(regional_population[Pop Share of State],MATCH(town_population[[#This Row],[Regional Planning Commission]],regional_population[Regional Planning Commission],0)))</f>
        <v>2.0453289110005532E-2</v>
      </c>
    </row>
    <row r="152" spans="1:5" ht="15.75" x14ac:dyDescent="0.25">
      <c r="A152" s="71" t="s">
        <v>269</v>
      </c>
      <c r="B152" s="71" t="s">
        <v>107</v>
      </c>
      <c r="C152" s="71">
        <v>1440</v>
      </c>
      <c r="D152" s="67">
        <f>C152/SUM($C$2:$C$256)</f>
        <v>2.2990047225388676E-3</v>
      </c>
      <c r="E152" s="73">
        <f>town_population[[#This Row],[Pop Share of State]]/(INDEX(regional_population[Pop Share of State],MATCH(town_population[[#This Row],[Regional Planning Commission]],regional_population[Regional Planning Commission],0)))</f>
        <v>2.3901605059173072E-2</v>
      </c>
    </row>
    <row r="153" spans="1:5" ht="15.75" x14ac:dyDescent="0.25">
      <c r="A153" s="71" t="s">
        <v>223</v>
      </c>
      <c r="B153" s="71" t="s">
        <v>103</v>
      </c>
      <c r="C153" s="71">
        <v>695</v>
      </c>
      <c r="D153" s="67">
        <f>C153/SUM($C$2:$C$256)</f>
        <v>1.1095890848364673E-3</v>
      </c>
      <c r="E153" s="73">
        <f>town_population[[#This Row],[Pop Share of State]]/(INDEX(regional_population[Pop Share of State],MATCH(town_population[[#This Row],[Regional Planning Commission]],regional_population[Regional Planning Commission],0)))</f>
        <v>1.0775193798449613E-2</v>
      </c>
    </row>
    <row r="154" spans="1:5" ht="15.75" x14ac:dyDescent="0.25">
      <c r="A154" s="71" t="s">
        <v>129</v>
      </c>
      <c r="B154" s="71" t="s">
        <v>95</v>
      </c>
      <c r="C154" s="71">
        <v>348</v>
      </c>
      <c r="D154" s="67">
        <f>C154/SUM($C$2:$C$256)</f>
        <v>5.5559280794689303E-4</v>
      </c>
      <c r="E154" s="73">
        <f>town_population[[#This Row],[Pop Share of State]]/(INDEX(regional_population[Pop Share of State],MATCH(town_population[[#This Row],[Regional Planning Commission]],regional_population[Regional Planning Commission],0)))</f>
        <v>9.8832751128908585E-3</v>
      </c>
    </row>
    <row r="155" spans="1:5" ht="15.75" x14ac:dyDescent="0.25">
      <c r="A155" s="71" t="s">
        <v>308</v>
      </c>
      <c r="B155" s="71" t="s">
        <v>111</v>
      </c>
      <c r="C155" s="71">
        <v>617</v>
      </c>
      <c r="D155" s="67">
        <f>C155/SUM($C$2:$C$256)</f>
        <v>9.8505966236561195E-4</v>
      </c>
      <c r="E155" s="73">
        <f>town_population[[#This Row],[Pop Share of State]]/(INDEX(regional_population[Pop Share of State],MATCH(town_population[[#This Row],[Regional Planning Commission]],regional_population[Regional Planning Commission],0)))</f>
        <v>1.1115314633663007E-2</v>
      </c>
    </row>
    <row r="156" spans="1:5" ht="15.75" x14ac:dyDescent="0.25">
      <c r="A156" s="71" t="s">
        <v>270</v>
      </c>
      <c r="B156" s="71" t="s">
        <v>107</v>
      </c>
      <c r="C156" s="71">
        <v>2940</v>
      </c>
      <c r="D156" s="67">
        <f>C156/SUM($C$2:$C$256)</f>
        <v>4.6938013085168545E-3</v>
      </c>
      <c r="E156" s="73">
        <f>town_population[[#This Row],[Pop Share of State]]/(INDEX(regional_population[Pop Share of State],MATCH(town_population[[#This Row],[Regional Planning Commission]],regional_population[Regional Planning Commission],0)))</f>
        <v>4.8799110329145023E-2</v>
      </c>
    </row>
    <row r="157" spans="1:5" ht="15.75" x14ac:dyDescent="0.25">
      <c r="A157" s="71" t="s">
        <v>151</v>
      </c>
      <c r="B157" s="71" t="s">
        <v>97</v>
      </c>
      <c r="C157" s="71">
        <v>1304</v>
      </c>
      <c r="D157" s="67">
        <f>C157/SUM($C$2:$C$256)</f>
        <v>2.0818764987435298E-3</v>
      </c>
      <c r="E157" s="73">
        <f>town_population[[#This Row],[Pop Share of State]]/(INDEX(regional_population[Pop Share of State],MATCH(town_population[[#This Row],[Regional Planning Commission]],regional_population[Regional Planning Commission],0)))</f>
        <v>2.0109491865217054E-2</v>
      </c>
    </row>
    <row r="158" spans="1:5" ht="15.75" x14ac:dyDescent="0.25">
      <c r="A158" s="71" t="s">
        <v>309</v>
      </c>
      <c r="B158" s="71" t="s">
        <v>111</v>
      </c>
      <c r="C158" s="71">
        <v>471</v>
      </c>
      <c r="D158" s="67">
        <f>C158/SUM($C$2:$C$256)</f>
        <v>7.5196612799708793E-4</v>
      </c>
      <c r="E158" s="73">
        <f>town_population[[#This Row],[Pop Share of State]]/(INDEX(regional_population[Pop Share of State],MATCH(town_population[[#This Row],[Regional Planning Commission]],regional_population[Regional Planning Commission],0)))</f>
        <v>8.485110522617953E-3</v>
      </c>
    </row>
    <row r="159" spans="1:5" ht="15.75" x14ac:dyDescent="0.25">
      <c r="A159" s="71" t="s">
        <v>310</v>
      </c>
      <c r="B159" s="71" t="s">
        <v>111</v>
      </c>
      <c r="C159" s="71">
        <v>963</v>
      </c>
      <c r="D159" s="67">
        <f>C159/SUM($C$2:$C$256)</f>
        <v>1.5374594081978676E-3</v>
      </c>
      <c r="E159" s="73">
        <f>town_population[[#This Row],[Pop Share of State]]/(INDEX(regional_population[Pop Share of State],MATCH(town_population[[#This Row],[Regional Planning Commission]],regional_population[Regional Planning Commission],0)))</f>
        <v>1.7348538074906768E-2</v>
      </c>
    </row>
    <row r="160" spans="1:5" ht="15.75" x14ac:dyDescent="0.25">
      <c r="A160" s="71" t="s">
        <v>271</v>
      </c>
      <c r="B160" s="71" t="s">
        <v>107</v>
      </c>
      <c r="C160" s="71">
        <v>3382</v>
      </c>
      <c r="D160" s="67">
        <f>C160/SUM($C$2:$C$256)</f>
        <v>5.3994680358517011E-3</v>
      </c>
      <c r="E160" s="73">
        <f>town_population[[#This Row],[Pop Share of State]]/(INDEX(regional_population[Pop Share of State],MATCH(town_population[[#This Row],[Regional Planning Commission]],regional_population[Regional Planning Commission],0)))</f>
        <v>5.6135575215363422E-2</v>
      </c>
    </row>
    <row r="161" spans="1:5" ht="15.75" x14ac:dyDescent="0.25">
      <c r="A161" s="71" t="s">
        <v>130</v>
      </c>
      <c r="B161" s="71" t="s">
        <v>95</v>
      </c>
      <c r="C161" s="71">
        <v>3495</v>
      </c>
      <c r="D161" s="67">
        <f>C161/SUM($C$2:$C$256)</f>
        <v>5.5798760453287096E-3</v>
      </c>
      <c r="E161" s="73">
        <f>town_population[[#This Row],[Pop Share of State]]/(INDEX(regional_population[Pop Share of State],MATCH(town_population[[#This Row],[Regional Planning Commission]],regional_population[Regional Planning Commission],0)))</f>
        <v>9.9258754366533183E-2</v>
      </c>
    </row>
    <row r="162" spans="1:5" ht="15.75" x14ac:dyDescent="0.25">
      <c r="A162" s="71" t="s">
        <v>272</v>
      </c>
      <c r="B162" s="71" t="s">
        <v>107</v>
      </c>
      <c r="C162" s="71">
        <v>1650</v>
      </c>
      <c r="D162" s="67">
        <f>C162/SUM($C$2:$C$256)</f>
        <v>2.6342762445757859E-3</v>
      </c>
      <c r="E162" s="73">
        <f>town_population[[#This Row],[Pop Share of State]]/(INDEX(regional_population[Pop Share of State],MATCH(town_population[[#This Row],[Regional Planning Commission]],regional_population[Regional Planning Commission],0)))</f>
        <v>2.7387255796969146E-2</v>
      </c>
    </row>
    <row r="163" spans="1:5" ht="15.75" x14ac:dyDescent="0.25">
      <c r="A163" s="71" t="s">
        <v>335</v>
      </c>
      <c r="B163" s="71" t="s">
        <v>113</v>
      </c>
      <c r="C163" s="71">
        <v>2696</v>
      </c>
      <c r="D163" s="67">
        <f>C163/SUM($C$2:$C$256)</f>
        <v>4.3042477305311024E-3</v>
      </c>
      <c r="E163" s="73">
        <f>town_population[[#This Row],[Pop Share of State]]/(INDEX(regional_population[Pop Share of State],MATCH(town_population[[#This Row],[Regional Planning Commission]],regional_population[Regional Planning Commission],0)))</f>
        <v>5.8385308385308393E-2</v>
      </c>
    </row>
    <row r="164" spans="1:5" ht="15.75" x14ac:dyDescent="0.25">
      <c r="A164" s="71" t="s">
        <v>311</v>
      </c>
      <c r="B164" s="71" t="s">
        <v>111</v>
      </c>
      <c r="C164" s="71">
        <v>4768</v>
      </c>
      <c r="D164" s="67">
        <f>C164/SUM($C$2:$C$256)</f>
        <v>7.6122600812953611E-3</v>
      </c>
      <c r="E164" s="73">
        <f>town_population[[#This Row],[Pop Share of State]]/(INDEX(regional_population[Pop Share of State],MATCH(town_population[[#This Row],[Regional Planning Commission]],regional_population[Regional Planning Commission],0)))</f>
        <v>8.5895980831937155E-2</v>
      </c>
    </row>
    <row r="165" spans="1:5" ht="15.75" x14ac:dyDescent="0.25">
      <c r="A165" s="71" t="s">
        <v>288</v>
      </c>
      <c r="B165" s="71" t="s">
        <v>109</v>
      </c>
      <c r="C165" s="71">
        <v>739</v>
      </c>
      <c r="D165" s="67">
        <f>C165/SUM($C$2:$C$256)</f>
        <v>1.1798364513584882E-3</v>
      </c>
      <c r="E165" s="73">
        <f>town_population[[#This Row],[Pop Share of State]]/(INDEX(regional_population[Pop Share of State],MATCH(town_population[[#This Row],[Regional Planning Commission]],regional_population[Regional Planning Commission],0)))</f>
        <v>2.961211732649463E-2</v>
      </c>
    </row>
    <row r="166" spans="1:5" ht="15.75" x14ac:dyDescent="0.25">
      <c r="A166" s="71" t="s">
        <v>336</v>
      </c>
      <c r="B166" s="71" t="s">
        <v>113</v>
      </c>
      <c r="C166" s="71">
        <v>777</v>
      </c>
      <c r="D166" s="67">
        <f>C166/SUM($C$2:$C$256)</f>
        <v>1.2405046315365972E-3</v>
      </c>
      <c r="E166" s="73">
        <f>town_population[[#This Row],[Pop Share of State]]/(INDEX(regional_population[Pop Share of State],MATCH(town_population[[#This Row],[Regional Planning Commission]],regional_population[Regional Planning Commission],0)))</f>
        <v>1.6826923076923076E-2</v>
      </c>
    </row>
    <row r="167" spans="1:5" ht="15.75" x14ac:dyDescent="0.25">
      <c r="A167" s="71" t="s">
        <v>250</v>
      </c>
      <c r="B167" s="71" t="s">
        <v>105</v>
      </c>
      <c r="C167" s="71">
        <v>2329</v>
      </c>
      <c r="D167" s="67">
        <f>C167/SUM($C$2:$C$256)</f>
        <v>3.7183208324951546E-3</v>
      </c>
      <c r="E167" s="73">
        <f>town_population[[#This Row],[Pop Share of State]]/(INDEX(regional_population[Pop Share of State],MATCH(town_population[[#This Row],[Regional Planning Commission]],regional_population[Regional Planning Commission],0)))</f>
        <v>4.2188207589892217E-2</v>
      </c>
    </row>
    <row r="168" spans="1:5" ht="15.75" x14ac:dyDescent="0.25">
      <c r="A168" s="71" t="s">
        <v>169</v>
      </c>
      <c r="B168" s="71" t="s">
        <v>99</v>
      </c>
      <c r="C168" s="71">
        <v>4114</v>
      </c>
      <c r="D168" s="67">
        <f>C168/SUM($C$2:$C$256)</f>
        <v>6.5681287698089591E-3</v>
      </c>
      <c r="E168" s="73">
        <f>town_population[[#This Row],[Pop Share of State]]/(INDEX(regional_population[Pop Share of State],MATCH(town_population[[#This Row],[Regional Planning Commission]],regional_population[Regional Planning Commission],0)))</f>
        <v>2.5925412449743512E-2</v>
      </c>
    </row>
    <row r="169" spans="1:5" ht="15.75" x14ac:dyDescent="0.25">
      <c r="A169" s="71" t="s">
        <v>116</v>
      </c>
      <c r="B169" s="71" t="s">
        <v>93</v>
      </c>
      <c r="C169" s="71">
        <v>650</v>
      </c>
      <c r="D169" s="67">
        <f>C169/SUM($C$2:$C$256)</f>
        <v>1.0377451872571276E-3</v>
      </c>
      <c r="E169" s="73">
        <f>town_population[[#This Row],[Pop Share of State]]/(INDEX(regional_population[Pop Share of State],MATCH(town_population[[#This Row],[Regional Planning Commission]],regional_population[Regional Planning Commission],0)))</f>
        <v>1.7965726920950803E-2</v>
      </c>
    </row>
    <row r="170" spans="1:5" ht="15.75" x14ac:dyDescent="0.25">
      <c r="A170" s="71" t="s">
        <v>312</v>
      </c>
      <c r="B170" s="71" t="s">
        <v>111</v>
      </c>
      <c r="C170" s="71">
        <v>1095</v>
      </c>
      <c r="D170" s="67">
        <f>C170/SUM($C$2:$C$256)</f>
        <v>1.7482015077639305E-3</v>
      </c>
      <c r="E170" s="73">
        <f>town_population[[#This Row],[Pop Share of State]]/(INDEX(regional_population[Pop Share of State],MATCH(town_population[[#This Row],[Regional Planning Commission]],regional_population[Regional Planning Commission],0)))</f>
        <v>1.9726530832837916E-2</v>
      </c>
    </row>
    <row r="171" spans="1:5" ht="15.75" x14ac:dyDescent="0.25">
      <c r="A171" s="71" t="s">
        <v>337</v>
      </c>
      <c r="B171" s="71" t="s">
        <v>113</v>
      </c>
      <c r="C171" s="71">
        <v>5190</v>
      </c>
      <c r="D171" s="67">
        <f>C171/SUM($C$2:$C$256)</f>
        <v>8.2859961874838343E-3</v>
      </c>
      <c r="E171" s="73">
        <f>town_population[[#This Row],[Pop Share of State]]/(INDEX(regional_population[Pop Share of State],MATCH(town_population[[#This Row],[Regional Planning Commission]],regional_population[Regional Planning Commission],0)))</f>
        <v>0.11239604989604988</v>
      </c>
    </row>
    <row r="172" spans="1:5" ht="15.75" x14ac:dyDescent="0.25">
      <c r="A172" s="71" t="s">
        <v>152</v>
      </c>
      <c r="B172" s="71" t="s">
        <v>97</v>
      </c>
      <c r="C172" s="71">
        <v>684</v>
      </c>
      <c r="D172" s="67">
        <f>C172/SUM($C$2:$C$256)</f>
        <v>1.0920272432059621E-3</v>
      </c>
      <c r="E172" s="73">
        <f>town_population[[#This Row],[Pop Share of State]]/(INDEX(regional_population[Pop Share of State],MATCH(town_population[[#This Row],[Regional Planning Commission]],regional_population[Regional Planning Commission],0)))</f>
        <v>1.054823039555864E-2</v>
      </c>
    </row>
    <row r="173" spans="1:5" ht="15.75" x14ac:dyDescent="0.25">
      <c r="A173" s="71" t="s">
        <v>313</v>
      </c>
      <c r="B173" s="71" t="s">
        <v>111</v>
      </c>
      <c r="C173" s="71">
        <v>2778</v>
      </c>
      <c r="D173" s="67">
        <f>C173/SUM($C$2:$C$256)</f>
        <v>4.4351632772312317E-3</v>
      </c>
      <c r="E173" s="73">
        <f>town_population[[#This Row],[Pop Share of State]]/(INDEX(regional_population[Pop Share of State],MATCH(town_population[[#This Row],[Regional Planning Commission]],regional_population[Regional Planning Commission],0)))</f>
        <v>5.0045938496460024E-2</v>
      </c>
    </row>
    <row r="174" spans="1:5" ht="15.75" x14ac:dyDescent="0.25">
      <c r="A174" s="71" t="s">
        <v>131</v>
      </c>
      <c r="B174" s="71" t="s">
        <v>95</v>
      </c>
      <c r="C174" s="71">
        <v>620</v>
      </c>
      <c r="D174" s="67">
        <f>C174/SUM($C$2:$C$256)</f>
        <v>9.89849255537568E-4</v>
      </c>
      <c r="E174" s="73">
        <f>town_population[[#This Row],[Pop Share of State]]/(INDEX(regional_population[Pop Share of State],MATCH(town_population[[#This Row],[Regional Planning Commission]],regional_population[Regional Planning Commission],0)))</f>
        <v>1.7608133821817046E-2</v>
      </c>
    </row>
    <row r="175" spans="1:5" ht="15.75" x14ac:dyDescent="0.25">
      <c r="A175" s="71" t="s">
        <v>274</v>
      </c>
      <c r="B175" s="71" t="s">
        <v>107</v>
      </c>
      <c r="C175" s="71">
        <v>16217</v>
      </c>
      <c r="D175" s="67">
        <f>C175/SUM($C$2:$C$256)</f>
        <v>2.5890944156536679E-2</v>
      </c>
      <c r="E175" s="73">
        <f>town_population[[#This Row],[Pop Share of State]]/(INDEX(regional_population[Pop Share of State],MATCH(town_population[[#This Row],[Regional Planning Commission]],regional_population[Regional Planning Commission],0)))</f>
        <v>0.26917522864209009</v>
      </c>
    </row>
    <row r="176" spans="1:5" ht="15.75" x14ac:dyDescent="0.25">
      <c r="A176" s="71" t="s">
        <v>273</v>
      </c>
      <c r="B176" s="71" t="s">
        <v>107</v>
      </c>
      <c r="C176" s="71">
        <v>4048</v>
      </c>
      <c r="D176" s="67">
        <f>C176/SUM($C$2:$C$256)</f>
        <v>6.4627577200259273E-3</v>
      </c>
      <c r="E176" s="73">
        <f>town_population[[#This Row],[Pop Share of State]]/(INDEX(regional_population[Pop Share of State],MATCH(town_population[[#This Row],[Regional Planning Commission]],regional_population[Regional Planning Commission],0)))</f>
        <v>6.7190067555230965E-2</v>
      </c>
    </row>
    <row r="177" spans="1:5" ht="15.75" x14ac:dyDescent="0.25">
      <c r="A177" s="71" t="s">
        <v>224</v>
      </c>
      <c r="B177" s="71" t="s">
        <v>103</v>
      </c>
      <c r="C177" s="71">
        <v>1118</v>
      </c>
      <c r="D177" s="67">
        <f>C177/SUM($C$2:$C$256)</f>
        <v>1.7849217220822597E-3</v>
      </c>
      <c r="E177" s="73">
        <f>town_population[[#This Row],[Pop Share of State]]/(INDEX(regional_population[Pop Share of State],MATCH(town_population[[#This Row],[Regional Planning Commission]],regional_population[Regional Planning Commission],0)))</f>
        <v>1.7333333333333336E-2</v>
      </c>
    </row>
    <row r="178" spans="1:5" ht="15.75" x14ac:dyDescent="0.25">
      <c r="A178" s="71" t="s">
        <v>252</v>
      </c>
      <c r="B178" s="71" t="s">
        <v>105</v>
      </c>
      <c r="C178" s="71">
        <v>6157</v>
      </c>
      <c r="D178" s="67">
        <f>C178/SUM($C$2:$C$256)</f>
        <v>9.8298417199109769E-3</v>
      </c>
      <c r="E178" s="73">
        <f>town_population[[#This Row],[Pop Share of State]]/(INDEX(regional_population[Pop Share of State],MATCH(town_population[[#This Row],[Regional Planning Commission]],regional_population[Regional Planning Commission],0)))</f>
        <v>0.11152975273978806</v>
      </c>
    </row>
    <row r="179" spans="1:5" ht="15.75" x14ac:dyDescent="0.25">
      <c r="A179" s="71" t="s">
        <v>251</v>
      </c>
      <c r="B179" s="71" t="s">
        <v>105</v>
      </c>
      <c r="C179" s="71">
        <v>6889</v>
      </c>
      <c r="D179" s="67">
        <f>C179/SUM($C$2:$C$256)</f>
        <v>1.0998502453868235E-2</v>
      </c>
      <c r="E179" s="73">
        <f>town_population[[#This Row],[Pop Share of State]]/(INDEX(regional_population[Pop Share of State],MATCH(town_population[[#This Row],[Regional Planning Commission]],regional_population[Regional Planning Commission],0)))</f>
        <v>0.12478942124807535</v>
      </c>
    </row>
    <row r="180" spans="1:5" ht="15.75" x14ac:dyDescent="0.25">
      <c r="A180" s="71" t="s">
        <v>170</v>
      </c>
      <c r="B180" s="71" t="s">
        <v>99</v>
      </c>
      <c r="C180" s="71">
        <v>772</v>
      </c>
      <c r="D180" s="67">
        <f>C180/SUM($C$2:$C$256)</f>
        <v>1.2325219762500039E-3</v>
      </c>
      <c r="E180" s="73">
        <f>town_population[[#This Row],[Pop Share of State]]/(INDEX(regional_population[Pop Share of State],MATCH(town_population[[#This Row],[Regional Planning Commission]],regional_population[Regional Planning Commission],0)))</f>
        <v>4.8649534300442363E-3</v>
      </c>
    </row>
    <row r="181" spans="1:5" ht="15.75" x14ac:dyDescent="0.25">
      <c r="A181" s="71" t="s">
        <v>225</v>
      </c>
      <c r="B181" s="71" t="s">
        <v>103</v>
      </c>
      <c r="C181" s="71">
        <v>7573</v>
      </c>
      <c r="D181" s="67">
        <f>C181/SUM($C$2:$C$256)</f>
        <v>1.2090529697074198E-2</v>
      </c>
      <c r="E181" s="73">
        <f>town_population[[#This Row],[Pop Share of State]]/(INDEX(regional_population[Pop Share of State],MATCH(town_population[[#This Row],[Regional Planning Commission]],regional_population[Regional Planning Commission],0)))</f>
        <v>0.11741085271317832</v>
      </c>
    </row>
    <row r="182" spans="1:5" ht="15.75" x14ac:dyDescent="0.25">
      <c r="A182" s="71" t="s">
        <v>117</v>
      </c>
      <c r="B182" s="71" t="s">
        <v>93</v>
      </c>
      <c r="C182" s="71">
        <v>1142</v>
      </c>
      <c r="D182" s="67">
        <f>C182/SUM($C$2:$C$256)</f>
        <v>1.8232384674579075E-3</v>
      </c>
      <c r="E182" s="73">
        <f>town_population[[#This Row],[Pop Share of State]]/(INDEX(regional_population[Pop Share of State],MATCH(town_population[[#This Row],[Regional Planning Commission]],regional_population[Regional Planning Commission],0)))</f>
        <v>3.1564400221116645E-2</v>
      </c>
    </row>
    <row r="183" spans="1:5" ht="15.75" x14ac:dyDescent="0.25">
      <c r="A183" s="71" t="s">
        <v>132</v>
      </c>
      <c r="B183" s="71" t="s">
        <v>95</v>
      </c>
      <c r="C183" s="71">
        <v>516</v>
      </c>
      <c r="D183" s="67">
        <f>C183/SUM($C$2:$C$256)</f>
        <v>8.2381002557642749E-4</v>
      </c>
      <c r="E183" s="73">
        <f>town_population[[#This Row],[Pop Share of State]]/(INDEX(regional_population[Pop Share of State],MATCH(town_population[[#This Row],[Regional Planning Commission]],regional_population[Regional Planning Commission],0)))</f>
        <v>1.4654511374286442E-2</v>
      </c>
    </row>
    <row r="184" spans="1:5" ht="15.75" x14ac:dyDescent="0.25">
      <c r="A184" s="71" t="s">
        <v>338</v>
      </c>
      <c r="B184" s="71" t="s">
        <v>113</v>
      </c>
      <c r="C184" s="71">
        <v>97</v>
      </c>
      <c r="D184" s="67">
        <f>C184/SUM($C$2:$C$256)</f>
        <v>1.5486351255990984E-4</v>
      </c>
      <c r="E184" s="73">
        <f>town_population[[#This Row],[Pop Share of State]]/(INDEX(regional_population[Pop Share of State],MATCH(town_population[[#This Row],[Regional Planning Commission]],regional_population[Regional Planning Commission],0)))</f>
        <v>2.1006583506583509E-3</v>
      </c>
    </row>
    <row r="185" spans="1:5" ht="15.75" x14ac:dyDescent="0.25">
      <c r="A185" s="71" t="s">
        <v>133</v>
      </c>
      <c r="B185" s="71" t="s">
        <v>95</v>
      </c>
      <c r="C185" s="71">
        <v>3558</v>
      </c>
      <c r="D185" s="67">
        <f>C185/SUM($C$2:$C$256)</f>
        <v>5.6804575019397856E-3</v>
      </c>
      <c r="E185" s="73">
        <f>town_population[[#This Row],[Pop Share of State]]/(INDEX(regional_population[Pop Share of State],MATCH(town_population[[#This Row],[Regional Planning Commission]],regional_population[Regional Planning Commission],0)))</f>
        <v>0.10104796796455653</v>
      </c>
    </row>
    <row r="186" spans="1:5" ht="15.75" x14ac:dyDescent="0.25">
      <c r="A186" s="71" t="s">
        <v>314</v>
      </c>
      <c r="B186" s="71" t="s">
        <v>111</v>
      </c>
      <c r="C186" s="71">
        <v>1521</v>
      </c>
      <c r="D186" s="67">
        <f>C186/SUM($C$2:$C$256)</f>
        <v>2.428323738181679E-3</v>
      </c>
      <c r="E186" s="73">
        <f>town_population[[#This Row],[Pop Share of State]]/(INDEX(regional_population[Pop Share of State],MATCH(town_population[[#This Row],[Regional Planning Commission]],regional_population[Regional Planning Commission],0)))</f>
        <v>2.7400962006161163E-2</v>
      </c>
    </row>
    <row r="187" spans="1:5" ht="15.75" x14ac:dyDescent="0.25">
      <c r="A187" s="71" t="s">
        <v>226</v>
      </c>
      <c r="B187" s="71" t="s">
        <v>103</v>
      </c>
      <c r="C187" s="71">
        <v>568</v>
      </c>
      <c r="D187" s="67">
        <f>C187/SUM($C$2:$C$256)</f>
        <v>9.068296405569978E-4</v>
      </c>
      <c r="E187" s="73">
        <f>town_population[[#This Row],[Pop Share of State]]/(INDEX(regional_population[Pop Share of State],MATCH(town_population[[#This Row],[Regional Planning Commission]],regional_population[Regional Planning Commission],0)))</f>
        <v>8.806201550387598E-3</v>
      </c>
    </row>
    <row r="188" spans="1:5" ht="15.75" x14ac:dyDescent="0.25">
      <c r="A188" s="71" t="s">
        <v>171</v>
      </c>
      <c r="B188" s="71" t="s">
        <v>99</v>
      </c>
      <c r="C188" s="71">
        <v>7452</v>
      </c>
      <c r="D188" s="67">
        <f>C188/SUM($C$2:$C$256)</f>
        <v>1.189734943913864E-2</v>
      </c>
      <c r="E188" s="73">
        <f>town_population[[#This Row],[Pop Share of State]]/(INDEX(regional_population[Pop Share of State],MATCH(town_population[[#This Row],[Regional Planning Commission]],regional_population[Regional Planning Commission],0)))</f>
        <v>4.6960664456851882E-2</v>
      </c>
    </row>
    <row r="189" spans="1:5" ht="15.75" x14ac:dyDescent="0.25">
      <c r="A189" s="71" t="s">
        <v>253</v>
      </c>
      <c r="B189" s="71" t="s">
        <v>105</v>
      </c>
      <c r="C189" s="71">
        <v>2329</v>
      </c>
      <c r="D189" s="67">
        <f>C189/SUM($C$2:$C$256)</f>
        <v>3.7183208324951546E-3</v>
      </c>
      <c r="E189" s="73">
        <f>town_population[[#This Row],[Pop Share of State]]/(INDEX(regional_population[Pop Share of State],MATCH(town_population[[#This Row],[Regional Planning Commission]],regional_population[Regional Planning Commission],0)))</f>
        <v>4.2188207589892217E-2</v>
      </c>
    </row>
    <row r="190" spans="1:5" ht="15.75" x14ac:dyDescent="0.25">
      <c r="A190" s="71" t="s">
        <v>118</v>
      </c>
      <c r="B190" s="71" t="s">
        <v>93</v>
      </c>
      <c r="C190" s="71">
        <v>1179</v>
      </c>
      <c r="D190" s="67">
        <f>C190/SUM($C$2:$C$256)</f>
        <v>1.8823101165786978E-3</v>
      </c>
      <c r="E190" s="73">
        <f>town_population[[#This Row],[Pop Share of State]]/(INDEX(regional_population[Pop Share of State],MATCH(town_population[[#This Row],[Regional Planning Commission]],regional_population[Regional Planning Commission],0)))</f>
        <v>3.2587064676616914E-2</v>
      </c>
    </row>
    <row r="191" spans="1:5" ht="15.75" x14ac:dyDescent="0.25">
      <c r="A191" s="71" t="s">
        <v>276</v>
      </c>
      <c r="B191" s="71" t="s">
        <v>107</v>
      </c>
      <c r="C191" s="71">
        <v>1158</v>
      </c>
      <c r="D191" s="67">
        <f>C191/SUM($C$2:$C$256)</f>
        <v>1.8487829643750061E-3</v>
      </c>
      <c r="E191" s="73">
        <f>town_population[[#This Row],[Pop Share of State]]/(INDEX(regional_population[Pop Share of State],MATCH(town_population[[#This Row],[Regional Planning Commission]],regional_population[Regional Planning Commission],0)))</f>
        <v>1.9220874068418346E-2</v>
      </c>
    </row>
    <row r="192" spans="1:5" ht="15.75" x14ac:dyDescent="0.25">
      <c r="A192" s="71" t="s">
        <v>366</v>
      </c>
      <c r="B192" s="71" t="s">
        <v>113</v>
      </c>
      <c r="C192" s="71">
        <v>7</v>
      </c>
      <c r="D192" s="67">
        <f>C192/SUM($C$2:$C$256)</f>
        <v>1.1175717401230607E-5</v>
      </c>
      <c r="E192" s="73">
        <f>town_population[[#This Row],[Pop Share of State]]/(INDEX(regional_population[Pop Share of State],MATCH(town_population[[#This Row],[Regional Planning Commission]],regional_population[Regional Planning Commission],0)))</f>
        <v>1.5159390159390161E-4</v>
      </c>
    </row>
    <row r="193" spans="1:5" ht="15.75" x14ac:dyDescent="0.25">
      <c r="A193" s="71" t="s">
        <v>172</v>
      </c>
      <c r="B193" s="71" t="s">
        <v>99</v>
      </c>
      <c r="C193" s="71">
        <v>18378</v>
      </c>
      <c r="D193" s="67">
        <f>C193/SUM($C$2:$C$256)</f>
        <v>2.9341047771402298E-2</v>
      </c>
      <c r="E193" s="73">
        <f>town_population[[#This Row],[Pop Share of State]]/(INDEX(regional_population[Pop Share of State],MATCH(town_population[[#This Row],[Regional Planning Commission]],regional_population[Regional Planning Commission],0)))</f>
        <v>0.11581361934890283</v>
      </c>
    </row>
    <row r="194" spans="1:5" ht="15.75" x14ac:dyDescent="0.25">
      <c r="A194" s="71" t="s">
        <v>254</v>
      </c>
      <c r="B194" s="71" t="s">
        <v>105</v>
      </c>
      <c r="C194" s="71">
        <v>1576</v>
      </c>
      <c r="D194" s="67">
        <f>C194/SUM($C$2:$C$256)</f>
        <v>2.5161329463342049E-3</v>
      </c>
      <c r="E194" s="73">
        <f>town_population[[#This Row],[Pop Share of State]]/(INDEX(regional_population[Pop Share of State],MATCH(town_population[[#This Row],[Regional Planning Commission]],regional_population[Regional Planning Commission],0)))</f>
        <v>2.8548138755547504E-2</v>
      </c>
    </row>
    <row r="195" spans="1:5" ht="15.75" x14ac:dyDescent="0.25">
      <c r="A195" s="71" t="s">
        <v>289</v>
      </c>
      <c r="B195" s="71" t="s">
        <v>109</v>
      </c>
      <c r="C195" s="71">
        <v>9301</v>
      </c>
      <c r="D195" s="67">
        <f>C195/SUM($C$2:$C$256)</f>
        <v>1.4849335364120838E-2</v>
      </c>
      <c r="E195" s="73">
        <f>town_population[[#This Row],[Pop Share of State]]/(INDEX(regional_population[Pop Share of State],MATCH(town_population[[#This Row],[Regional Planning Commission]],regional_population[Regional Planning Commission],0)))</f>
        <v>0.37269594486295882</v>
      </c>
    </row>
    <row r="196" spans="1:5" ht="15.75" x14ac:dyDescent="0.25">
      <c r="A196" s="71" t="s">
        <v>134</v>
      </c>
      <c r="B196" s="71" t="s">
        <v>95</v>
      </c>
      <c r="C196" s="71">
        <v>878</v>
      </c>
      <c r="D196" s="67">
        <f>C196/SUM($C$2:$C$256)</f>
        <v>1.4017542683257818E-3</v>
      </c>
      <c r="E196" s="73">
        <f>town_population[[#This Row],[Pop Share of State]]/(INDEX(regional_population[Pop Share of State],MATCH(town_population[[#This Row],[Regional Planning Commission]],regional_population[Regional Planning Commission],0)))</f>
        <v>2.4935389508960269E-2</v>
      </c>
    </row>
    <row r="197" spans="1:5" ht="15.75" x14ac:dyDescent="0.25">
      <c r="A197" s="71" t="s">
        <v>227</v>
      </c>
      <c r="B197" s="71" t="s">
        <v>103</v>
      </c>
      <c r="C197" s="71">
        <v>278</v>
      </c>
      <c r="D197" s="67">
        <f>C197/SUM($C$2:$C$256)</f>
        <v>4.4383563393458691E-4</v>
      </c>
      <c r="E197" s="73">
        <f>town_population[[#This Row],[Pop Share of State]]/(INDEX(regional_population[Pop Share of State],MATCH(town_population[[#This Row],[Regional Planning Commission]],regional_population[Regional Planning Commission],0)))</f>
        <v>4.3100775193798454E-3</v>
      </c>
    </row>
    <row r="198" spans="1:5" ht="15.75" x14ac:dyDescent="0.25">
      <c r="A198" s="71" t="s">
        <v>119</v>
      </c>
      <c r="B198" s="71" t="s">
        <v>93</v>
      </c>
      <c r="C198" s="71">
        <v>1762</v>
      </c>
      <c r="D198" s="67">
        <f>C198/SUM($C$2:$C$256)</f>
        <v>2.8130877229954753E-3</v>
      </c>
      <c r="E198" s="73">
        <f>town_population[[#This Row],[Pop Share of State]]/(INDEX(regional_population[Pop Share of State],MATCH(town_population[[#This Row],[Regional Planning Commission]],regional_population[Regional Planning Commission],0)))</f>
        <v>4.870093974571587E-2</v>
      </c>
    </row>
    <row r="199" spans="1:5" ht="15.75" x14ac:dyDescent="0.25">
      <c r="A199" s="71" t="s">
        <v>315</v>
      </c>
      <c r="B199" s="71" t="s">
        <v>111</v>
      </c>
      <c r="C199" s="71">
        <v>735</v>
      </c>
      <c r="D199" s="67">
        <f>C199/SUM($C$2:$C$256)</f>
        <v>1.1734503271292136E-3</v>
      </c>
      <c r="E199" s="73">
        <f>town_population[[#This Row],[Pop Share of State]]/(INDEX(regional_population[Pop Share of State],MATCH(town_population[[#This Row],[Regional Planning Commission]],regional_population[Regional Planning Commission],0)))</f>
        <v>1.3241096038480244E-2</v>
      </c>
    </row>
    <row r="200" spans="1:5" ht="15.75" x14ac:dyDescent="0.25">
      <c r="A200" s="71" t="s">
        <v>184</v>
      </c>
      <c r="B200" s="71" t="s">
        <v>101</v>
      </c>
      <c r="C200" s="71">
        <v>4371</v>
      </c>
      <c r="D200" s="67">
        <f>C200/SUM($C$2:$C$256)</f>
        <v>6.9784372515398546E-3</v>
      </c>
      <c r="E200" s="73">
        <f>town_population[[#This Row],[Pop Share of State]]/(INDEX(regional_population[Pop Share of State],MATCH(town_population[[#This Row],[Regional Planning Commission]],regional_population[Regional Planning Commission],0)))</f>
        <v>0.17594493418669241</v>
      </c>
    </row>
    <row r="201" spans="1:5" ht="15.75" x14ac:dyDescent="0.25">
      <c r="A201" s="71" t="s">
        <v>316</v>
      </c>
      <c r="B201" s="71" t="s">
        <v>111</v>
      </c>
      <c r="C201" s="71">
        <v>1037</v>
      </c>
      <c r="D201" s="67">
        <f>C201/SUM($C$2:$C$256)</f>
        <v>1.6556027064394483E-3</v>
      </c>
      <c r="E201" s="73">
        <f>town_population[[#This Row],[Pop Share of State]]/(INDEX(regional_population[Pop Share of State],MATCH(town_population[[#This Row],[Regional Planning Commission]],regional_population[Regional Planning Commission],0)))</f>
        <v>1.868165522708029E-2</v>
      </c>
    </row>
    <row r="202" spans="1:5" ht="15.75" x14ac:dyDescent="0.25">
      <c r="A202" s="71" t="s">
        <v>339</v>
      </c>
      <c r="B202" s="71" t="s">
        <v>113</v>
      </c>
      <c r="C202" s="71">
        <v>171</v>
      </c>
      <c r="D202" s="67">
        <f>C202/SUM($C$2:$C$256)</f>
        <v>2.7300681080149052E-4</v>
      </c>
      <c r="E202" s="73">
        <f>town_population[[#This Row],[Pop Share of State]]/(INDEX(regional_population[Pop Share of State],MATCH(town_population[[#This Row],[Regional Planning Commission]],regional_population[Regional Planning Commission],0)))</f>
        <v>3.7032224532224534E-3</v>
      </c>
    </row>
    <row r="203" spans="1:5" ht="15.75" x14ac:dyDescent="0.25">
      <c r="A203" s="71" t="s">
        <v>277</v>
      </c>
      <c r="B203" s="71" t="s">
        <v>107</v>
      </c>
      <c r="C203" s="71">
        <v>499</v>
      </c>
      <c r="D203" s="67">
        <f>C203/SUM($C$2:$C$256)</f>
        <v>7.9666899760201038E-4</v>
      </c>
      <c r="E203" s="73">
        <f>town_population[[#This Row],[Pop Share of State]]/(INDEX(regional_population[Pop Share of State],MATCH(town_population[[#This Row],[Regional Planning Commission]],regional_population[Regional Planning Commission],0)))</f>
        <v>8.2825700864773352E-3</v>
      </c>
    </row>
    <row r="204" spans="1:5" ht="15.75" x14ac:dyDescent="0.25">
      <c r="A204" s="71" t="s">
        <v>135</v>
      </c>
      <c r="B204" s="71" t="s">
        <v>95</v>
      </c>
      <c r="C204" s="71">
        <v>934</v>
      </c>
      <c r="D204" s="67">
        <f>C204/SUM($C$2:$C$256)</f>
        <v>1.4911600075356267E-3</v>
      </c>
      <c r="E204" s="73">
        <f>town_population[[#This Row],[Pop Share of State]]/(INDEX(regional_population[Pop Share of State],MATCH(town_population[[#This Row],[Regional Planning Commission]],regional_population[Regional Planning Commission],0)))</f>
        <v>2.6525801596092129E-2</v>
      </c>
    </row>
    <row r="205" spans="1:5" ht="15.75" x14ac:dyDescent="0.25">
      <c r="A205" s="71" t="s">
        <v>228</v>
      </c>
      <c r="B205" s="71" t="s">
        <v>103</v>
      </c>
      <c r="C205" s="71">
        <v>948</v>
      </c>
      <c r="D205" s="67">
        <f>C205/SUM($C$2:$C$256)</f>
        <v>1.5135114423380878E-3</v>
      </c>
      <c r="E205" s="73">
        <f>town_population[[#This Row],[Pop Share of State]]/(INDEX(regional_population[Pop Share of State],MATCH(town_population[[#This Row],[Regional Planning Commission]],regional_population[Regional Planning Commission],0)))</f>
        <v>1.4697674418604652E-2</v>
      </c>
    </row>
    <row r="206" spans="1:5" ht="15.75" x14ac:dyDescent="0.25">
      <c r="A206" s="71" t="s">
        <v>255</v>
      </c>
      <c r="B206" s="71" t="s">
        <v>105</v>
      </c>
      <c r="C206" s="71">
        <v>6433</v>
      </c>
      <c r="D206" s="67">
        <f>C206/SUM($C$2:$C$256)</f>
        <v>1.0270484291730927E-2</v>
      </c>
      <c r="E206" s="73">
        <f>town_population[[#This Row],[Pop Share of State]]/(INDEX(regional_population[Pop Share of State],MATCH(town_population[[#This Row],[Regional Planning Commission]],regional_population[Regional Planning Commission],0)))</f>
        <v>0.11652929988225705</v>
      </c>
    </row>
    <row r="207" spans="1:5" ht="15.75" x14ac:dyDescent="0.25">
      <c r="A207" s="71" t="s">
        <v>317</v>
      </c>
      <c r="B207" s="71" t="s">
        <v>111</v>
      </c>
      <c r="C207" s="71">
        <v>2589</v>
      </c>
      <c r="D207" s="67">
        <f>C207/SUM($C$2:$C$256)</f>
        <v>4.1334189073980055E-3</v>
      </c>
      <c r="E207" s="73">
        <f>town_population[[#This Row],[Pop Share of State]]/(INDEX(regional_population[Pop Share of State],MATCH(town_population[[#This Row],[Regional Planning Commission]],regional_population[Regional Planning Commission],0)))</f>
        <v>4.6641085229422251E-2</v>
      </c>
    </row>
    <row r="208" spans="1:5" ht="15.75" x14ac:dyDescent="0.25">
      <c r="A208" s="71" t="s">
        <v>278</v>
      </c>
      <c r="B208" s="71" t="s">
        <v>107</v>
      </c>
      <c r="C208" s="71">
        <v>558</v>
      </c>
      <c r="D208" s="67">
        <f>C208/SUM($C$2:$C$256)</f>
        <v>8.9086432998381122E-4</v>
      </c>
      <c r="E208" s="73">
        <f>town_population[[#This Row],[Pop Share of State]]/(INDEX(regional_population[Pop Share of State],MATCH(town_population[[#This Row],[Regional Planning Commission]],regional_population[Regional Planning Commission],0)))</f>
        <v>9.2618719604295654E-3</v>
      </c>
    </row>
    <row r="209" spans="1:5" ht="15.75" x14ac:dyDescent="0.25">
      <c r="A209" s="71" t="s">
        <v>318</v>
      </c>
      <c r="B209" s="71" t="s">
        <v>111</v>
      </c>
      <c r="C209" s="71">
        <v>1228</v>
      </c>
      <c r="D209" s="67">
        <f>C209/SUM($C$2:$C$256)</f>
        <v>1.9605401383873122E-3</v>
      </c>
      <c r="E209" s="73">
        <f>town_population[[#This Row],[Pop Share of State]]/(INDEX(regional_population[Pop Share of State],MATCH(town_population[[#This Row],[Regional Planning Commission]],regional_population[Regional Planning Commission],0)))</f>
        <v>2.2122538687420056E-2</v>
      </c>
    </row>
    <row r="210" spans="1:5" ht="15.75" x14ac:dyDescent="0.25">
      <c r="A210" s="71" t="s">
        <v>340</v>
      </c>
      <c r="B210" s="71" t="s">
        <v>113</v>
      </c>
      <c r="C210" s="71">
        <v>1126</v>
      </c>
      <c r="D210" s="67">
        <f>C210/SUM($C$2:$C$256)</f>
        <v>1.7976939705408089E-3</v>
      </c>
      <c r="E210" s="73">
        <f>town_population[[#This Row],[Pop Share of State]]/(INDEX(regional_population[Pop Share of State],MATCH(town_population[[#This Row],[Regional Planning Commission]],regional_population[Regional Planning Commission],0)))</f>
        <v>2.4384961884961885E-2</v>
      </c>
    </row>
    <row r="211" spans="1:5" ht="15.75" x14ac:dyDescent="0.25">
      <c r="A211" s="71" t="s">
        <v>229</v>
      </c>
      <c r="B211" s="71" t="s">
        <v>103</v>
      </c>
      <c r="C211" s="71">
        <v>1413</v>
      </c>
      <c r="D211" s="67">
        <f>C211/SUM($C$2:$C$256)</f>
        <v>2.2558983839912638E-3</v>
      </c>
      <c r="E211" s="73">
        <f>town_population[[#This Row],[Pop Share of State]]/(INDEX(regional_population[Pop Share of State],MATCH(town_population[[#This Row],[Regional Planning Commission]],regional_population[Regional Planning Commission],0)))</f>
        <v>2.1906976744186048E-2</v>
      </c>
    </row>
    <row r="212" spans="1:5" ht="15.75" x14ac:dyDescent="0.25">
      <c r="A212" s="71" t="s">
        <v>319</v>
      </c>
      <c r="B212" s="71" t="s">
        <v>111</v>
      </c>
      <c r="C212" s="71">
        <v>1237</v>
      </c>
      <c r="D212" s="67">
        <f>C212/SUM($C$2:$C$256)</f>
        <v>1.9749089179031802E-3</v>
      </c>
      <c r="E212" s="73">
        <f>town_population[[#This Row],[Pop Share of State]]/(INDEX(regional_population[Pop Share of State],MATCH(town_population[[#This Row],[Regional Planning Commission]],regional_population[Regional Planning Commission],0)))</f>
        <v>2.2284674557278998E-2</v>
      </c>
    </row>
    <row r="213" spans="1:5" ht="15.75" x14ac:dyDescent="0.25">
      <c r="A213" s="71" t="s">
        <v>173</v>
      </c>
      <c r="B213" s="71" t="s">
        <v>99</v>
      </c>
      <c r="C213" s="71">
        <v>3040</v>
      </c>
      <c r="D213" s="67">
        <f>C213/SUM($C$2:$C$256)</f>
        <v>4.8534544142487205E-3</v>
      </c>
      <c r="E213" s="73">
        <f>town_population[[#This Row],[Pop Share of State]]/(INDEX(regional_population[Pop Share of State],MATCH(town_population[[#This Row],[Regional Planning Commission]],regional_population[Regional Planning Commission],0)))</f>
        <v>1.9157329569086116E-2</v>
      </c>
    </row>
    <row r="214" spans="1:5" ht="15.75" x14ac:dyDescent="0.25">
      <c r="A214" s="71" t="s">
        <v>120</v>
      </c>
      <c r="B214" s="71" t="s">
        <v>93</v>
      </c>
      <c r="C214" s="71">
        <v>2579</v>
      </c>
      <c r="D214" s="67">
        <f>C214/SUM($C$2:$C$256)</f>
        <v>4.1174535968248188E-3</v>
      </c>
      <c r="E214" s="73">
        <f>town_population[[#This Row],[Pop Share of State]]/(INDEX(regional_population[Pop Share of State],MATCH(town_population[[#This Row],[Regional Planning Commission]],regional_population[Regional Planning Commission],0)))</f>
        <v>7.1282476506357106E-2</v>
      </c>
    </row>
    <row r="215" spans="1:5" ht="15.75" x14ac:dyDescent="0.25">
      <c r="A215" s="71" t="s">
        <v>341</v>
      </c>
      <c r="B215" s="71" t="s">
        <v>113</v>
      </c>
      <c r="C215" s="71">
        <v>2027</v>
      </c>
      <c r="D215" s="67">
        <f>C215/SUM($C$2:$C$256)</f>
        <v>3.2361684531849199E-3</v>
      </c>
      <c r="E215" s="73">
        <f>town_population[[#This Row],[Pop Share of State]]/(INDEX(regional_population[Pop Share of State],MATCH(town_population[[#This Row],[Regional Planning Commission]],regional_population[Regional Planning Commission],0)))</f>
        <v>4.3897262647262653E-2</v>
      </c>
    </row>
    <row r="216" spans="1:5" ht="15.75" x14ac:dyDescent="0.25">
      <c r="A216" s="71" t="s">
        <v>320</v>
      </c>
      <c r="B216" s="71" t="s">
        <v>111</v>
      </c>
      <c r="C216" s="71">
        <v>679</v>
      </c>
      <c r="D216" s="67">
        <f>C216/SUM($C$2:$C$256)</f>
        <v>1.0840445879193687E-3</v>
      </c>
      <c r="E216" s="73">
        <f>town_population[[#This Row],[Pop Share of State]]/(INDEX(regional_population[Pop Share of State],MATCH(town_population[[#This Row],[Regional Planning Commission]],regional_population[Regional Planning Commission],0)))</f>
        <v>1.2232250626024605E-2</v>
      </c>
    </row>
    <row r="217" spans="1:5" ht="15.75" x14ac:dyDescent="0.25">
      <c r="A217" s="71" t="s">
        <v>230</v>
      </c>
      <c r="B217" s="71" t="s">
        <v>103</v>
      </c>
      <c r="C217" s="71">
        <v>108</v>
      </c>
      <c r="D217" s="67">
        <f>C217/SUM($C$2:$C$256)</f>
        <v>1.7242535419041506E-4</v>
      </c>
      <c r="E217" s="73">
        <f>town_population[[#This Row],[Pop Share of State]]/(INDEX(regional_population[Pop Share of State],MATCH(town_population[[#This Row],[Regional Planning Commission]],regional_population[Regional Planning Commission],0)))</f>
        <v>1.6744186046511629E-3</v>
      </c>
    </row>
    <row r="218" spans="1:5" ht="15.75" x14ac:dyDescent="0.25">
      <c r="A218" s="71" t="s">
        <v>153</v>
      </c>
      <c r="B218" s="71" t="s">
        <v>97</v>
      </c>
      <c r="C218" s="71">
        <v>1607</v>
      </c>
      <c r="D218" s="67">
        <f>C218/SUM($C$2:$C$256)</f>
        <v>2.5656254091110833E-3</v>
      </c>
      <c r="E218" s="73">
        <f>town_population[[#This Row],[Pop Share of State]]/(INDEX(regional_population[Pop Share of State],MATCH(town_population[[#This Row],[Regional Planning Commission]],regional_population[Regional Planning Commission],0)))</f>
        <v>2.4782172873775925E-2</v>
      </c>
    </row>
    <row r="219" spans="1:5" ht="15.75" x14ac:dyDescent="0.25">
      <c r="A219" s="71" t="s">
        <v>231</v>
      </c>
      <c r="B219" s="71" t="s">
        <v>103</v>
      </c>
      <c r="C219" s="71">
        <v>1044</v>
      </c>
      <c r="D219" s="67">
        <f>C219/SUM($C$2:$C$256)</f>
        <v>1.666778423840679E-3</v>
      </c>
      <c r="E219" s="73">
        <f>town_population[[#This Row],[Pop Share of State]]/(INDEX(regional_population[Pop Share of State],MATCH(town_population[[#This Row],[Regional Planning Commission]],regional_population[Regional Planning Commission],0)))</f>
        <v>1.6186046511627909E-2</v>
      </c>
    </row>
    <row r="220" spans="1:5" ht="15.75" x14ac:dyDescent="0.25">
      <c r="A220" s="71" t="s">
        <v>279</v>
      </c>
      <c r="B220" s="71" t="s">
        <v>107</v>
      </c>
      <c r="C220" s="71">
        <v>2098</v>
      </c>
      <c r="D220" s="67">
        <f>C220/SUM($C$2:$C$256)</f>
        <v>3.3495221582545446E-3</v>
      </c>
      <c r="E220" s="73">
        <f>town_population[[#This Row],[Pop Share of State]]/(INDEX(regional_population[Pop Share of State],MATCH(town_population[[#This Row],[Regional Planning Commission]],regional_population[Regional Planning Commission],0)))</f>
        <v>3.4823310704267432E-2</v>
      </c>
    </row>
    <row r="221" spans="1:5" ht="15.75" x14ac:dyDescent="0.25">
      <c r="A221" s="71" t="s">
        <v>121</v>
      </c>
      <c r="B221" s="71" t="s">
        <v>93</v>
      </c>
      <c r="C221" s="71">
        <v>486</v>
      </c>
      <c r="D221" s="67">
        <f>C221/SUM($C$2:$C$256)</f>
        <v>7.7591409385686775E-4</v>
      </c>
      <c r="E221" s="73">
        <f>town_population[[#This Row],[Pop Share of State]]/(INDEX(regional_population[Pop Share of State],MATCH(town_population[[#This Row],[Regional Planning Commission]],regional_population[Regional Planning Commission],0)))</f>
        <v>1.3432835820895522E-2</v>
      </c>
    </row>
    <row r="222" spans="1:5" ht="15.75" x14ac:dyDescent="0.25">
      <c r="A222" s="71" t="s">
        <v>342</v>
      </c>
      <c r="B222" s="71" t="s">
        <v>113</v>
      </c>
      <c r="C222" s="71">
        <v>694</v>
      </c>
      <c r="D222" s="67">
        <f>C222/SUM($C$2:$C$256)</f>
        <v>1.1079925537791488E-3</v>
      </c>
      <c r="E222" s="73">
        <f>town_population[[#This Row],[Pop Share of State]]/(INDEX(regional_population[Pop Share of State],MATCH(town_population[[#This Row],[Regional Planning Commission]],regional_population[Regional Planning Commission],0)))</f>
        <v>1.5029452529452531E-2</v>
      </c>
    </row>
    <row r="223" spans="1:5" ht="15.75" x14ac:dyDescent="0.25">
      <c r="A223" s="71" t="s">
        <v>367</v>
      </c>
      <c r="B223" s="71" t="s">
        <v>103</v>
      </c>
      <c r="C223" s="71">
        <v>0</v>
      </c>
      <c r="D223" s="67">
        <f>C223/SUM($C$2:$C$256)</f>
        <v>0</v>
      </c>
      <c r="E223" s="73">
        <f>town_population[[#This Row],[Pop Share of State]]/(INDEX(regional_population[Pop Share of State],MATCH(town_population[[#This Row],[Regional Planning Commission]],regional_population[Regional Planning Commission],0)))</f>
        <v>0</v>
      </c>
    </row>
    <row r="224" spans="1:5" ht="15.75" x14ac:dyDescent="0.25">
      <c r="A224" s="71" t="s">
        <v>154</v>
      </c>
      <c r="B224" s="71" t="s">
        <v>97</v>
      </c>
      <c r="C224" s="71">
        <v>1651</v>
      </c>
      <c r="D224" s="67">
        <f>C224/SUM($C$2:$C$256)</f>
        <v>2.6358727756331042E-3</v>
      </c>
      <c r="E224" s="73">
        <f>town_population[[#This Row],[Pop Share of State]]/(INDEX(regional_population[Pop Share of State],MATCH(town_population[[#This Row],[Regional Planning Commission]],regional_population[Regional Planning Commission],0)))</f>
        <v>2.5460714010332328E-2</v>
      </c>
    </row>
    <row r="225" spans="1:5" ht="15.75" x14ac:dyDescent="0.25">
      <c r="A225" s="71" t="s">
        <v>368</v>
      </c>
      <c r="B225" s="71" t="s">
        <v>103</v>
      </c>
      <c r="C225" s="71">
        <v>4</v>
      </c>
      <c r="D225" s="67">
        <f>C225/SUM($C$2:$C$256)</f>
        <v>6.3861242292746321E-6</v>
      </c>
      <c r="E225" s="73">
        <f>town_population[[#This Row],[Pop Share of State]]/(INDEX(regional_population[Pop Share of State],MATCH(town_population[[#This Row],[Regional Planning Commission]],regional_population[Regional Planning Commission],0)))</f>
        <v>6.2015503875968993E-5</v>
      </c>
    </row>
    <row r="226" spans="1:5" ht="15.75" x14ac:dyDescent="0.25">
      <c r="A226" s="71" t="s">
        <v>155</v>
      </c>
      <c r="B226" s="71" t="s">
        <v>97</v>
      </c>
      <c r="C226" s="71">
        <v>1067</v>
      </c>
      <c r="D226" s="67">
        <f>C226/SUM($C$2:$C$256)</f>
        <v>1.7034986381590082E-3</v>
      </c>
      <c r="E226" s="73">
        <f>town_population[[#This Row],[Pop Share of State]]/(INDEX(regional_population[Pop Share of State],MATCH(town_population[[#This Row],[Regional Planning Commission]],regional_population[Regional Planning Commission],0)))</f>
        <v>1.6454622561492792E-2</v>
      </c>
    </row>
    <row r="227" spans="1:5" ht="15.75" x14ac:dyDescent="0.25">
      <c r="A227" s="71" t="s">
        <v>156</v>
      </c>
      <c r="B227" s="71" t="s">
        <v>97</v>
      </c>
      <c r="C227" s="71">
        <v>5083</v>
      </c>
      <c r="D227" s="67">
        <f>C227/SUM($C$2:$C$256)</f>
        <v>8.1151673643507383E-3</v>
      </c>
      <c r="E227" s="73">
        <f>town_population[[#This Row],[Pop Share of State]]/(INDEX(regional_population[Pop Share of State],MATCH(town_population[[#This Row],[Regional Planning Commission]],regional_population[Regional Planning Commission],0)))</f>
        <v>7.838692266173182E-2</v>
      </c>
    </row>
    <row r="228" spans="1:5" ht="15.75" x14ac:dyDescent="0.25">
      <c r="A228" s="71" t="s">
        <v>232</v>
      </c>
      <c r="B228" s="71" t="s">
        <v>103</v>
      </c>
      <c r="C228" s="71">
        <v>1489</v>
      </c>
      <c r="D228" s="67">
        <f>C228/SUM($C$2:$C$256)</f>
        <v>2.3772347443474819E-3</v>
      </c>
      <c r="E228" s="73">
        <f>town_population[[#This Row],[Pop Share of State]]/(INDEX(regional_population[Pop Share of State],MATCH(town_population[[#This Row],[Regional Planning Commission]],regional_population[Regional Planning Commission],0)))</f>
        <v>2.3085271317829462E-2</v>
      </c>
    </row>
    <row r="229" spans="1:5" ht="15.75" x14ac:dyDescent="0.25">
      <c r="A229" s="71" t="s">
        <v>185</v>
      </c>
      <c r="B229" s="71" t="s">
        <v>101</v>
      </c>
      <c r="C229" s="71">
        <v>724</v>
      </c>
      <c r="D229" s="67">
        <f>C229/SUM($C$2:$C$256)</f>
        <v>1.1558884854987084E-3</v>
      </c>
      <c r="E229" s="73">
        <f>town_population[[#This Row],[Pop Share of State]]/(INDEX(regional_population[Pop Share of State],MATCH(town_population[[#This Row],[Regional Planning Commission]],regional_population[Regional Planning Commission],0)))</f>
        <v>2.9143018154007161E-2</v>
      </c>
    </row>
    <row r="230" spans="1:5" ht="15.75" x14ac:dyDescent="0.25">
      <c r="A230" s="71" t="s">
        <v>290</v>
      </c>
      <c r="B230" s="71" t="s">
        <v>109</v>
      </c>
      <c r="C230" s="71">
        <v>2813</v>
      </c>
      <c r="D230" s="67">
        <f>C230/SUM($C$2:$C$256)</f>
        <v>4.4910418642373851E-3</v>
      </c>
      <c r="E230" s="73">
        <f>town_population[[#This Row],[Pop Share of State]]/(INDEX(regional_population[Pop Share of State],MATCH(town_population[[#This Row],[Regional Planning Commission]],regional_population[Regional Planning Commission],0)))</f>
        <v>0.11271838435646739</v>
      </c>
    </row>
    <row r="231" spans="1:5" ht="15.75" x14ac:dyDescent="0.25">
      <c r="A231" s="71" t="s">
        <v>280</v>
      </c>
      <c r="B231" s="71" t="s">
        <v>107</v>
      </c>
      <c r="C231" s="71">
        <v>1116</v>
      </c>
      <c r="D231" s="67">
        <f>C231/SUM($C$2:$C$256)</f>
        <v>1.7817286599676224E-3</v>
      </c>
      <c r="E231" s="73">
        <f>town_population[[#This Row],[Pop Share of State]]/(INDEX(regional_population[Pop Share of State],MATCH(town_population[[#This Row],[Regional Planning Commission]],regional_population[Regional Planning Commission],0)))</f>
        <v>1.8523743920859131E-2</v>
      </c>
    </row>
    <row r="232" spans="1:5" ht="15.75" x14ac:dyDescent="0.25">
      <c r="A232" s="71" t="s">
        <v>321</v>
      </c>
      <c r="B232" s="71" t="s">
        <v>111</v>
      </c>
      <c r="C232" s="71">
        <v>650</v>
      </c>
      <c r="D232" s="67">
        <f>C232/SUM($C$2:$C$256)</f>
        <v>1.0377451872571276E-3</v>
      </c>
      <c r="E232" s="73">
        <f>town_population[[#This Row],[Pop Share of State]]/(INDEX(regional_population[Pop Share of State],MATCH(town_population[[#This Row],[Regional Planning Commission]],regional_population[Regional Planning Commission],0)))</f>
        <v>1.1709812823145793E-2</v>
      </c>
    </row>
    <row r="233" spans="1:5" ht="15.75" x14ac:dyDescent="0.25">
      <c r="A233" s="71" t="s">
        <v>282</v>
      </c>
      <c r="B233" s="71" t="s">
        <v>107</v>
      </c>
      <c r="C233" s="71">
        <v>290</v>
      </c>
      <c r="D233" s="67">
        <f>C233/SUM($C$2:$C$256)</f>
        <v>4.6299400662241084E-4</v>
      </c>
      <c r="E233" s="73">
        <f>town_population[[#This Row],[Pop Share of State]]/(INDEX(regional_population[Pop Share of State],MATCH(town_population[[#This Row],[Regional Planning Commission]],regional_population[Regional Planning Commission],0)))</f>
        <v>4.8135176855279103E-3</v>
      </c>
    </row>
    <row r="234" spans="1:5" ht="15.75" x14ac:dyDescent="0.25">
      <c r="A234" s="71" t="s">
        <v>281</v>
      </c>
      <c r="B234" s="71" t="s">
        <v>107</v>
      </c>
      <c r="C234" s="71">
        <v>2335</v>
      </c>
      <c r="D234" s="67">
        <f>C234/SUM($C$2:$C$256)</f>
        <v>3.7279000188390663E-3</v>
      </c>
      <c r="E234" s="73">
        <f>town_population[[#This Row],[Pop Share of State]]/(INDEX(regional_population[Pop Share of State],MATCH(town_population[[#This Row],[Regional Planning Commission]],regional_population[Regional Planning Commission],0)))</f>
        <v>3.8757116536923E-2</v>
      </c>
    </row>
    <row r="235" spans="1:5" ht="15.75" x14ac:dyDescent="0.25">
      <c r="A235" s="71" t="s">
        <v>291</v>
      </c>
      <c r="B235" s="71" t="s">
        <v>109</v>
      </c>
      <c r="C235" s="71">
        <v>1094</v>
      </c>
      <c r="D235" s="67">
        <f>C235/SUM($C$2:$C$256)</f>
        <v>1.746604976706612E-3</v>
      </c>
      <c r="E235" s="73">
        <f>town_population[[#This Row],[Pop Share of State]]/(INDEX(regional_population[Pop Share of State],MATCH(town_population[[#This Row],[Regional Planning Commission]],regional_population[Regional Planning Commission],0)))</f>
        <v>4.3837153389966348E-2</v>
      </c>
    </row>
    <row r="236" spans="1:5" ht="15.75" x14ac:dyDescent="0.25">
      <c r="A236" s="71" t="s">
        <v>233</v>
      </c>
      <c r="B236" s="71" t="s">
        <v>103</v>
      </c>
      <c r="C236" s="71">
        <v>534</v>
      </c>
      <c r="D236" s="67">
        <f>C236/SUM($C$2:$C$256)</f>
        <v>8.5254758460816336E-4</v>
      </c>
      <c r="E236" s="73">
        <f>town_population[[#This Row],[Pop Share of State]]/(INDEX(regional_population[Pop Share of State],MATCH(town_population[[#This Row],[Regional Planning Commission]],regional_population[Regional Planning Commission],0)))</f>
        <v>8.2790697674418618E-3</v>
      </c>
    </row>
    <row r="237" spans="1:5" ht="15.75" x14ac:dyDescent="0.25">
      <c r="A237" s="71" t="s">
        <v>174</v>
      </c>
      <c r="B237" s="71" t="s">
        <v>99</v>
      </c>
      <c r="C237" s="71">
        <v>1937</v>
      </c>
      <c r="D237" s="67">
        <f>C237/SUM($C$2:$C$256)</f>
        <v>3.0924806580262406E-3</v>
      </c>
      <c r="E237" s="73">
        <f>town_population[[#This Row],[Pop Share of State]]/(INDEX(regional_population[Pop Share of State],MATCH(town_population[[#This Row],[Regional Planning Commission]],regional_population[Regional Planning Commission],0)))</f>
        <v>1.2206495847144672E-2</v>
      </c>
    </row>
    <row r="238" spans="1:5" ht="15.75" x14ac:dyDescent="0.25">
      <c r="A238" s="71" t="s">
        <v>343</v>
      </c>
      <c r="B238" s="71" t="s">
        <v>113</v>
      </c>
      <c r="C238" s="71">
        <v>3148</v>
      </c>
      <c r="D238" s="67">
        <f>C238/SUM($C$2:$C$256)</f>
        <v>5.0258797684391357E-3</v>
      </c>
      <c r="E238" s="73">
        <f>town_population[[#This Row],[Pop Share of State]]/(INDEX(regional_population[Pop Share of State],MATCH(town_population[[#This Row],[Regional Planning Commission]],regional_population[Regional Planning Commission],0)))</f>
        <v>6.817394317394318E-2</v>
      </c>
    </row>
    <row r="239" spans="1:5" ht="15.75" x14ac:dyDescent="0.25">
      <c r="A239" s="71" t="s">
        <v>234</v>
      </c>
      <c r="B239" s="71" t="s">
        <v>103</v>
      </c>
      <c r="C239" s="71">
        <v>393</v>
      </c>
      <c r="D239" s="67">
        <f>C239/SUM($C$2:$C$256)</f>
        <v>6.2743670552623258E-4</v>
      </c>
      <c r="E239" s="73">
        <f>town_population[[#This Row],[Pop Share of State]]/(INDEX(regional_population[Pop Share of State],MATCH(town_population[[#This Row],[Regional Planning Commission]],regional_population[Regional Planning Commission],0)))</f>
        <v>6.0930232558139537E-3</v>
      </c>
    </row>
    <row r="240" spans="1:5" ht="15.75" x14ac:dyDescent="0.25">
      <c r="A240" s="71" t="s">
        <v>344</v>
      </c>
      <c r="B240" s="71" t="s">
        <v>113</v>
      </c>
      <c r="C240" s="71">
        <v>598</v>
      </c>
      <c r="D240" s="67">
        <f>C240/SUM($C$2:$C$256)</f>
        <v>9.5472557227655754E-4</v>
      </c>
      <c r="E240" s="73">
        <f>town_population[[#This Row],[Pop Share of State]]/(INDEX(regional_population[Pop Share of State],MATCH(town_population[[#This Row],[Regional Planning Commission]],regional_population[Regional Planning Commission],0)))</f>
        <v>1.2950450450450452E-2</v>
      </c>
    </row>
    <row r="241" spans="1:5" ht="15.75" x14ac:dyDescent="0.25">
      <c r="A241" s="71" t="s">
        <v>122</v>
      </c>
      <c r="B241" s="71" t="s">
        <v>93</v>
      </c>
      <c r="C241" s="71">
        <v>854</v>
      </c>
      <c r="D241" s="67">
        <f>C241/SUM($C$2:$C$256)</f>
        <v>1.363437522950134E-3</v>
      </c>
      <c r="E241" s="73">
        <f>town_population[[#This Row],[Pop Share of State]]/(INDEX(regional_population[Pop Share of State],MATCH(town_population[[#This Row],[Regional Planning Commission]],regional_population[Regional Planning Commission],0)))</f>
        <v>2.360420121614152E-2</v>
      </c>
    </row>
    <row r="242" spans="1:5" ht="15.75" x14ac:dyDescent="0.25">
      <c r="A242" s="71" t="s">
        <v>235</v>
      </c>
      <c r="B242" s="71" t="s">
        <v>103</v>
      </c>
      <c r="C242" s="71">
        <v>866</v>
      </c>
      <c r="D242" s="67">
        <f>C242/SUM($C$2:$C$256)</f>
        <v>1.3825958956379578E-3</v>
      </c>
      <c r="E242" s="73">
        <f>town_population[[#This Row],[Pop Share of State]]/(INDEX(regional_population[Pop Share of State],MATCH(town_population[[#This Row],[Regional Planning Commission]],regional_population[Regional Planning Commission],0)))</f>
        <v>1.3426356589147287E-2</v>
      </c>
    </row>
    <row r="243" spans="1:5" ht="15.75" x14ac:dyDescent="0.25">
      <c r="A243" s="71" t="s">
        <v>123</v>
      </c>
      <c r="B243" s="71" t="s">
        <v>93</v>
      </c>
      <c r="C243" s="71">
        <v>409</v>
      </c>
      <c r="D243" s="67">
        <f>C243/SUM($C$2:$C$256)</f>
        <v>6.5298120244333116E-4</v>
      </c>
      <c r="E243" s="73">
        <f>town_population[[#This Row],[Pop Share of State]]/(INDEX(regional_population[Pop Share of State],MATCH(town_population[[#This Row],[Regional Planning Commission]],regional_population[Regional Planning Commission],0)))</f>
        <v>1.1304588170259814E-2</v>
      </c>
    </row>
    <row r="244" spans="1:5" ht="15.75" x14ac:dyDescent="0.25">
      <c r="A244" s="71" t="s">
        <v>345</v>
      </c>
      <c r="B244" s="71" t="s">
        <v>113</v>
      </c>
      <c r="C244" s="71">
        <v>1237</v>
      </c>
      <c r="D244" s="67">
        <f>C244/SUM($C$2:$C$256)</f>
        <v>1.9749089179031802E-3</v>
      </c>
      <c r="E244" s="73">
        <f>town_population[[#This Row],[Pop Share of State]]/(INDEX(regional_population[Pop Share of State],MATCH(town_population[[#This Row],[Regional Planning Commission]],regional_population[Regional Planning Commission],0)))</f>
        <v>2.6788808038808041E-2</v>
      </c>
    </row>
    <row r="245" spans="1:5" ht="15.75" x14ac:dyDescent="0.25">
      <c r="A245" s="71" t="s">
        <v>157</v>
      </c>
      <c r="B245" s="71" t="s">
        <v>97</v>
      </c>
      <c r="C245" s="71">
        <v>3397</v>
      </c>
      <c r="D245" s="67">
        <f>C245/SUM($C$2:$C$256)</f>
        <v>5.4234160017114811E-3</v>
      </c>
      <c r="E245" s="73">
        <f>town_population[[#This Row],[Pop Share of State]]/(INDEX(regional_population[Pop Share of State],MATCH(town_population[[#This Row],[Regional Planning Commission]],regional_population[Regional Planning Commission],0)))</f>
        <v>5.23864600200478E-2</v>
      </c>
    </row>
    <row r="246" spans="1:5" ht="15.75" x14ac:dyDescent="0.25">
      <c r="A246" s="71" t="s">
        <v>175</v>
      </c>
      <c r="B246" s="71" t="s">
        <v>99</v>
      </c>
      <c r="C246" s="71">
        <v>8932</v>
      </c>
      <c r="D246" s="67">
        <f>C246/SUM($C$2:$C$256)</f>
        <v>1.4260215403970253E-2</v>
      </c>
      <c r="E246" s="73">
        <f>town_population[[#This Row],[Pop Share of State]]/(INDEX(regional_population[Pop Share of State],MATCH(town_population[[#This Row],[Regional Planning Commission]],regional_population[Regional Planning Commission],0)))</f>
        <v>5.6287259115485905E-2</v>
      </c>
    </row>
    <row r="247" spans="1:5" ht="15.75" x14ac:dyDescent="0.25">
      <c r="A247" s="71" t="s">
        <v>346</v>
      </c>
      <c r="B247" s="71" t="s">
        <v>113</v>
      </c>
      <c r="C247" s="71">
        <v>2257</v>
      </c>
      <c r="D247" s="67">
        <f>C247/SUM($C$2:$C$256)</f>
        <v>3.6033705963682112E-3</v>
      </c>
      <c r="E247" s="73">
        <f>town_population[[#This Row],[Pop Share of State]]/(INDEX(regional_population[Pop Share of State],MATCH(town_population[[#This Row],[Regional Planning Commission]],regional_population[Regional Planning Commission],0)))</f>
        <v>4.8878205128205128E-2</v>
      </c>
    </row>
    <row r="248" spans="1:5" ht="15.75" x14ac:dyDescent="0.25">
      <c r="A248" s="71" t="s">
        <v>347</v>
      </c>
      <c r="B248" s="71" t="s">
        <v>113</v>
      </c>
      <c r="C248" s="71">
        <v>422</v>
      </c>
      <c r="D248" s="67">
        <f>C248/SUM($C$2:$C$256)</f>
        <v>6.7373610618847368E-4</v>
      </c>
      <c r="E248" s="73">
        <f>town_population[[#This Row],[Pop Share of State]]/(INDEX(regional_population[Pop Share of State],MATCH(town_population[[#This Row],[Regional Planning Commission]],regional_population[Regional Planning Commission],0)))</f>
        <v>9.1389466389466389E-3</v>
      </c>
    </row>
    <row r="249" spans="1:5" ht="15.75" x14ac:dyDescent="0.25">
      <c r="A249" s="71" t="s">
        <v>292</v>
      </c>
      <c r="B249" s="71" t="s">
        <v>109</v>
      </c>
      <c r="C249" s="71">
        <v>3504</v>
      </c>
      <c r="D249" s="67">
        <f>C249/SUM($C$2:$C$256)</f>
        <v>5.594244824844578E-3</v>
      </c>
      <c r="E249" s="73">
        <f>town_population[[#This Row],[Pop Share of State]]/(INDEX(regional_population[Pop Share of State],MATCH(town_population[[#This Row],[Regional Planning Commission]],regional_population[Regional Planning Commission],0)))</f>
        <v>0.14040711652508417</v>
      </c>
    </row>
    <row r="250" spans="1:5" ht="15.75" x14ac:dyDescent="0.25">
      <c r="A250" s="71" t="s">
        <v>348</v>
      </c>
      <c r="B250" s="71" t="s">
        <v>113</v>
      </c>
      <c r="C250" s="71">
        <v>654</v>
      </c>
      <c r="D250" s="67">
        <f>C250/SUM($C$2:$C$256)</f>
        <v>1.0441313114864024E-3</v>
      </c>
      <c r="E250" s="73">
        <f>town_population[[#This Row],[Pop Share of State]]/(INDEX(regional_population[Pop Share of State],MATCH(town_population[[#This Row],[Regional Planning Commission]],regional_population[Regional Planning Commission],0)))</f>
        <v>1.4163201663201666E-2</v>
      </c>
    </row>
    <row r="251" spans="1:5" ht="15.75" x14ac:dyDescent="0.25">
      <c r="A251" s="71" t="s">
        <v>176</v>
      </c>
      <c r="B251" s="71" t="s">
        <v>99</v>
      </c>
      <c r="C251" s="71">
        <v>7250</v>
      </c>
      <c r="D251" s="67">
        <f>C251/SUM($C$2:$C$256)</f>
        <v>1.1574850165560271E-2</v>
      </c>
      <c r="E251" s="73">
        <f>town_population[[#This Row],[Pop Share of State]]/(INDEX(regional_population[Pop Share of State],MATCH(town_population[[#This Row],[Regional Planning Commission]],regional_population[Regional Planning Commission],0)))</f>
        <v>4.5687710321011293E-2</v>
      </c>
    </row>
    <row r="252" spans="1:5" ht="15.75" x14ac:dyDescent="0.25">
      <c r="A252" s="71" t="s">
        <v>186</v>
      </c>
      <c r="B252" s="71" t="s">
        <v>101</v>
      </c>
      <c r="C252" s="71">
        <v>1556</v>
      </c>
      <c r="D252" s="67">
        <f>C252/SUM($C$2:$C$256)</f>
        <v>2.484202325187832E-3</v>
      </c>
      <c r="E252" s="73">
        <f>town_population[[#This Row],[Pop Share of State]]/(INDEX(regional_population[Pop Share of State],MATCH(town_population[[#This Row],[Regional Planning Commission]],regional_population[Regional Planning Commission],0)))</f>
        <v>6.2633337358612082E-2</v>
      </c>
    </row>
    <row r="253" spans="1:5" ht="15.75" x14ac:dyDescent="0.25">
      <c r="A253" s="71" t="s">
        <v>158</v>
      </c>
      <c r="B253" s="71" t="s">
        <v>97</v>
      </c>
      <c r="C253" s="71">
        <v>897</v>
      </c>
      <c r="D253" s="67">
        <f>C253/SUM($C$2:$C$256)</f>
        <v>1.4320883584148362E-3</v>
      </c>
      <c r="E253" s="73">
        <f>town_population[[#This Row],[Pop Share of State]]/(INDEX(regional_population[Pop Share of State],MATCH(town_population[[#This Row],[Regional Planning Commission]],regional_population[Regional Planning Commission],0)))</f>
        <v>1.3832986352070321E-2</v>
      </c>
    </row>
    <row r="254" spans="1:5" ht="15.75" x14ac:dyDescent="0.25">
      <c r="A254" s="71" t="s">
        <v>136</v>
      </c>
      <c r="B254" s="71" t="s">
        <v>95</v>
      </c>
      <c r="C254" s="71">
        <v>322</v>
      </c>
      <c r="D254" s="67">
        <f>C254/SUM($C$2:$C$256)</f>
        <v>5.1408300045660787E-4</v>
      </c>
      <c r="E254" s="73">
        <f>town_population[[#This Row],[Pop Share of State]]/(INDEX(regional_population[Pop Share of State],MATCH(town_population[[#This Row],[Regional Planning Commission]],regional_population[Regional Planning Commission],0)))</f>
        <v>9.1448695010082071E-3</v>
      </c>
    </row>
    <row r="255" spans="1:5" ht="15.75" x14ac:dyDescent="0.25">
      <c r="A255" s="71" t="s">
        <v>322</v>
      </c>
      <c r="B255" s="71" t="s">
        <v>111</v>
      </c>
      <c r="C255" s="71">
        <v>3017</v>
      </c>
      <c r="D255" s="67">
        <f>C255/SUM($C$2:$C$256)</f>
        <v>4.8167341999303913E-3</v>
      </c>
      <c r="E255" s="73">
        <f>town_population[[#This Row],[Pop Share of State]]/(INDEX(regional_population[Pop Share of State],MATCH(town_population[[#This Row],[Regional Planning Commission]],regional_population[Regional Planning Commission],0)))</f>
        <v>5.4351546596047483E-2</v>
      </c>
    </row>
    <row r="256" spans="1:5" ht="15.75" x14ac:dyDescent="0.25">
      <c r="A256" s="71" t="s">
        <v>159</v>
      </c>
      <c r="B256" s="71" t="s">
        <v>97</v>
      </c>
      <c r="C256" s="71">
        <v>891</v>
      </c>
      <c r="D256" s="67">
        <f>C256/SUM($C$2:$C$256)</f>
        <v>1.4225091720709243E-3</v>
      </c>
      <c r="E256" s="73">
        <f>town_population[[#This Row],[Pop Share of State]]/(INDEX(regional_population[Pop Share of State],MATCH(town_population[[#This Row],[Regional Planning Commission]],regional_population[Regional Planning Commission],0)))</f>
        <v>1.3740458015267175E-2</v>
      </c>
    </row>
  </sheetData>
  <pageMargins left="0.7" right="0.7" top="0.75" bottom="0.75" header="0.3" footer="0.3"/>
  <pageSetup orientation="portrait" horizontalDpi="200" verticalDpi="0" copies="0" r:id="rId1"/>
  <tableParts count="2">
    <tablePart r:id="rId2"/>
    <tablePart r:id="rId3"/>
  </tablePar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rgb="FFFF0000"/>
    <pageSetUpPr autoPageBreaks="0"/>
  </sheetPr>
  <dimension ref="A1:S54"/>
  <sheetViews>
    <sheetView zoomScale="70" zoomScaleNormal="70" workbookViewId="0"/>
  </sheetViews>
  <sheetFormatPr defaultRowHeight="15" x14ac:dyDescent="0.25"/>
  <cols>
    <col min="1" max="1" width="2.5703125" style="22" customWidth="1"/>
    <col min="2" max="12" width="15.140625" customWidth="1"/>
    <col min="13" max="14" width="14.5703125" customWidth="1"/>
    <col min="15" max="15" width="11.85546875" customWidth="1"/>
  </cols>
  <sheetData>
    <row r="1" spans="1:15" ht="21" x14ac:dyDescent="0.35">
      <c r="A1" s="19"/>
      <c r="B1" s="20" t="s">
        <v>53</v>
      </c>
    </row>
    <row r="2" spans="1:15" x14ac:dyDescent="0.25">
      <c r="A2" s="19"/>
      <c r="B2" s="4"/>
    </row>
    <row r="3" spans="1:15" ht="24.75" customHeight="1" x14ac:dyDescent="0.25">
      <c r="A3" s="19"/>
      <c r="B3" s="86" t="s">
        <v>382</v>
      </c>
      <c r="C3" s="87"/>
      <c r="D3" s="87"/>
      <c r="E3" s="87"/>
      <c r="F3" s="87"/>
      <c r="G3" s="87"/>
      <c r="H3" s="87"/>
      <c r="I3" s="87"/>
      <c r="J3" s="87"/>
      <c r="K3" s="87"/>
      <c r="L3" s="110"/>
      <c r="M3" s="107" t="s">
        <v>264</v>
      </c>
      <c r="N3" s="107"/>
    </row>
    <row r="4" spans="1:15" ht="24.75" customHeight="1" x14ac:dyDescent="0.25">
      <c r="A4" s="19"/>
      <c r="B4" s="88" t="s">
        <v>383</v>
      </c>
      <c r="C4" s="89"/>
      <c r="D4" s="89"/>
      <c r="E4" s="89"/>
      <c r="F4" s="89"/>
      <c r="G4" s="89"/>
      <c r="H4" s="89"/>
      <c r="I4" s="89"/>
      <c r="J4" s="89"/>
      <c r="K4" s="89"/>
      <c r="L4" s="89"/>
      <c r="M4" s="89"/>
      <c r="N4" s="90"/>
    </row>
    <row r="5" spans="1:15" ht="24.75" customHeight="1" x14ac:dyDescent="0.25">
      <c r="A5" s="19"/>
      <c r="B5" s="91" t="s">
        <v>381</v>
      </c>
      <c r="C5" s="92"/>
      <c r="D5" s="92"/>
      <c r="E5" s="92"/>
      <c r="F5" s="92"/>
      <c r="G5" s="92"/>
      <c r="H5" s="92"/>
      <c r="I5" s="92"/>
      <c r="J5" s="92"/>
      <c r="K5" s="92"/>
      <c r="L5" s="92"/>
      <c r="M5" s="111"/>
      <c r="N5" s="76" t="s">
        <v>372</v>
      </c>
    </row>
    <row r="6" spans="1:15" x14ac:dyDescent="0.25">
      <c r="A6" s="19"/>
    </row>
    <row r="7" spans="1:15" ht="42.75" customHeight="1" x14ac:dyDescent="0.25">
      <c r="A7" s="19"/>
      <c r="B7" s="21">
        <f ca="1">SUM(B20,B45)</f>
        <v>71355.296027377364</v>
      </c>
      <c r="C7" s="93" t="s">
        <v>391</v>
      </c>
      <c r="D7" s="94"/>
      <c r="E7" s="94"/>
      <c r="F7" s="94"/>
      <c r="G7" s="94"/>
      <c r="H7" s="94"/>
      <c r="I7" s="94"/>
      <c r="J7" s="94"/>
      <c r="K7" s="94"/>
      <c r="L7" s="94"/>
      <c r="M7" s="94"/>
      <c r="N7" s="94"/>
    </row>
    <row r="8" spans="1:15" x14ac:dyDescent="0.25">
      <c r="A8" s="19"/>
      <c r="B8" s="22"/>
    </row>
    <row r="9" spans="1:15" ht="18.75" x14ac:dyDescent="0.3">
      <c r="B9" s="22"/>
      <c r="C9" s="2" t="s">
        <v>20</v>
      </c>
    </row>
    <row r="10" spans="1:15" x14ac:dyDescent="0.25">
      <c r="B10" s="22"/>
      <c r="C10" s="5"/>
    </row>
    <row r="11" spans="1:15" ht="42.75" customHeight="1" x14ac:dyDescent="0.25">
      <c r="A11" s="22">
        <v>1</v>
      </c>
      <c r="B11" s="23">
        <v>646</v>
      </c>
      <c r="C11" s="95" t="s">
        <v>69</v>
      </c>
      <c r="D11" s="94"/>
      <c r="E11" s="94"/>
      <c r="F11" s="94"/>
      <c r="G11" s="94"/>
      <c r="H11" s="94"/>
      <c r="I11" s="94"/>
      <c r="J11" s="94"/>
      <c r="K11" s="94"/>
      <c r="L11" s="94"/>
      <c r="M11" s="94"/>
      <c r="N11" s="94"/>
      <c r="O11" s="28">
        <f>B11/regional_res_bldgs</f>
        <v>0.1</v>
      </c>
    </row>
    <row r="12" spans="1:15" ht="42.75" customHeight="1" x14ac:dyDescent="0.25">
      <c r="B12" s="19"/>
      <c r="C12" s="24"/>
      <c r="D12" s="54" t="s">
        <v>21</v>
      </c>
      <c r="E12" s="100" t="s">
        <v>3</v>
      </c>
      <c r="F12" s="100"/>
      <c r="G12" s="97" t="s">
        <v>22</v>
      </c>
      <c r="H12" s="97"/>
      <c r="I12" s="97"/>
      <c r="J12" s="97"/>
      <c r="K12" s="97"/>
      <c r="L12" s="97"/>
      <c r="M12" s="97"/>
      <c r="N12" s="97"/>
    </row>
    <row r="13" spans="1:15" ht="52.5" customHeight="1" x14ac:dyDescent="0.25">
      <c r="A13" s="22">
        <v>2</v>
      </c>
      <c r="B13" s="23">
        <v>110</v>
      </c>
      <c r="C13" s="101" t="s">
        <v>68</v>
      </c>
      <c r="D13" s="102"/>
      <c r="E13" s="102"/>
      <c r="F13" s="102"/>
      <c r="G13" s="102"/>
      <c r="H13" s="102"/>
      <c r="I13" s="102"/>
      <c r="J13" s="102"/>
      <c r="K13" s="102"/>
      <c r="L13" s="102"/>
      <c r="M13" s="102"/>
      <c r="N13" s="102"/>
      <c r="O13" s="62">
        <f>B13*O11</f>
        <v>11</v>
      </c>
    </row>
    <row r="14" spans="1:15" ht="42.75" customHeight="1" x14ac:dyDescent="0.25">
      <c r="B14" s="22"/>
      <c r="C14" s="25"/>
      <c r="D14" s="26" t="s">
        <v>23</v>
      </c>
      <c r="E14" s="102" t="s">
        <v>24</v>
      </c>
      <c r="F14" s="102"/>
      <c r="G14" s="102"/>
      <c r="H14" s="102"/>
      <c r="I14" s="102"/>
      <c r="J14" s="102"/>
      <c r="K14" s="102"/>
      <c r="L14" s="102"/>
      <c r="M14" s="102"/>
      <c r="N14" s="102"/>
    </row>
    <row r="15" spans="1:15" ht="42.75" customHeight="1" x14ac:dyDescent="0.25">
      <c r="B15" s="19"/>
      <c r="C15" s="27"/>
      <c r="D15" s="28">
        <v>0.26</v>
      </c>
      <c r="E15" s="102" t="s">
        <v>25</v>
      </c>
      <c r="F15" s="102"/>
      <c r="G15" s="102"/>
      <c r="H15" s="102"/>
      <c r="I15" s="102"/>
      <c r="J15" s="102"/>
      <c r="K15" s="102"/>
      <c r="L15" s="102"/>
      <c r="M15" s="102"/>
      <c r="N15" s="102"/>
    </row>
    <row r="16" spans="1:15" ht="42.75" customHeight="1" x14ac:dyDescent="0.25">
      <c r="B16" s="19"/>
      <c r="C16" s="27"/>
      <c r="D16" s="28">
        <v>0.5</v>
      </c>
      <c r="E16" s="102" t="s">
        <v>26</v>
      </c>
      <c r="F16" s="102"/>
      <c r="G16" s="102"/>
      <c r="H16" s="102"/>
      <c r="I16" s="102"/>
      <c r="J16" s="102"/>
      <c r="K16" s="102"/>
      <c r="L16" s="102"/>
      <c r="M16" s="102"/>
      <c r="N16" s="102"/>
    </row>
    <row r="17" spans="1:17" ht="42.75" customHeight="1" x14ac:dyDescent="0.25">
      <c r="B17" s="19"/>
      <c r="C17" s="27"/>
      <c r="D17" s="28">
        <v>0.2</v>
      </c>
      <c r="E17" s="102" t="s">
        <v>27</v>
      </c>
      <c r="F17" s="102"/>
      <c r="G17" s="102"/>
      <c r="H17" s="102"/>
      <c r="I17" s="102"/>
      <c r="J17" s="102"/>
      <c r="K17" s="102"/>
      <c r="L17" s="102"/>
      <c r="M17" s="102"/>
      <c r="N17" s="102"/>
    </row>
    <row r="18" spans="1:17" ht="42.75" customHeight="1" x14ac:dyDescent="0.25">
      <c r="B18" s="19"/>
      <c r="C18" s="27"/>
      <c r="D18" s="29">
        <v>2.2999999999999998</v>
      </c>
      <c r="E18" s="102" t="s">
        <v>28</v>
      </c>
      <c r="F18" s="102"/>
      <c r="G18" s="102"/>
      <c r="H18" s="102"/>
      <c r="I18" s="102"/>
      <c r="J18" s="102"/>
      <c r="K18" s="102"/>
      <c r="L18" s="102"/>
      <c r="M18" s="102"/>
      <c r="N18" s="102"/>
    </row>
    <row r="19" spans="1:17" ht="42.75" customHeight="1" x14ac:dyDescent="0.25">
      <c r="B19" s="19"/>
      <c r="C19" s="27"/>
      <c r="D19" s="28">
        <f>(20000*1.25)/257000</f>
        <v>9.727626459143969E-2</v>
      </c>
      <c r="E19" s="102" t="s">
        <v>29</v>
      </c>
      <c r="F19" s="102"/>
      <c r="G19" s="102"/>
      <c r="H19" s="102"/>
      <c r="I19" s="102"/>
      <c r="J19" s="102"/>
      <c r="K19" s="102"/>
      <c r="L19" s="102"/>
      <c r="M19" s="102"/>
      <c r="N19" s="102"/>
    </row>
    <row r="20" spans="1:17" ht="42.75" customHeight="1" x14ac:dyDescent="0.25">
      <c r="B20" s="21">
        <f>B11*B13</f>
        <v>71060</v>
      </c>
      <c r="C20" s="93" t="s">
        <v>61</v>
      </c>
      <c r="D20" s="94"/>
      <c r="E20" s="94"/>
      <c r="F20" s="94"/>
      <c r="G20" s="94"/>
      <c r="H20" s="94"/>
      <c r="I20" s="94"/>
      <c r="J20" s="94"/>
      <c r="K20" s="94"/>
      <c r="L20" s="94"/>
      <c r="M20" s="94"/>
      <c r="N20" s="94"/>
      <c r="O20" s="127">
        <f>B20/regional_res_heat_mmbtu</f>
        <v>0.1</v>
      </c>
    </row>
    <row r="21" spans="1:17" x14ac:dyDescent="0.25">
      <c r="B21" s="19"/>
      <c r="C21" s="24"/>
      <c r="D21" s="24"/>
      <c r="E21" s="24"/>
      <c r="F21" s="24"/>
      <c r="G21" s="24"/>
      <c r="H21" s="24"/>
    </row>
    <row r="22" spans="1:17" ht="18.75" x14ac:dyDescent="0.3">
      <c r="B22" s="22"/>
      <c r="C22" s="2" t="s">
        <v>30</v>
      </c>
    </row>
    <row r="23" spans="1:17" ht="15.75" x14ac:dyDescent="0.25">
      <c r="B23" s="22"/>
      <c r="C23" s="30"/>
    </row>
    <row r="24" spans="1:17" ht="44.25" customHeight="1" x14ac:dyDescent="0.25">
      <c r="A24" s="22">
        <v>1</v>
      </c>
      <c r="B24" s="23">
        <f ca="1">K43</f>
        <v>1</v>
      </c>
      <c r="C24" s="95" t="s">
        <v>373</v>
      </c>
      <c r="D24" s="94"/>
      <c r="E24" s="94"/>
      <c r="F24" s="94"/>
      <c r="G24" s="94"/>
      <c r="H24" s="94"/>
      <c r="I24" s="94"/>
      <c r="J24" s="94"/>
      <c r="K24" s="94"/>
      <c r="L24" s="94"/>
      <c r="M24" s="94"/>
      <c r="N24" s="94"/>
      <c r="O24" s="109">
        <f ca="1">B24/regional_com_bldgs</f>
        <v>0.1</v>
      </c>
    </row>
    <row r="25" spans="1:17" s="16" customFormat="1" ht="32.25" customHeight="1" x14ac:dyDescent="0.25">
      <c r="A25" s="22"/>
      <c r="B25" s="22"/>
      <c r="D25" s="16" t="s">
        <v>2</v>
      </c>
      <c r="E25" s="31" t="s">
        <v>31</v>
      </c>
      <c r="G25" s="16" t="s">
        <v>32</v>
      </c>
    </row>
    <row r="26" spans="1:17" ht="99.75" customHeight="1" x14ac:dyDescent="0.25">
      <c r="A26" s="22">
        <v>2</v>
      </c>
      <c r="B26" s="23">
        <f ca="1">L43</f>
        <v>295.29602737736008</v>
      </c>
      <c r="C26" s="105" t="s">
        <v>392</v>
      </c>
      <c r="D26" s="106"/>
      <c r="E26" s="106"/>
      <c r="F26" s="106"/>
      <c r="G26" s="106"/>
      <c r="H26" s="106"/>
      <c r="I26" s="106"/>
      <c r="J26" s="106"/>
      <c r="K26" s="106"/>
      <c r="L26" s="106"/>
      <c r="M26" s="106"/>
      <c r="N26" s="106"/>
      <c r="O26" s="108">
        <f ca="1">B26*O24</f>
        <v>29.52960273773601</v>
      </c>
    </row>
    <row r="27" spans="1:17" x14ac:dyDescent="0.25">
      <c r="B27" s="22"/>
    </row>
    <row r="28" spans="1:17" ht="54" customHeight="1" x14ac:dyDescent="0.25">
      <c r="B28" s="22"/>
      <c r="D28" s="32" t="s">
        <v>33</v>
      </c>
      <c r="E28" s="33" t="s">
        <v>34</v>
      </c>
      <c r="F28" s="33" t="s">
        <v>350</v>
      </c>
      <c r="G28" s="33" t="s">
        <v>35</v>
      </c>
      <c r="H28" s="33" t="s">
        <v>351</v>
      </c>
      <c r="I28" s="33" t="s">
        <v>352</v>
      </c>
      <c r="J28" s="33" t="s">
        <v>353</v>
      </c>
      <c r="K28" s="33" t="s">
        <v>354</v>
      </c>
      <c r="L28" s="34" t="s">
        <v>355</v>
      </c>
      <c r="N28" s="68"/>
    </row>
    <row r="29" spans="1:17" ht="47.25" customHeight="1" x14ac:dyDescent="0.25">
      <c r="B29" s="22"/>
      <c r="C29">
        <v>1</v>
      </c>
      <c r="D29" s="35" t="s">
        <v>36</v>
      </c>
      <c r="E29" s="36">
        <v>1418</v>
      </c>
      <c r="F29" s="69">
        <f>E29/$E$43</f>
        <v>7.6166944190793368E-2</v>
      </c>
      <c r="G29" s="36">
        <v>9210</v>
      </c>
      <c r="H29" s="36">
        <f t="shared" ref="H29:H42" si="0">G29/E29</f>
        <v>6.4950634696755998</v>
      </c>
      <c r="I29" s="36">
        <f>H29/SUM($H$29:$H$42)*$I$43</f>
        <v>506702.40423687408</v>
      </c>
      <c r="J29" s="36">
        <f>I29/E29</f>
        <v>357.33596913742883</v>
      </c>
      <c r="K29" s="36">
        <f ca="1">INDEX(OFFSET(town_establishments[42. Wholesale trade],,C29-$C$29),MATCH($M$3,town_establishments[Municipality],0),)</f>
        <v>0</v>
      </c>
      <c r="L29" s="37">
        <f ca="1">IF(K29="","",K29/$K$43)</f>
        <v>0</v>
      </c>
      <c r="Q29" s="18"/>
    </row>
    <row r="30" spans="1:17" ht="47.25" customHeight="1" x14ac:dyDescent="0.25">
      <c r="B30" s="22"/>
      <c r="C30">
        <v>2</v>
      </c>
      <c r="D30" s="38" t="s">
        <v>37</v>
      </c>
      <c r="E30" s="39">
        <v>3134</v>
      </c>
      <c r="F30" s="70">
        <f t="shared" ref="F30:F42" si="1">E30/$E$43</f>
        <v>0.1683407638180158</v>
      </c>
      <c r="G30" s="39">
        <v>37178</v>
      </c>
      <c r="H30" s="39">
        <f t="shared" si="0"/>
        <v>11.862795149968091</v>
      </c>
      <c r="I30" s="39">
        <f t="shared" ref="I30:I42" si="2">H30/SUM($H$29:$H$42)*$I$43</f>
        <v>925457.74980064656</v>
      </c>
      <c r="J30" s="39">
        <f t="shared" ref="J30:J42" si="3">I30/E30</f>
        <v>295.29602737736008</v>
      </c>
      <c r="K30" s="39">
        <f ca="1">INDEX(OFFSET(town_establishments[42. Wholesale trade],,C30-$C$29),MATCH($M$3,town_establishments[Municipality],0),)</f>
        <v>1</v>
      </c>
      <c r="L30" s="40">
        <f t="shared" ref="L30:L42" ca="1" si="4">IF(K30="","",K30/$K$43)</f>
        <v>1</v>
      </c>
      <c r="Q30" s="18"/>
    </row>
    <row r="31" spans="1:17" ht="47.25" customHeight="1" x14ac:dyDescent="0.25">
      <c r="B31" s="22"/>
      <c r="C31">
        <v>3</v>
      </c>
      <c r="D31" s="38" t="s">
        <v>38</v>
      </c>
      <c r="E31" s="39">
        <v>549</v>
      </c>
      <c r="F31" s="70">
        <f t="shared" si="1"/>
        <v>2.9489176559058923E-2</v>
      </c>
      <c r="G31" s="39">
        <v>6436</v>
      </c>
      <c r="H31" s="39">
        <f t="shared" si="0"/>
        <v>11.723132969034609</v>
      </c>
      <c r="I31" s="39">
        <f t="shared" si="2"/>
        <v>914562.21918876551</v>
      </c>
      <c r="J31" s="39">
        <f t="shared" si="3"/>
        <v>1665.8692517099553</v>
      </c>
      <c r="K31" s="39">
        <f ca="1">INDEX(OFFSET(town_establishments[42. Wholesale trade],,C31-$C$29),MATCH($M$3,town_establishments[Municipality],0),)</f>
        <v>0</v>
      </c>
      <c r="L31" s="40">
        <f t="shared" ca="1" si="4"/>
        <v>0</v>
      </c>
      <c r="Q31" s="18"/>
    </row>
    <row r="32" spans="1:17" ht="47.25" customHeight="1" x14ac:dyDescent="0.25">
      <c r="B32" s="22"/>
      <c r="C32">
        <v>4</v>
      </c>
      <c r="D32" s="38" t="s">
        <v>39</v>
      </c>
      <c r="E32" s="39">
        <v>483</v>
      </c>
      <c r="F32" s="70">
        <f t="shared" si="1"/>
        <v>2.5944029650319601E-2</v>
      </c>
      <c r="G32" s="39">
        <v>4689</v>
      </c>
      <c r="H32" s="39">
        <f t="shared" si="0"/>
        <v>9.70807453416149</v>
      </c>
      <c r="I32" s="39">
        <f t="shared" si="2"/>
        <v>757360.52925993747</v>
      </c>
      <c r="J32" s="39">
        <f t="shared" si="3"/>
        <v>1568.0342220702639</v>
      </c>
      <c r="K32" s="39">
        <f ca="1">INDEX(OFFSET(town_establishments[42. Wholesale trade],,C32-$C$29),MATCH($M$3,town_establishments[Municipality],0),)</f>
        <v>0</v>
      </c>
      <c r="L32" s="40">
        <f t="shared" ca="1" si="4"/>
        <v>0</v>
      </c>
      <c r="Q32" s="18"/>
    </row>
    <row r="33" spans="2:19" ht="47.25" customHeight="1" x14ac:dyDescent="0.25">
      <c r="B33" s="22"/>
      <c r="C33">
        <v>5</v>
      </c>
      <c r="D33" s="41" t="s">
        <v>40</v>
      </c>
      <c r="E33" s="39">
        <v>944</v>
      </c>
      <c r="F33" s="70">
        <f t="shared" si="1"/>
        <v>5.0706343664392757E-2</v>
      </c>
      <c r="G33" s="39">
        <v>8692</v>
      </c>
      <c r="H33" s="39">
        <f t="shared" si="0"/>
        <v>9.2076271186440675</v>
      </c>
      <c r="I33" s="39">
        <f t="shared" si="2"/>
        <v>718318.89251216396</v>
      </c>
      <c r="J33" s="39">
        <f t="shared" si="3"/>
        <v>760.93103020356352</v>
      </c>
      <c r="K33" s="39">
        <f ca="1">INDEX(OFFSET(town_establishments[42. Wholesale trade],,C33-$C$29),MATCH($M$3,town_establishments[Municipality],0),)</f>
        <v>0</v>
      </c>
      <c r="L33" s="40">
        <f t="shared" ca="1" si="4"/>
        <v>0</v>
      </c>
      <c r="Q33" s="18"/>
    </row>
    <row r="34" spans="2:19" ht="47.25" customHeight="1" x14ac:dyDescent="0.25">
      <c r="B34" s="22"/>
      <c r="C34">
        <v>6</v>
      </c>
      <c r="D34" s="38" t="s">
        <v>41</v>
      </c>
      <c r="E34" s="39">
        <v>716</v>
      </c>
      <c r="F34" s="70">
        <f t="shared" si="1"/>
        <v>3.8459472525111456E-2</v>
      </c>
      <c r="G34" s="39">
        <v>2837</v>
      </c>
      <c r="H34" s="39">
        <f t="shared" si="0"/>
        <v>3.9622905027932962</v>
      </c>
      <c r="I34" s="39">
        <f t="shared" si="2"/>
        <v>309112.00997864484</v>
      </c>
      <c r="J34" s="39">
        <f t="shared" si="3"/>
        <v>431.72068432771624</v>
      </c>
      <c r="K34" s="39">
        <f ca="1">INDEX(OFFSET(town_establishments[42. Wholesale trade],,C34-$C$29),MATCH($M$3,town_establishments[Municipality],0),)</f>
        <v>0</v>
      </c>
      <c r="L34" s="40">
        <f t="shared" ca="1" si="4"/>
        <v>0</v>
      </c>
      <c r="Q34" s="18"/>
    </row>
    <row r="35" spans="2:19" ht="47.25" customHeight="1" x14ac:dyDescent="0.25">
      <c r="B35" s="22"/>
      <c r="C35">
        <v>7</v>
      </c>
      <c r="D35" s="41" t="s">
        <v>42</v>
      </c>
      <c r="E35" s="39">
        <v>3170</v>
      </c>
      <c r="F35" s="70">
        <f t="shared" si="1"/>
        <v>0.1702744803136918</v>
      </c>
      <c r="G35" s="39">
        <v>14050</v>
      </c>
      <c r="H35" s="39">
        <f t="shared" si="0"/>
        <v>4.4321766561514195</v>
      </c>
      <c r="I35" s="39">
        <f t="shared" si="2"/>
        <v>345769.45678201987</v>
      </c>
      <c r="J35" s="39">
        <f t="shared" si="3"/>
        <v>109.07553841704097</v>
      </c>
      <c r="K35" s="39">
        <f ca="1">INDEX(OFFSET(town_establishments[42. Wholesale trade],,C35-$C$29),MATCH($M$3,town_establishments[Municipality],0),)</f>
        <v>0</v>
      </c>
      <c r="L35" s="40">
        <f t="shared" ca="1" si="4"/>
        <v>0</v>
      </c>
      <c r="Q35" s="18"/>
    </row>
    <row r="36" spans="2:19" ht="47.25" customHeight="1" x14ac:dyDescent="0.25">
      <c r="B36" s="22"/>
      <c r="C36">
        <v>8</v>
      </c>
      <c r="D36" s="41" t="s">
        <v>43</v>
      </c>
      <c r="E36" s="39">
        <v>112</v>
      </c>
      <c r="F36" s="70">
        <f t="shared" si="1"/>
        <v>6.016006875436429E-3</v>
      </c>
      <c r="G36" s="39">
        <v>2213</v>
      </c>
      <c r="H36" s="39">
        <f t="shared" si="0"/>
        <v>19.758928571428573</v>
      </c>
      <c r="I36" s="39">
        <f t="shared" si="2"/>
        <v>1541462.4751600111</v>
      </c>
      <c r="J36" s="39">
        <f t="shared" si="3"/>
        <v>13763.05781392867</v>
      </c>
      <c r="K36" s="39">
        <f ca="1">INDEX(OFFSET(town_establishments[42. Wholesale trade],,C36-$C$29),MATCH($M$3,town_establishments[Municipality],0),)</f>
        <v>0</v>
      </c>
      <c r="L36" s="40">
        <f t="shared" ca="1" si="4"/>
        <v>0</v>
      </c>
      <c r="Q36" s="18"/>
    </row>
    <row r="37" spans="2:19" ht="47.25" customHeight="1" x14ac:dyDescent="0.25">
      <c r="B37" s="22"/>
      <c r="C37">
        <v>9</v>
      </c>
      <c r="D37" s="41" t="s">
        <v>44</v>
      </c>
      <c r="E37" s="39">
        <v>1580</v>
      </c>
      <c r="F37" s="70">
        <f t="shared" si="1"/>
        <v>8.4868668421335336E-2</v>
      </c>
      <c r="G37" s="39">
        <v>9665</v>
      </c>
      <c r="H37" s="39">
        <f t="shared" si="0"/>
        <v>6.1170886075949369</v>
      </c>
      <c r="I37" s="39">
        <f t="shared" si="2"/>
        <v>477215.27570432739</v>
      </c>
      <c r="J37" s="39">
        <f t="shared" si="3"/>
        <v>302.034984622992</v>
      </c>
      <c r="K37" s="39">
        <f ca="1">INDEX(OFFSET(town_establishments[42. Wholesale trade],,C37-$C$29),MATCH($M$3,town_establishments[Municipality],0),)</f>
        <v>0</v>
      </c>
      <c r="L37" s="40">
        <f t="shared" ca="1" si="4"/>
        <v>0</v>
      </c>
      <c r="Q37" s="18"/>
    </row>
    <row r="38" spans="2:19" ht="47.25" customHeight="1" x14ac:dyDescent="0.25">
      <c r="B38" s="22"/>
      <c r="C38">
        <v>10</v>
      </c>
      <c r="D38" s="38" t="s">
        <v>45</v>
      </c>
      <c r="E38" s="39">
        <v>422</v>
      </c>
      <c r="F38" s="70">
        <f t="shared" si="1"/>
        <v>2.2667454477090832E-2</v>
      </c>
      <c r="G38" s="39">
        <v>10349</v>
      </c>
      <c r="H38" s="39">
        <f t="shared" si="0"/>
        <v>24.523696682464454</v>
      </c>
      <c r="I38" s="39">
        <f t="shared" si="2"/>
        <v>1913178.5436426576</v>
      </c>
      <c r="J38" s="39">
        <f t="shared" si="3"/>
        <v>4533.5984446508473</v>
      </c>
      <c r="K38" s="39">
        <f ca="1">INDEX(OFFSET(town_establishments[42. Wholesale trade],,C38-$C$29),MATCH($M$3,town_establishments[Municipality],0),)</f>
        <v>0</v>
      </c>
      <c r="L38" s="40">
        <f t="shared" ca="1" si="4"/>
        <v>0</v>
      </c>
      <c r="Q38" s="18"/>
    </row>
    <row r="39" spans="2:19" ht="47.25" customHeight="1" x14ac:dyDescent="0.25">
      <c r="B39" s="22"/>
      <c r="C39">
        <v>11</v>
      </c>
      <c r="D39" s="41" t="s">
        <v>46</v>
      </c>
      <c r="E39" s="39">
        <v>1888</v>
      </c>
      <c r="F39" s="70">
        <f t="shared" si="1"/>
        <v>0.10141268732878551</v>
      </c>
      <c r="G39" s="39">
        <v>49518</v>
      </c>
      <c r="H39" s="39">
        <f t="shared" si="0"/>
        <v>26.227754237288135</v>
      </c>
      <c r="I39" s="39">
        <f t="shared" si="2"/>
        <v>2046117.9774170117</v>
      </c>
      <c r="J39" s="39">
        <f t="shared" si="3"/>
        <v>1083.7489287166375</v>
      </c>
      <c r="K39" s="39">
        <f ca="1">INDEX(OFFSET(town_establishments[42. Wholesale trade],,C39-$C$29),MATCH($M$3,town_establishments[Municipality],0),)</f>
        <v>0</v>
      </c>
      <c r="L39" s="40">
        <f t="shared" ca="1" si="4"/>
        <v>0</v>
      </c>
      <c r="Q39" s="18"/>
    </row>
    <row r="40" spans="2:19" ht="47.25" customHeight="1" x14ac:dyDescent="0.25">
      <c r="B40" s="22"/>
      <c r="C40">
        <v>12</v>
      </c>
      <c r="D40" s="41" t="s">
        <v>47</v>
      </c>
      <c r="E40" s="39">
        <v>412</v>
      </c>
      <c r="F40" s="70">
        <f t="shared" si="1"/>
        <v>2.2130311006069721E-2</v>
      </c>
      <c r="G40" s="39">
        <v>3869</v>
      </c>
      <c r="H40" s="39">
        <f t="shared" si="0"/>
        <v>9.3907766990291268</v>
      </c>
      <c r="I40" s="39">
        <f t="shared" si="2"/>
        <v>732607.02582284878</v>
      </c>
      <c r="J40" s="39">
        <f t="shared" si="3"/>
        <v>1778.1723927739049</v>
      </c>
      <c r="K40" s="39">
        <f ca="1">INDEX(OFFSET(town_establishments[42. Wholesale trade],,C40-$C$29),MATCH($M$3,town_establishments[Municipality],0),)</f>
        <v>0</v>
      </c>
      <c r="L40" s="40">
        <f t="shared" ca="1" si="4"/>
        <v>0</v>
      </c>
      <c r="Q40" s="18"/>
    </row>
    <row r="41" spans="2:19" ht="47.25" customHeight="1" x14ac:dyDescent="0.25">
      <c r="B41" s="22"/>
      <c r="C41">
        <v>13</v>
      </c>
      <c r="D41" s="38" t="s">
        <v>48</v>
      </c>
      <c r="E41" s="39">
        <v>1807</v>
      </c>
      <c r="F41" s="70">
        <f t="shared" si="1"/>
        <v>9.706182521351453E-2</v>
      </c>
      <c r="G41" s="39">
        <v>33991</v>
      </c>
      <c r="H41" s="39">
        <f t="shared" si="0"/>
        <v>18.810736026563365</v>
      </c>
      <c r="I41" s="39">
        <f t="shared" si="2"/>
        <v>1467490.6896022826</v>
      </c>
      <c r="J41" s="39">
        <f t="shared" si="3"/>
        <v>812.11438273507611</v>
      </c>
      <c r="K41" s="39">
        <f ca="1">INDEX(OFFSET(town_establishments[42. Wholesale trade],,C41-$C$29),MATCH($M$3,town_establishments[Municipality],0),)</f>
        <v>0</v>
      </c>
      <c r="L41" s="40">
        <f t="shared" ca="1" si="4"/>
        <v>0</v>
      </c>
      <c r="Q41" s="18"/>
    </row>
    <row r="42" spans="2:19" ht="47.25" customHeight="1" x14ac:dyDescent="0.25">
      <c r="B42" s="22"/>
      <c r="C42">
        <v>14</v>
      </c>
      <c r="D42" s="41" t="s">
        <v>49</v>
      </c>
      <c r="E42" s="39">
        <v>1982</v>
      </c>
      <c r="F42" s="70">
        <f t="shared" si="1"/>
        <v>0.10646183595638395</v>
      </c>
      <c r="G42" s="39">
        <v>8756</v>
      </c>
      <c r="H42" s="39">
        <f t="shared" si="0"/>
        <v>4.4177598385469219</v>
      </c>
      <c r="I42" s="39">
        <f t="shared" si="2"/>
        <v>344644.75089180813</v>
      </c>
      <c r="J42" s="39">
        <f t="shared" si="3"/>
        <v>173.88736170121501</v>
      </c>
      <c r="K42" s="39">
        <f ca="1">INDEX(OFFSET(town_establishments[42. Wholesale trade],,C42-$C$29),MATCH($M$3,town_establishments[Municipality],0),)</f>
        <v>0</v>
      </c>
      <c r="L42" s="40">
        <f t="shared" ca="1" si="4"/>
        <v>0</v>
      </c>
      <c r="Q42" s="18"/>
    </row>
    <row r="43" spans="2:19" ht="33" customHeight="1" x14ac:dyDescent="0.25">
      <c r="B43" s="22"/>
      <c r="D43" s="42"/>
      <c r="E43" s="45">
        <f>SUM(E29:E42)</f>
        <v>18617</v>
      </c>
      <c r="F43" s="45"/>
      <c r="G43" s="45">
        <f>SUM(G29:G42)</f>
        <v>201453</v>
      </c>
      <c r="H43" s="43"/>
      <c r="I43" s="44">
        <v>13000000</v>
      </c>
      <c r="J43" s="43"/>
      <c r="K43" s="45">
        <f ca="1">SUM(K29:K42)</f>
        <v>1</v>
      </c>
      <c r="L43" s="46">
        <f ca="1">SUMPRODUCT(J29:J42,L29:L42)</f>
        <v>295.29602737736008</v>
      </c>
      <c r="M43" s="103" t="s">
        <v>356</v>
      </c>
      <c r="N43" s="104"/>
      <c r="O43" s="104"/>
      <c r="P43" s="104"/>
      <c r="Q43" s="104"/>
      <c r="R43" s="104"/>
      <c r="S43" s="104"/>
    </row>
    <row r="44" spans="2:19" ht="22.5" customHeight="1" x14ac:dyDescent="0.25">
      <c r="B44" s="22"/>
    </row>
    <row r="45" spans="2:19" ht="37.5" customHeight="1" x14ac:dyDescent="0.25">
      <c r="B45" s="21">
        <f ca="1">B24*B26</f>
        <v>295.29602737736008</v>
      </c>
      <c r="C45" s="93" t="s">
        <v>62</v>
      </c>
      <c r="D45" s="94"/>
      <c r="E45" s="94"/>
      <c r="F45" s="94"/>
      <c r="G45" s="94"/>
      <c r="H45" s="94"/>
      <c r="I45" s="94"/>
      <c r="J45" s="94"/>
      <c r="K45" s="94"/>
      <c r="L45" s="94"/>
      <c r="M45" s="94"/>
      <c r="N45" s="94"/>
      <c r="O45" s="127">
        <f ca="1">B45/regional_com_heat_mmbtu</f>
        <v>9.9999999999999992E-2</v>
      </c>
    </row>
    <row r="54" spans="4:4" x14ac:dyDescent="0.25">
      <c r="D54" s="18"/>
    </row>
  </sheetData>
  <mergeCells count="20">
    <mergeCell ref="M3:N3"/>
    <mergeCell ref="B3:L3"/>
    <mergeCell ref="B5:M5"/>
    <mergeCell ref="E12:F12"/>
    <mergeCell ref="G12:N12"/>
    <mergeCell ref="B4:N4"/>
    <mergeCell ref="C7:N7"/>
    <mergeCell ref="C11:N11"/>
    <mergeCell ref="C45:N45"/>
    <mergeCell ref="C13:N13"/>
    <mergeCell ref="E14:N14"/>
    <mergeCell ref="E15:N15"/>
    <mergeCell ref="E16:N16"/>
    <mergeCell ref="E17:N17"/>
    <mergeCell ref="E18:N18"/>
    <mergeCell ref="E19:N19"/>
    <mergeCell ref="C20:N20"/>
    <mergeCell ref="C24:N24"/>
    <mergeCell ref="C26:N26"/>
    <mergeCell ref="M43:S43"/>
  </mergeCells>
  <dataValidations count="1">
    <dataValidation type="list" allowBlank="1" showInputMessage="1" showErrorMessage="1" sqref="M3:N3">
      <formula1>INDIRECT("town_population[Municipality]")</formula1>
    </dataValidation>
  </dataValidations>
  <hyperlinks>
    <hyperlink ref="E12" r:id="rId1" display="Census data"/>
    <hyperlink ref="E25" r:id="rId2" display="Vermont Dept of Labor website"/>
  </hyperlinks>
  <pageMargins left="0.7" right="0.7" top="0.75" bottom="0.75" header="0.3" footer="0.3"/>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autoPageBreaks="0"/>
  </sheetPr>
  <dimension ref="A1:S54"/>
  <sheetViews>
    <sheetView zoomScale="70" zoomScaleNormal="70" workbookViewId="0">
      <selection activeCell="B4" sqref="B4:N4"/>
    </sheetView>
  </sheetViews>
  <sheetFormatPr defaultRowHeight="15" x14ac:dyDescent="0.25"/>
  <cols>
    <col min="1" max="1" width="2.5703125" style="22" customWidth="1"/>
    <col min="2" max="12" width="15.140625" customWidth="1"/>
    <col min="13" max="14" width="14.5703125" customWidth="1"/>
    <col min="15" max="15" width="11.85546875" customWidth="1"/>
  </cols>
  <sheetData>
    <row r="1" spans="1:15" ht="21" x14ac:dyDescent="0.35">
      <c r="A1" s="19"/>
      <c r="B1" s="20" t="s">
        <v>53</v>
      </c>
    </row>
    <row r="2" spans="1:15" x14ac:dyDescent="0.25">
      <c r="A2" s="19"/>
      <c r="B2" s="4"/>
    </row>
    <row r="3" spans="1:15" ht="24.75" customHeight="1" x14ac:dyDescent="0.25">
      <c r="A3" s="19"/>
      <c r="B3" s="86" t="s">
        <v>382</v>
      </c>
      <c r="C3" s="87"/>
      <c r="D3" s="87"/>
      <c r="E3" s="87"/>
      <c r="F3" s="87"/>
      <c r="G3" s="87"/>
      <c r="H3" s="87"/>
      <c r="I3" s="87"/>
      <c r="J3" s="87"/>
      <c r="K3" s="87"/>
      <c r="L3" s="110"/>
      <c r="M3" s="107" t="s">
        <v>264</v>
      </c>
      <c r="N3" s="107"/>
    </row>
    <row r="4" spans="1:15" ht="24.75" customHeight="1" x14ac:dyDescent="0.25">
      <c r="A4" s="19"/>
      <c r="B4" s="88" t="s">
        <v>383</v>
      </c>
      <c r="C4" s="89"/>
      <c r="D4" s="89"/>
      <c r="E4" s="89"/>
      <c r="F4" s="89"/>
      <c r="G4" s="89"/>
      <c r="H4" s="89"/>
      <c r="I4" s="89"/>
      <c r="J4" s="89"/>
      <c r="K4" s="89"/>
      <c r="L4" s="89"/>
      <c r="M4" s="89"/>
      <c r="N4" s="90"/>
    </row>
    <row r="5" spans="1:15" ht="24.75" customHeight="1" x14ac:dyDescent="0.25">
      <c r="A5" s="19"/>
      <c r="B5" s="91" t="s">
        <v>381</v>
      </c>
      <c r="C5" s="92"/>
      <c r="D5" s="92"/>
      <c r="E5" s="92"/>
      <c r="F5" s="92"/>
      <c r="G5" s="92"/>
      <c r="H5" s="92"/>
      <c r="I5" s="92"/>
      <c r="J5" s="92"/>
      <c r="K5" s="92"/>
      <c r="L5" s="92"/>
      <c r="M5" s="111"/>
      <c r="N5" s="76" t="s">
        <v>372</v>
      </c>
    </row>
    <row r="6" spans="1:15" x14ac:dyDescent="0.25">
      <c r="A6" s="19"/>
    </row>
    <row r="7" spans="1:15" ht="42.75" customHeight="1" x14ac:dyDescent="0.25">
      <c r="A7" s="19"/>
      <c r="B7" s="21">
        <f ca="1">SUM(B20,B45)</f>
        <v>71355.296027377364</v>
      </c>
      <c r="C7" s="93" t="s">
        <v>391</v>
      </c>
      <c r="D7" s="94"/>
      <c r="E7" s="94"/>
      <c r="F7" s="94"/>
      <c r="G7" s="94"/>
      <c r="H7" s="94"/>
      <c r="I7" s="94"/>
      <c r="J7" s="94"/>
      <c r="K7" s="94"/>
      <c r="L7" s="94"/>
      <c r="M7" s="94"/>
      <c r="N7" s="94"/>
    </row>
    <row r="8" spans="1:15" x14ac:dyDescent="0.25">
      <c r="A8" s="19"/>
      <c r="B8" s="22"/>
    </row>
    <row r="9" spans="1:15" ht="18.75" x14ac:dyDescent="0.3">
      <c r="B9" s="22"/>
      <c r="C9" s="2" t="s">
        <v>20</v>
      </c>
    </row>
    <row r="10" spans="1:15" x14ac:dyDescent="0.25">
      <c r="B10" s="22"/>
      <c r="C10" s="5"/>
    </row>
    <row r="11" spans="1:15" ht="42.75" customHeight="1" x14ac:dyDescent="0.25">
      <c r="A11" s="22">
        <v>1</v>
      </c>
      <c r="B11" s="23">
        <v>646</v>
      </c>
      <c r="C11" s="95" t="s">
        <v>69</v>
      </c>
      <c r="D11" s="94"/>
      <c r="E11" s="94"/>
      <c r="F11" s="94"/>
      <c r="G11" s="94"/>
      <c r="H11" s="94"/>
      <c r="I11" s="94"/>
      <c r="J11" s="94"/>
      <c r="K11" s="94"/>
      <c r="L11" s="94"/>
      <c r="M11" s="94"/>
      <c r="N11" s="94"/>
      <c r="O11" s="28">
        <f>B11/regional_res_bldgs</f>
        <v>0.1</v>
      </c>
    </row>
    <row r="12" spans="1:15" ht="42.75" customHeight="1" x14ac:dyDescent="0.25">
      <c r="B12" s="19"/>
      <c r="C12" s="24"/>
      <c r="D12" s="59" t="s">
        <v>21</v>
      </c>
      <c r="E12" s="100" t="s">
        <v>3</v>
      </c>
      <c r="F12" s="100"/>
      <c r="G12" s="97" t="s">
        <v>22</v>
      </c>
      <c r="H12" s="97"/>
      <c r="I12" s="97"/>
      <c r="J12" s="97"/>
      <c r="K12" s="97"/>
      <c r="L12" s="97"/>
      <c r="M12" s="97"/>
      <c r="N12" s="97"/>
    </row>
    <row r="13" spans="1:15" ht="52.5" customHeight="1" x14ac:dyDescent="0.25">
      <c r="A13" s="22">
        <v>2</v>
      </c>
      <c r="B13" s="23">
        <v>110</v>
      </c>
      <c r="C13" s="101" t="s">
        <v>68</v>
      </c>
      <c r="D13" s="102"/>
      <c r="E13" s="102"/>
      <c r="F13" s="102"/>
      <c r="G13" s="102"/>
      <c r="H13" s="102"/>
      <c r="I13" s="102"/>
      <c r="J13" s="102"/>
      <c r="K13" s="102"/>
      <c r="L13" s="102"/>
      <c r="M13" s="102"/>
      <c r="N13" s="102"/>
      <c r="O13" s="62">
        <f>B13*O11</f>
        <v>11</v>
      </c>
    </row>
    <row r="14" spans="1:15" ht="42.75" customHeight="1" x14ac:dyDescent="0.25">
      <c r="B14" s="22"/>
      <c r="C14" s="25"/>
      <c r="D14" s="26" t="s">
        <v>23</v>
      </c>
      <c r="E14" s="102" t="s">
        <v>24</v>
      </c>
      <c r="F14" s="102"/>
      <c r="G14" s="102"/>
      <c r="H14" s="102"/>
      <c r="I14" s="102"/>
      <c r="J14" s="102"/>
      <c r="K14" s="102"/>
      <c r="L14" s="102"/>
      <c r="M14" s="102"/>
      <c r="N14" s="102"/>
    </row>
    <row r="15" spans="1:15" ht="42.75" customHeight="1" x14ac:dyDescent="0.25">
      <c r="B15" s="19"/>
      <c r="C15" s="27"/>
      <c r="D15" s="28">
        <v>0.26</v>
      </c>
      <c r="E15" s="102" t="s">
        <v>25</v>
      </c>
      <c r="F15" s="102"/>
      <c r="G15" s="102"/>
      <c r="H15" s="102"/>
      <c r="I15" s="102"/>
      <c r="J15" s="102"/>
      <c r="K15" s="102"/>
      <c r="L15" s="102"/>
      <c r="M15" s="102"/>
      <c r="N15" s="102"/>
    </row>
    <row r="16" spans="1:15" ht="42.75" customHeight="1" x14ac:dyDescent="0.25">
      <c r="B16" s="19"/>
      <c r="C16" s="27"/>
      <c r="D16" s="28">
        <v>0.5</v>
      </c>
      <c r="E16" s="102" t="s">
        <v>26</v>
      </c>
      <c r="F16" s="102"/>
      <c r="G16" s="102"/>
      <c r="H16" s="102"/>
      <c r="I16" s="102"/>
      <c r="J16" s="102"/>
      <c r="K16" s="102"/>
      <c r="L16" s="102"/>
      <c r="M16" s="102"/>
      <c r="N16" s="102"/>
    </row>
    <row r="17" spans="1:17" ht="42.75" customHeight="1" x14ac:dyDescent="0.25">
      <c r="B17" s="19"/>
      <c r="C17" s="27"/>
      <c r="D17" s="28">
        <v>0.2</v>
      </c>
      <c r="E17" s="102" t="s">
        <v>27</v>
      </c>
      <c r="F17" s="102"/>
      <c r="G17" s="102"/>
      <c r="H17" s="102"/>
      <c r="I17" s="102"/>
      <c r="J17" s="102"/>
      <c r="K17" s="102"/>
      <c r="L17" s="102"/>
      <c r="M17" s="102"/>
      <c r="N17" s="102"/>
    </row>
    <row r="18" spans="1:17" ht="42.75" customHeight="1" x14ac:dyDescent="0.25">
      <c r="B18" s="19"/>
      <c r="C18" s="27"/>
      <c r="D18" s="29">
        <v>2.2999999999999998</v>
      </c>
      <c r="E18" s="102" t="s">
        <v>28</v>
      </c>
      <c r="F18" s="102"/>
      <c r="G18" s="102"/>
      <c r="H18" s="102"/>
      <c r="I18" s="102"/>
      <c r="J18" s="102"/>
      <c r="K18" s="102"/>
      <c r="L18" s="102"/>
      <c r="M18" s="102"/>
      <c r="N18" s="102"/>
    </row>
    <row r="19" spans="1:17" ht="42.75" customHeight="1" x14ac:dyDescent="0.25">
      <c r="B19" s="19"/>
      <c r="C19" s="27"/>
      <c r="D19" s="28">
        <f>(20000*1.25)/257000</f>
        <v>9.727626459143969E-2</v>
      </c>
      <c r="E19" s="102" t="s">
        <v>29</v>
      </c>
      <c r="F19" s="102"/>
      <c r="G19" s="102"/>
      <c r="H19" s="102"/>
      <c r="I19" s="102"/>
      <c r="J19" s="102"/>
      <c r="K19" s="102"/>
      <c r="L19" s="102"/>
      <c r="M19" s="102"/>
      <c r="N19" s="102"/>
    </row>
    <row r="20" spans="1:17" ht="42.75" customHeight="1" x14ac:dyDescent="0.25">
      <c r="B20" s="21">
        <f>B11*B13</f>
        <v>71060</v>
      </c>
      <c r="C20" s="93" t="s">
        <v>61</v>
      </c>
      <c r="D20" s="94"/>
      <c r="E20" s="94"/>
      <c r="F20" s="94"/>
      <c r="G20" s="94"/>
      <c r="H20" s="94"/>
      <c r="I20" s="94"/>
      <c r="J20" s="94"/>
      <c r="K20" s="94"/>
      <c r="L20" s="94"/>
      <c r="M20" s="94"/>
      <c r="N20" s="94"/>
      <c r="O20" s="127">
        <f>B20/regional_res_heat_mmbtu</f>
        <v>0.1</v>
      </c>
    </row>
    <row r="21" spans="1:17" x14ac:dyDescent="0.25">
      <c r="B21" s="19"/>
      <c r="C21" s="24"/>
      <c r="D21" s="24"/>
      <c r="E21" s="24"/>
      <c r="F21" s="24"/>
      <c r="G21" s="24"/>
      <c r="H21" s="24"/>
    </row>
    <row r="22" spans="1:17" ht="18.75" x14ac:dyDescent="0.3">
      <c r="B22" s="22"/>
      <c r="C22" s="2" t="s">
        <v>30</v>
      </c>
    </row>
    <row r="23" spans="1:17" ht="15.75" x14ac:dyDescent="0.25">
      <c r="B23" s="22"/>
      <c r="C23" s="30"/>
    </row>
    <row r="24" spans="1:17" ht="44.25" customHeight="1" x14ac:dyDescent="0.25">
      <c r="A24" s="22">
        <v>1</v>
      </c>
      <c r="B24" s="23">
        <f ca="1">K43</f>
        <v>1</v>
      </c>
      <c r="C24" s="95" t="s">
        <v>373</v>
      </c>
      <c r="D24" s="94"/>
      <c r="E24" s="94"/>
      <c r="F24" s="94"/>
      <c r="G24" s="94"/>
      <c r="H24" s="94"/>
      <c r="I24" s="94"/>
      <c r="J24" s="94"/>
      <c r="K24" s="94"/>
      <c r="L24" s="94"/>
      <c r="M24" s="94"/>
      <c r="N24" s="94"/>
      <c r="O24" s="109">
        <f ca="1">B24/regional_com_bldgs</f>
        <v>0.1</v>
      </c>
    </row>
    <row r="25" spans="1:17" s="16" customFormat="1" ht="32.25" customHeight="1" x14ac:dyDescent="0.25">
      <c r="A25" s="22"/>
      <c r="B25" s="22"/>
      <c r="D25" s="16" t="s">
        <v>2</v>
      </c>
      <c r="E25" s="31" t="s">
        <v>31</v>
      </c>
      <c r="G25" s="16" t="s">
        <v>32</v>
      </c>
    </row>
    <row r="26" spans="1:17" ht="99.75" customHeight="1" x14ac:dyDescent="0.25">
      <c r="A26" s="22">
        <v>2</v>
      </c>
      <c r="B26" s="23">
        <f ca="1">L43</f>
        <v>295.29602737736008</v>
      </c>
      <c r="C26" s="105" t="s">
        <v>392</v>
      </c>
      <c r="D26" s="106"/>
      <c r="E26" s="106"/>
      <c r="F26" s="106"/>
      <c r="G26" s="106"/>
      <c r="H26" s="106"/>
      <c r="I26" s="106"/>
      <c r="J26" s="106"/>
      <c r="K26" s="106"/>
      <c r="L26" s="106"/>
      <c r="M26" s="106"/>
      <c r="N26" s="106"/>
      <c r="O26" s="108">
        <f ca="1">B26*O24</f>
        <v>29.52960273773601</v>
      </c>
    </row>
    <row r="27" spans="1:17" x14ac:dyDescent="0.25">
      <c r="B27" s="22"/>
    </row>
    <row r="28" spans="1:17" ht="54" customHeight="1" x14ac:dyDescent="0.25">
      <c r="B28" s="22"/>
      <c r="D28" s="32" t="s">
        <v>33</v>
      </c>
      <c r="E28" s="33" t="s">
        <v>34</v>
      </c>
      <c r="F28" s="33" t="s">
        <v>350</v>
      </c>
      <c r="G28" s="33" t="s">
        <v>35</v>
      </c>
      <c r="H28" s="33" t="s">
        <v>351</v>
      </c>
      <c r="I28" s="33" t="s">
        <v>352</v>
      </c>
      <c r="J28" s="33" t="s">
        <v>353</v>
      </c>
      <c r="K28" s="33" t="s">
        <v>354</v>
      </c>
      <c r="L28" s="34" t="s">
        <v>355</v>
      </c>
      <c r="N28" s="68"/>
    </row>
    <row r="29" spans="1:17" ht="47.25" customHeight="1" x14ac:dyDescent="0.25">
      <c r="B29" s="22"/>
      <c r="C29">
        <v>1</v>
      </c>
      <c r="D29" s="35" t="s">
        <v>36</v>
      </c>
      <c r="E29" s="36">
        <v>1418</v>
      </c>
      <c r="F29" s="69">
        <f>E29/$E$43</f>
        <v>7.6166944190793368E-2</v>
      </c>
      <c r="G29" s="36">
        <v>9210</v>
      </c>
      <c r="H29" s="36">
        <f t="shared" ref="H29:H42" si="0">G29/E29</f>
        <v>6.4950634696755998</v>
      </c>
      <c r="I29" s="36">
        <f>H29/SUM($H$29:$H$42)*$I$43</f>
        <v>506702.40423687408</v>
      </c>
      <c r="J29" s="36">
        <f>I29/E29</f>
        <v>357.33596913742883</v>
      </c>
      <c r="K29" s="36">
        <f ca="1">INDEX(OFFSET(town_establishments[42. Wholesale trade],,C29-$C$29),MATCH($M$3,town_establishments[Municipality],0),)</f>
        <v>0</v>
      </c>
      <c r="L29" s="37">
        <f ca="1">IF(K29="","",K29/$K$43)</f>
        <v>0</v>
      </c>
      <c r="Q29" s="18"/>
    </row>
    <row r="30" spans="1:17" ht="47.25" customHeight="1" x14ac:dyDescent="0.25">
      <c r="B30" s="22"/>
      <c r="C30">
        <v>2</v>
      </c>
      <c r="D30" s="38" t="s">
        <v>37</v>
      </c>
      <c r="E30" s="39">
        <v>3134</v>
      </c>
      <c r="F30" s="70">
        <f t="shared" ref="F30:F42" si="1">E30/$E$43</f>
        <v>0.1683407638180158</v>
      </c>
      <c r="G30" s="39">
        <v>37178</v>
      </c>
      <c r="H30" s="39">
        <f t="shared" si="0"/>
        <v>11.862795149968091</v>
      </c>
      <c r="I30" s="39">
        <f t="shared" ref="I30:I42" si="2">H30/SUM($H$29:$H$42)*$I$43</f>
        <v>925457.74980064656</v>
      </c>
      <c r="J30" s="39">
        <f t="shared" ref="J30:J42" si="3">I30/E30</f>
        <v>295.29602737736008</v>
      </c>
      <c r="K30" s="39">
        <f ca="1">INDEX(OFFSET(town_establishments[42. Wholesale trade],,C30-$C$29),MATCH($M$3,town_establishments[Municipality],0),)</f>
        <v>1</v>
      </c>
      <c r="L30" s="40">
        <f t="shared" ref="L30:L42" ca="1" si="4">IF(K30="","",K30/$K$43)</f>
        <v>1</v>
      </c>
      <c r="Q30" s="18"/>
    </row>
    <row r="31" spans="1:17" ht="47.25" customHeight="1" x14ac:dyDescent="0.25">
      <c r="B31" s="22"/>
      <c r="C31">
        <v>3</v>
      </c>
      <c r="D31" s="38" t="s">
        <v>38</v>
      </c>
      <c r="E31" s="39">
        <v>549</v>
      </c>
      <c r="F31" s="70">
        <f t="shared" si="1"/>
        <v>2.9489176559058923E-2</v>
      </c>
      <c r="G31" s="39">
        <v>6436</v>
      </c>
      <c r="H31" s="39">
        <f t="shared" si="0"/>
        <v>11.723132969034609</v>
      </c>
      <c r="I31" s="39">
        <f t="shared" si="2"/>
        <v>914562.21918876551</v>
      </c>
      <c r="J31" s="39">
        <f t="shared" si="3"/>
        <v>1665.8692517099553</v>
      </c>
      <c r="K31" s="39">
        <f ca="1">INDEX(OFFSET(town_establishments[42. Wholesale trade],,C31-$C$29),MATCH($M$3,town_establishments[Municipality],0),)</f>
        <v>0</v>
      </c>
      <c r="L31" s="40">
        <f t="shared" ca="1" si="4"/>
        <v>0</v>
      </c>
      <c r="Q31" s="18"/>
    </row>
    <row r="32" spans="1:17" ht="47.25" customHeight="1" x14ac:dyDescent="0.25">
      <c r="B32" s="22"/>
      <c r="C32">
        <v>4</v>
      </c>
      <c r="D32" s="38" t="s">
        <v>39</v>
      </c>
      <c r="E32" s="39">
        <v>483</v>
      </c>
      <c r="F32" s="70">
        <f t="shared" si="1"/>
        <v>2.5944029650319601E-2</v>
      </c>
      <c r="G32" s="39">
        <v>4689</v>
      </c>
      <c r="H32" s="39">
        <f t="shared" si="0"/>
        <v>9.70807453416149</v>
      </c>
      <c r="I32" s="39">
        <f t="shared" si="2"/>
        <v>757360.52925993747</v>
      </c>
      <c r="J32" s="39">
        <f t="shared" si="3"/>
        <v>1568.0342220702639</v>
      </c>
      <c r="K32" s="39">
        <f ca="1">INDEX(OFFSET(town_establishments[42. Wholesale trade],,C32-$C$29),MATCH($M$3,town_establishments[Municipality],0),)</f>
        <v>0</v>
      </c>
      <c r="L32" s="40">
        <f t="shared" ca="1" si="4"/>
        <v>0</v>
      </c>
      <c r="Q32" s="18"/>
    </row>
    <row r="33" spans="2:19" ht="47.25" customHeight="1" x14ac:dyDescent="0.25">
      <c r="B33" s="22"/>
      <c r="C33">
        <v>5</v>
      </c>
      <c r="D33" s="41" t="s">
        <v>40</v>
      </c>
      <c r="E33" s="39">
        <v>944</v>
      </c>
      <c r="F33" s="70">
        <f t="shared" si="1"/>
        <v>5.0706343664392757E-2</v>
      </c>
      <c r="G33" s="39">
        <v>8692</v>
      </c>
      <c r="H33" s="39">
        <f t="shared" si="0"/>
        <v>9.2076271186440675</v>
      </c>
      <c r="I33" s="39">
        <f t="shared" si="2"/>
        <v>718318.89251216396</v>
      </c>
      <c r="J33" s="39">
        <f t="shared" si="3"/>
        <v>760.93103020356352</v>
      </c>
      <c r="K33" s="39">
        <f ca="1">INDEX(OFFSET(town_establishments[42. Wholesale trade],,C33-$C$29),MATCH($M$3,town_establishments[Municipality],0),)</f>
        <v>0</v>
      </c>
      <c r="L33" s="40">
        <f t="shared" ca="1" si="4"/>
        <v>0</v>
      </c>
      <c r="Q33" s="18"/>
    </row>
    <row r="34" spans="2:19" ht="47.25" customHeight="1" x14ac:dyDescent="0.25">
      <c r="B34" s="22"/>
      <c r="C34">
        <v>6</v>
      </c>
      <c r="D34" s="38" t="s">
        <v>41</v>
      </c>
      <c r="E34" s="39">
        <v>716</v>
      </c>
      <c r="F34" s="70">
        <f t="shared" si="1"/>
        <v>3.8459472525111456E-2</v>
      </c>
      <c r="G34" s="39">
        <v>2837</v>
      </c>
      <c r="H34" s="39">
        <f t="shared" si="0"/>
        <v>3.9622905027932962</v>
      </c>
      <c r="I34" s="39">
        <f t="shared" si="2"/>
        <v>309112.00997864484</v>
      </c>
      <c r="J34" s="39">
        <f t="shared" si="3"/>
        <v>431.72068432771624</v>
      </c>
      <c r="K34" s="39">
        <f ca="1">INDEX(OFFSET(town_establishments[42. Wholesale trade],,C34-$C$29),MATCH($M$3,town_establishments[Municipality],0),)</f>
        <v>0</v>
      </c>
      <c r="L34" s="40">
        <f t="shared" ca="1" si="4"/>
        <v>0</v>
      </c>
      <c r="Q34" s="18"/>
    </row>
    <row r="35" spans="2:19" ht="47.25" customHeight="1" x14ac:dyDescent="0.25">
      <c r="B35" s="22"/>
      <c r="C35">
        <v>7</v>
      </c>
      <c r="D35" s="41" t="s">
        <v>42</v>
      </c>
      <c r="E35" s="39">
        <v>3170</v>
      </c>
      <c r="F35" s="70">
        <f t="shared" si="1"/>
        <v>0.1702744803136918</v>
      </c>
      <c r="G35" s="39">
        <v>14050</v>
      </c>
      <c r="H35" s="39">
        <f t="shared" si="0"/>
        <v>4.4321766561514195</v>
      </c>
      <c r="I35" s="39">
        <f t="shared" si="2"/>
        <v>345769.45678201987</v>
      </c>
      <c r="J35" s="39">
        <f t="shared" si="3"/>
        <v>109.07553841704097</v>
      </c>
      <c r="K35" s="39">
        <f ca="1">INDEX(OFFSET(town_establishments[42. Wholesale trade],,C35-$C$29),MATCH($M$3,town_establishments[Municipality],0),)</f>
        <v>0</v>
      </c>
      <c r="L35" s="40">
        <f t="shared" ca="1" si="4"/>
        <v>0</v>
      </c>
      <c r="Q35" s="18"/>
    </row>
    <row r="36" spans="2:19" ht="47.25" customHeight="1" x14ac:dyDescent="0.25">
      <c r="B36" s="22"/>
      <c r="C36">
        <v>8</v>
      </c>
      <c r="D36" s="41" t="s">
        <v>43</v>
      </c>
      <c r="E36" s="39">
        <v>112</v>
      </c>
      <c r="F36" s="70">
        <f t="shared" si="1"/>
        <v>6.016006875436429E-3</v>
      </c>
      <c r="G36" s="39">
        <v>2213</v>
      </c>
      <c r="H36" s="39">
        <f t="shared" si="0"/>
        <v>19.758928571428573</v>
      </c>
      <c r="I36" s="39">
        <f t="shared" si="2"/>
        <v>1541462.4751600111</v>
      </c>
      <c r="J36" s="39">
        <f t="shared" si="3"/>
        <v>13763.05781392867</v>
      </c>
      <c r="K36" s="39">
        <f ca="1">INDEX(OFFSET(town_establishments[42. Wholesale trade],,C36-$C$29),MATCH($M$3,town_establishments[Municipality],0),)</f>
        <v>0</v>
      </c>
      <c r="L36" s="40">
        <f t="shared" ca="1" si="4"/>
        <v>0</v>
      </c>
      <c r="Q36" s="18"/>
    </row>
    <row r="37" spans="2:19" ht="47.25" customHeight="1" x14ac:dyDescent="0.25">
      <c r="B37" s="22"/>
      <c r="C37">
        <v>9</v>
      </c>
      <c r="D37" s="41" t="s">
        <v>44</v>
      </c>
      <c r="E37" s="39">
        <v>1580</v>
      </c>
      <c r="F37" s="70">
        <f t="shared" si="1"/>
        <v>8.4868668421335336E-2</v>
      </c>
      <c r="G37" s="39">
        <v>9665</v>
      </c>
      <c r="H37" s="39">
        <f t="shared" si="0"/>
        <v>6.1170886075949369</v>
      </c>
      <c r="I37" s="39">
        <f t="shared" si="2"/>
        <v>477215.27570432739</v>
      </c>
      <c r="J37" s="39">
        <f t="shared" si="3"/>
        <v>302.034984622992</v>
      </c>
      <c r="K37" s="39">
        <f ca="1">INDEX(OFFSET(town_establishments[42. Wholesale trade],,C37-$C$29),MATCH($M$3,town_establishments[Municipality],0),)</f>
        <v>0</v>
      </c>
      <c r="L37" s="40">
        <f t="shared" ca="1" si="4"/>
        <v>0</v>
      </c>
      <c r="Q37" s="18"/>
    </row>
    <row r="38" spans="2:19" ht="47.25" customHeight="1" x14ac:dyDescent="0.25">
      <c r="B38" s="22"/>
      <c r="C38">
        <v>10</v>
      </c>
      <c r="D38" s="38" t="s">
        <v>45</v>
      </c>
      <c r="E38" s="39">
        <v>422</v>
      </c>
      <c r="F38" s="70">
        <f t="shared" si="1"/>
        <v>2.2667454477090832E-2</v>
      </c>
      <c r="G38" s="39">
        <v>10349</v>
      </c>
      <c r="H38" s="39">
        <f t="shared" si="0"/>
        <v>24.523696682464454</v>
      </c>
      <c r="I38" s="39">
        <f t="shared" si="2"/>
        <v>1913178.5436426576</v>
      </c>
      <c r="J38" s="39">
        <f t="shared" si="3"/>
        <v>4533.5984446508473</v>
      </c>
      <c r="K38" s="39">
        <f ca="1">INDEX(OFFSET(town_establishments[42. Wholesale trade],,C38-$C$29),MATCH($M$3,town_establishments[Municipality],0),)</f>
        <v>0</v>
      </c>
      <c r="L38" s="40">
        <f t="shared" ca="1" si="4"/>
        <v>0</v>
      </c>
      <c r="Q38" s="18"/>
    </row>
    <row r="39" spans="2:19" ht="47.25" customHeight="1" x14ac:dyDescent="0.25">
      <c r="B39" s="22"/>
      <c r="C39">
        <v>11</v>
      </c>
      <c r="D39" s="41" t="s">
        <v>46</v>
      </c>
      <c r="E39" s="39">
        <v>1888</v>
      </c>
      <c r="F39" s="70">
        <f t="shared" si="1"/>
        <v>0.10141268732878551</v>
      </c>
      <c r="G39" s="39">
        <v>49518</v>
      </c>
      <c r="H39" s="39">
        <f t="shared" si="0"/>
        <v>26.227754237288135</v>
      </c>
      <c r="I39" s="39">
        <f t="shared" si="2"/>
        <v>2046117.9774170117</v>
      </c>
      <c r="J39" s="39">
        <f t="shared" si="3"/>
        <v>1083.7489287166375</v>
      </c>
      <c r="K39" s="39">
        <f ca="1">INDEX(OFFSET(town_establishments[42. Wholesale trade],,C39-$C$29),MATCH($M$3,town_establishments[Municipality],0),)</f>
        <v>0</v>
      </c>
      <c r="L39" s="40">
        <f t="shared" ca="1" si="4"/>
        <v>0</v>
      </c>
      <c r="Q39" s="18"/>
    </row>
    <row r="40" spans="2:19" ht="47.25" customHeight="1" x14ac:dyDescent="0.25">
      <c r="B40" s="22"/>
      <c r="C40">
        <v>12</v>
      </c>
      <c r="D40" s="41" t="s">
        <v>47</v>
      </c>
      <c r="E40" s="39">
        <v>412</v>
      </c>
      <c r="F40" s="70">
        <f t="shared" si="1"/>
        <v>2.2130311006069721E-2</v>
      </c>
      <c r="G40" s="39">
        <v>3869</v>
      </c>
      <c r="H40" s="39">
        <f t="shared" si="0"/>
        <v>9.3907766990291268</v>
      </c>
      <c r="I40" s="39">
        <f t="shared" si="2"/>
        <v>732607.02582284878</v>
      </c>
      <c r="J40" s="39">
        <f t="shared" si="3"/>
        <v>1778.1723927739049</v>
      </c>
      <c r="K40" s="39">
        <f ca="1">INDEX(OFFSET(town_establishments[42. Wholesale trade],,C40-$C$29),MATCH($M$3,town_establishments[Municipality],0),)</f>
        <v>0</v>
      </c>
      <c r="L40" s="40">
        <f t="shared" ca="1" si="4"/>
        <v>0</v>
      </c>
      <c r="Q40" s="18"/>
    </row>
    <row r="41" spans="2:19" ht="47.25" customHeight="1" x14ac:dyDescent="0.25">
      <c r="B41" s="22"/>
      <c r="C41">
        <v>13</v>
      </c>
      <c r="D41" s="38" t="s">
        <v>48</v>
      </c>
      <c r="E41" s="39">
        <v>1807</v>
      </c>
      <c r="F41" s="70">
        <f t="shared" si="1"/>
        <v>9.706182521351453E-2</v>
      </c>
      <c r="G41" s="39">
        <v>33991</v>
      </c>
      <c r="H41" s="39">
        <f t="shared" si="0"/>
        <v>18.810736026563365</v>
      </c>
      <c r="I41" s="39">
        <f t="shared" si="2"/>
        <v>1467490.6896022826</v>
      </c>
      <c r="J41" s="39">
        <f t="shared" si="3"/>
        <v>812.11438273507611</v>
      </c>
      <c r="K41" s="39">
        <f ca="1">INDEX(OFFSET(town_establishments[42. Wholesale trade],,C41-$C$29),MATCH($M$3,town_establishments[Municipality],0),)</f>
        <v>0</v>
      </c>
      <c r="L41" s="40">
        <f t="shared" ca="1" si="4"/>
        <v>0</v>
      </c>
      <c r="Q41" s="18"/>
    </row>
    <row r="42" spans="2:19" ht="47.25" customHeight="1" x14ac:dyDescent="0.25">
      <c r="B42" s="22"/>
      <c r="C42">
        <v>14</v>
      </c>
      <c r="D42" s="41" t="s">
        <v>49</v>
      </c>
      <c r="E42" s="39">
        <v>1982</v>
      </c>
      <c r="F42" s="70">
        <f t="shared" si="1"/>
        <v>0.10646183595638395</v>
      </c>
      <c r="G42" s="39">
        <v>8756</v>
      </c>
      <c r="H42" s="39">
        <f t="shared" si="0"/>
        <v>4.4177598385469219</v>
      </c>
      <c r="I42" s="39">
        <f t="shared" si="2"/>
        <v>344644.75089180813</v>
      </c>
      <c r="J42" s="39">
        <f t="shared" si="3"/>
        <v>173.88736170121501</v>
      </c>
      <c r="K42" s="39">
        <f ca="1">INDEX(OFFSET(town_establishments[42. Wholesale trade],,C42-$C$29),MATCH($M$3,town_establishments[Municipality],0),)</f>
        <v>0</v>
      </c>
      <c r="L42" s="40">
        <f t="shared" ca="1" si="4"/>
        <v>0</v>
      </c>
      <c r="Q42" s="18"/>
    </row>
    <row r="43" spans="2:19" ht="33" customHeight="1" x14ac:dyDescent="0.25">
      <c r="B43" s="22"/>
      <c r="D43" s="42"/>
      <c r="E43" s="45">
        <f>SUM(E29:E42)</f>
        <v>18617</v>
      </c>
      <c r="F43" s="45"/>
      <c r="G43" s="45">
        <f>SUM(G29:G42)</f>
        <v>201453</v>
      </c>
      <c r="H43" s="43"/>
      <c r="I43" s="44">
        <v>13000000</v>
      </c>
      <c r="J43" s="43"/>
      <c r="K43" s="45">
        <f ca="1">SUM(K29:K42)</f>
        <v>1</v>
      </c>
      <c r="L43" s="46">
        <f ca="1">SUMPRODUCT(J29:J42,L29:L42)</f>
        <v>295.29602737736008</v>
      </c>
      <c r="M43" s="103" t="s">
        <v>356</v>
      </c>
      <c r="N43" s="104"/>
      <c r="O43" s="104"/>
      <c r="P43" s="104"/>
      <c r="Q43" s="104"/>
      <c r="R43" s="104"/>
      <c r="S43" s="104"/>
    </row>
    <row r="44" spans="2:19" ht="22.5" customHeight="1" x14ac:dyDescent="0.25">
      <c r="B44" s="22"/>
    </row>
    <row r="45" spans="2:19" ht="37.5" customHeight="1" x14ac:dyDescent="0.25">
      <c r="B45" s="21">
        <f ca="1">B24*B26</f>
        <v>295.29602737736008</v>
      </c>
      <c r="C45" s="93" t="s">
        <v>62</v>
      </c>
      <c r="D45" s="94"/>
      <c r="E45" s="94"/>
      <c r="F45" s="94"/>
      <c r="G45" s="94"/>
      <c r="H45" s="94"/>
      <c r="I45" s="94"/>
      <c r="J45" s="94"/>
      <c r="K45" s="94"/>
      <c r="L45" s="94"/>
      <c r="M45" s="94"/>
      <c r="N45" s="94"/>
      <c r="O45" s="127">
        <f ca="1">B45/regional_com_heat_mmbtu</f>
        <v>9.9999999999999992E-2</v>
      </c>
    </row>
    <row r="54" spans="4:4" x14ac:dyDescent="0.25">
      <c r="D54" s="18"/>
    </row>
  </sheetData>
  <mergeCells count="20">
    <mergeCell ref="M43:S43"/>
    <mergeCell ref="C45:N45"/>
    <mergeCell ref="E17:N17"/>
    <mergeCell ref="E18:N18"/>
    <mergeCell ref="E19:N19"/>
    <mergeCell ref="C20:N20"/>
    <mergeCell ref="C24:N24"/>
    <mergeCell ref="C26:N26"/>
    <mergeCell ref="E12:F12"/>
    <mergeCell ref="G12:N12"/>
    <mergeCell ref="C13:N13"/>
    <mergeCell ref="E14:N14"/>
    <mergeCell ref="E15:N15"/>
    <mergeCell ref="E16:N16"/>
    <mergeCell ref="B3:L3"/>
    <mergeCell ref="M3:N3"/>
    <mergeCell ref="B4:N4"/>
    <mergeCell ref="B5:M5"/>
    <mergeCell ref="C7:N7"/>
    <mergeCell ref="C11:N11"/>
  </mergeCells>
  <dataValidations count="1">
    <dataValidation type="list" allowBlank="1" showInputMessage="1" showErrorMessage="1" sqref="M3:N3">
      <formula1>INDIRECT("town_population[Municipality]")</formula1>
    </dataValidation>
  </dataValidations>
  <hyperlinks>
    <hyperlink ref="E12" r:id="rId1" display="Census data"/>
    <hyperlink ref="E25" r:id="rId2" display="Vermont Dept of Labor website"/>
  </hyperlinks>
  <pageMargins left="0.7" right="0.7" top="0.75" bottom="0.75" header="0.3" footer="0.3"/>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autoPageBreaks="0"/>
  </sheetPr>
  <dimension ref="A1:S54"/>
  <sheetViews>
    <sheetView zoomScale="70" zoomScaleNormal="70" workbookViewId="0">
      <selection activeCell="B4" sqref="B4:N4"/>
    </sheetView>
  </sheetViews>
  <sheetFormatPr defaultRowHeight="15" x14ac:dyDescent="0.25"/>
  <cols>
    <col min="1" max="1" width="2.5703125" style="22" customWidth="1"/>
    <col min="2" max="12" width="15.140625" customWidth="1"/>
    <col min="13" max="14" width="14.5703125" customWidth="1"/>
    <col min="15" max="15" width="11.85546875" customWidth="1"/>
  </cols>
  <sheetData>
    <row r="1" spans="1:15" ht="21" x14ac:dyDescent="0.35">
      <c r="A1" s="19"/>
      <c r="B1" s="20" t="s">
        <v>53</v>
      </c>
    </row>
    <row r="2" spans="1:15" x14ac:dyDescent="0.25">
      <c r="A2" s="19"/>
      <c r="B2" s="4"/>
    </row>
    <row r="3" spans="1:15" ht="24.75" customHeight="1" x14ac:dyDescent="0.25">
      <c r="A3" s="19"/>
      <c r="B3" s="86" t="s">
        <v>382</v>
      </c>
      <c r="C3" s="87"/>
      <c r="D3" s="87"/>
      <c r="E3" s="87"/>
      <c r="F3" s="87"/>
      <c r="G3" s="87"/>
      <c r="H3" s="87"/>
      <c r="I3" s="87"/>
      <c r="J3" s="87"/>
      <c r="K3" s="87"/>
      <c r="L3" s="110"/>
      <c r="M3" s="107" t="s">
        <v>264</v>
      </c>
      <c r="N3" s="107"/>
    </row>
    <row r="4" spans="1:15" ht="24.75" customHeight="1" x14ac:dyDescent="0.25">
      <c r="A4" s="19"/>
      <c r="B4" s="88" t="s">
        <v>383</v>
      </c>
      <c r="C4" s="89"/>
      <c r="D4" s="89"/>
      <c r="E4" s="89"/>
      <c r="F4" s="89"/>
      <c r="G4" s="89"/>
      <c r="H4" s="89"/>
      <c r="I4" s="89"/>
      <c r="J4" s="89"/>
      <c r="K4" s="89"/>
      <c r="L4" s="89"/>
      <c r="M4" s="89"/>
      <c r="N4" s="90"/>
    </row>
    <row r="5" spans="1:15" ht="24.75" customHeight="1" x14ac:dyDescent="0.25">
      <c r="A5" s="19"/>
      <c r="B5" s="91" t="s">
        <v>381</v>
      </c>
      <c r="C5" s="92"/>
      <c r="D5" s="92"/>
      <c r="E5" s="92"/>
      <c r="F5" s="92"/>
      <c r="G5" s="92"/>
      <c r="H5" s="92"/>
      <c r="I5" s="92"/>
      <c r="J5" s="92"/>
      <c r="K5" s="92"/>
      <c r="L5" s="92"/>
      <c r="M5" s="111"/>
      <c r="N5" s="76" t="s">
        <v>372</v>
      </c>
    </row>
    <row r="6" spans="1:15" x14ac:dyDescent="0.25">
      <c r="A6" s="19"/>
    </row>
    <row r="7" spans="1:15" ht="42.75" customHeight="1" x14ac:dyDescent="0.25">
      <c r="A7" s="19"/>
      <c r="B7" s="21">
        <f ca="1">SUM(B20,B45)</f>
        <v>71355.296027377364</v>
      </c>
      <c r="C7" s="93" t="s">
        <v>391</v>
      </c>
      <c r="D7" s="94"/>
      <c r="E7" s="94"/>
      <c r="F7" s="94"/>
      <c r="G7" s="94"/>
      <c r="H7" s="94"/>
      <c r="I7" s="94"/>
      <c r="J7" s="94"/>
      <c r="K7" s="94"/>
      <c r="L7" s="94"/>
      <c r="M7" s="94"/>
      <c r="N7" s="94"/>
    </row>
    <row r="8" spans="1:15" x14ac:dyDescent="0.25">
      <c r="A8" s="19"/>
      <c r="B8" s="22"/>
    </row>
    <row r="9" spans="1:15" ht="18.75" x14ac:dyDescent="0.3">
      <c r="B9" s="22"/>
      <c r="C9" s="2" t="s">
        <v>20</v>
      </c>
    </row>
    <row r="10" spans="1:15" x14ac:dyDescent="0.25">
      <c r="B10" s="22"/>
      <c r="C10" s="5"/>
    </row>
    <row r="11" spans="1:15" ht="42.75" customHeight="1" x14ac:dyDescent="0.25">
      <c r="A11" s="22">
        <v>1</v>
      </c>
      <c r="B11" s="23">
        <v>646</v>
      </c>
      <c r="C11" s="95" t="s">
        <v>69</v>
      </c>
      <c r="D11" s="94"/>
      <c r="E11" s="94"/>
      <c r="F11" s="94"/>
      <c r="G11" s="94"/>
      <c r="H11" s="94"/>
      <c r="I11" s="94"/>
      <c r="J11" s="94"/>
      <c r="K11" s="94"/>
      <c r="L11" s="94"/>
      <c r="M11" s="94"/>
      <c r="N11" s="94"/>
      <c r="O11" s="28">
        <f>B11/regional_res_bldgs</f>
        <v>0.1</v>
      </c>
    </row>
    <row r="12" spans="1:15" ht="42.75" customHeight="1" x14ac:dyDescent="0.25">
      <c r="B12" s="19"/>
      <c r="C12" s="24"/>
      <c r="D12" s="59" t="s">
        <v>21</v>
      </c>
      <c r="E12" s="100" t="s">
        <v>3</v>
      </c>
      <c r="F12" s="100"/>
      <c r="G12" s="97" t="s">
        <v>22</v>
      </c>
      <c r="H12" s="97"/>
      <c r="I12" s="97"/>
      <c r="J12" s="97"/>
      <c r="K12" s="97"/>
      <c r="L12" s="97"/>
      <c r="M12" s="97"/>
      <c r="N12" s="97"/>
    </row>
    <row r="13" spans="1:15" ht="52.5" customHeight="1" x14ac:dyDescent="0.25">
      <c r="A13" s="22">
        <v>2</v>
      </c>
      <c r="B13" s="23">
        <v>110</v>
      </c>
      <c r="C13" s="101" t="s">
        <v>68</v>
      </c>
      <c r="D13" s="102"/>
      <c r="E13" s="102"/>
      <c r="F13" s="102"/>
      <c r="G13" s="102"/>
      <c r="H13" s="102"/>
      <c r="I13" s="102"/>
      <c r="J13" s="102"/>
      <c r="K13" s="102"/>
      <c r="L13" s="102"/>
      <c r="M13" s="102"/>
      <c r="N13" s="102"/>
      <c r="O13" s="62">
        <f>B13*O11</f>
        <v>11</v>
      </c>
    </row>
    <row r="14" spans="1:15" ht="42.75" customHeight="1" x14ac:dyDescent="0.25">
      <c r="B14" s="22"/>
      <c r="C14" s="25"/>
      <c r="D14" s="26" t="s">
        <v>23</v>
      </c>
      <c r="E14" s="102" t="s">
        <v>24</v>
      </c>
      <c r="F14" s="102"/>
      <c r="G14" s="102"/>
      <c r="H14" s="102"/>
      <c r="I14" s="102"/>
      <c r="J14" s="102"/>
      <c r="K14" s="102"/>
      <c r="L14" s="102"/>
      <c r="M14" s="102"/>
      <c r="N14" s="102"/>
    </row>
    <row r="15" spans="1:15" ht="42.75" customHeight="1" x14ac:dyDescent="0.25">
      <c r="B15" s="19"/>
      <c r="C15" s="27"/>
      <c r="D15" s="28">
        <v>0.26</v>
      </c>
      <c r="E15" s="102" t="s">
        <v>25</v>
      </c>
      <c r="F15" s="102"/>
      <c r="G15" s="102"/>
      <c r="H15" s="102"/>
      <c r="I15" s="102"/>
      <c r="J15" s="102"/>
      <c r="K15" s="102"/>
      <c r="L15" s="102"/>
      <c r="M15" s="102"/>
      <c r="N15" s="102"/>
    </row>
    <row r="16" spans="1:15" ht="42.75" customHeight="1" x14ac:dyDescent="0.25">
      <c r="B16" s="19"/>
      <c r="C16" s="27"/>
      <c r="D16" s="28">
        <v>0.5</v>
      </c>
      <c r="E16" s="102" t="s">
        <v>26</v>
      </c>
      <c r="F16" s="102"/>
      <c r="G16" s="102"/>
      <c r="H16" s="102"/>
      <c r="I16" s="102"/>
      <c r="J16" s="102"/>
      <c r="K16" s="102"/>
      <c r="L16" s="102"/>
      <c r="M16" s="102"/>
      <c r="N16" s="102"/>
    </row>
    <row r="17" spans="1:17" ht="42.75" customHeight="1" x14ac:dyDescent="0.25">
      <c r="B17" s="19"/>
      <c r="C17" s="27"/>
      <c r="D17" s="28">
        <v>0.2</v>
      </c>
      <c r="E17" s="102" t="s">
        <v>27</v>
      </c>
      <c r="F17" s="102"/>
      <c r="G17" s="102"/>
      <c r="H17" s="102"/>
      <c r="I17" s="102"/>
      <c r="J17" s="102"/>
      <c r="K17" s="102"/>
      <c r="L17" s="102"/>
      <c r="M17" s="102"/>
      <c r="N17" s="102"/>
    </row>
    <row r="18" spans="1:17" ht="42.75" customHeight="1" x14ac:dyDescent="0.25">
      <c r="B18" s="19"/>
      <c r="C18" s="27"/>
      <c r="D18" s="29">
        <v>2.2999999999999998</v>
      </c>
      <c r="E18" s="102" t="s">
        <v>28</v>
      </c>
      <c r="F18" s="102"/>
      <c r="G18" s="102"/>
      <c r="H18" s="102"/>
      <c r="I18" s="102"/>
      <c r="J18" s="102"/>
      <c r="K18" s="102"/>
      <c r="L18" s="102"/>
      <c r="M18" s="102"/>
      <c r="N18" s="102"/>
    </row>
    <row r="19" spans="1:17" ht="42.75" customHeight="1" x14ac:dyDescent="0.25">
      <c r="B19" s="19"/>
      <c r="C19" s="27"/>
      <c r="D19" s="28">
        <f>(20000*1.25)/257000</f>
        <v>9.727626459143969E-2</v>
      </c>
      <c r="E19" s="102" t="s">
        <v>29</v>
      </c>
      <c r="F19" s="102"/>
      <c r="G19" s="102"/>
      <c r="H19" s="102"/>
      <c r="I19" s="102"/>
      <c r="J19" s="102"/>
      <c r="K19" s="102"/>
      <c r="L19" s="102"/>
      <c r="M19" s="102"/>
      <c r="N19" s="102"/>
    </row>
    <row r="20" spans="1:17" ht="42.75" customHeight="1" x14ac:dyDescent="0.25">
      <c r="B20" s="21">
        <f>B11*B13</f>
        <v>71060</v>
      </c>
      <c r="C20" s="93" t="s">
        <v>61</v>
      </c>
      <c r="D20" s="94"/>
      <c r="E20" s="94"/>
      <c r="F20" s="94"/>
      <c r="G20" s="94"/>
      <c r="H20" s="94"/>
      <c r="I20" s="94"/>
      <c r="J20" s="94"/>
      <c r="K20" s="94"/>
      <c r="L20" s="94"/>
      <c r="M20" s="94"/>
      <c r="N20" s="94"/>
      <c r="O20" s="127">
        <f>B20/regional_res_heat_mmbtu</f>
        <v>0.1</v>
      </c>
    </row>
    <row r="21" spans="1:17" x14ac:dyDescent="0.25">
      <c r="B21" s="19"/>
      <c r="C21" s="24"/>
      <c r="D21" s="24"/>
      <c r="E21" s="24"/>
      <c r="F21" s="24"/>
      <c r="G21" s="24"/>
      <c r="H21" s="24"/>
    </row>
    <row r="22" spans="1:17" ht="18.75" x14ac:dyDescent="0.3">
      <c r="B22" s="22"/>
      <c r="C22" s="2" t="s">
        <v>30</v>
      </c>
    </row>
    <row r="23" spans="1:17" ht="15.75" x14ac:dyDescent="0.25">
      <c r="B23" s="22"/>
      <c r="C23" s="30"/>
    </row>
    <row r="24" spans="1:17" ht="44.25" customHeight="1" x14ac:dyDescent="0.25">
      <c r="A24" s="22">
        <v>1</v>
      </c>
      <c r="B24" s="23">
        <f ca="1">K43</f>
        <v>1</v>
      </c>
      <c r="C24" s="95" t="s">
        <v>373</v>
      </c>
      <c r="D24" s="94"/>
      <c r="E24" s="94"/>
      <c r="F24" s="94"/>
      <c r="G24" s="94"/>
      <c r="H24" s="94"/>
      <c r="I24" s="94"/>
      <c r="J24" s="94"/>
      <c r="K24" s="94"/>
      <c r="L24" s="94"/>
      <c r="M24" s="94"/>
      <c r="N24" s="94"/>
      <c r="O24" s="109">
        <f ca="1">B24/regional_com_bldgs</f>
        <v>0.1</v>
      </c>
    </row>
    <row r="25" spans="1:17" s="16" customFormat="1" ht="32.25" customHeight="1" x14ac:dyDescent="0.25">
      <c r="A25" s="22"/>
      <c r="B25" s="22"/>
      <c r="D25" s="16" t="s">
        <v>2</v>
      </c>
      <c r="E25" s="31" t="s">
        <v>31</v>
      </c>
      <c r="G25" s="16" t="s">
        <v>32</v>
      </c>
    </row>
    <row r="26" spans="1:17" ht="99.75" customHeight="1" x14ac:dyDescent="0.25">
      <c r="A26" s="22">
        <v>2</v>
      </c>
      <c r="B26" s="23">
        <f ca="1">L43</f>
        <v>295.29602737736008</v>
      </c>
      <c r="C26" s="105" t="s">
        <v>392</v>
      </c>
      <c r="D26" s="106"/>
      <c r="E26" s="106"/>
      <c r="F26" s="106"/>
      <c r="G26" s="106"/>
      <c r="H26" s="106"/>
      <c r="I26" s="106"/>
      <c r="J26" s="106"/>
      <c r="K26" s="106"/>
      <c r="L26" s="106"/>
      <c r="M26" s="106"/>
      <c r="N26" s="106"/>
      <c r="O26" s="108">
        <f ca="1">B26*O24</f>
        <v>29.52960273773601</v>
      </c>
    </row>
    <row r="27" spans="1:17" x14ac:dyDescent="0.25">
      <c r="B27" s="22"/>
    </row>
    <row r="28" spans="1:17" ht="54" customHeight="1" x14ac:dyDescent="0.25">
      <c r="B28" s="22"/>
      <c r="D28" s="32" t="s">
        <v>33</v>
      </c>
      <c r="E28" s="33" t="s">
        <v>34</v>
      </c>
      <c r="F28" s="33" t="s">
        <v>350</v>
      </c>
      <c r="G28" s="33" t="s">
        <v>35</v>
      </c>
      <c r="H28" s="33" t="s">
        <v>351</v>
      </c>
      <c r="I28" s="33" t="s">
        <v>352</v>
      </c>
      <c r="J28" s="33" t="s">
        <v>353</v>
      </c>
      <c r="K28" s="33" t="s">
        <v>354</v>
      </c>
      <c r="L28" s="34" t="s">
        <v>355</v>
      </c>
      <c r="N28" s="68"/>
    </row>
    <row r="29" spans="1:17" ht="47.25" customHeight="1" x14ac:dyDescent="0.25">
      <c r="B29" s="22"/>
      <c r="C29">
        <v>1</v>
      </c>
      <c r="D29" s="35" t="s">
        <v>36</v>
      </c>
      <c r="E29" s="36">
        <v>1418</v>
      </c>
      <c r="F29" s="69">
        <f>E29/$E$43</f>
        <v>7.6166944190793368E-2</v>
      </c>
      <c r="G29" s="36">
        <v>9210</v>
      </c>
      <c r="H29" s="36">
        <f t="shared" ref="H29:H42" si="0">G29/E29</f>
        <v>6.4950634696755998</v>
      </c>
      <c r="I29" s="36">
        <f>H29/SUM($H$29:$H$42)*$I$43</f>
        <v>506702.40423687408</v>
      </c>
      <c r="J29" s="36">
        <f>I29/E29</f>
        <v>357.33596913742883</v>
      </c>
      <c r="K29" s="36">
        <f ca="1">INDEX(OFFSET(town_establishments[42. Wholesale trade],,C29-$C$29),MATCH($M$3,town_establishments[Municipality],0),)</f>
        <v>0</v>
      </c>
      <c r="L29" s="37">
        <f ca="1">IF(K29="","",K29/$K$43)</f>
        <v>0</v>
      </c>
      <c r="Q29" s="18"/>
    </row>
    <row r="30" spans="1:17" ht="47.25" customHeight="1" x14ac:dyDescent="0.25">
      <c r="B30" s="22"/>
      <c r="C30">
        <v>2</v>
      </c>
      <c r="D30" s="38" t="s">
        <v>37</v>
      </c>
      <c r="E30" s="39">
        <v>3134</v>
      </c>
      <c r="F30" s="70">
        <f t="shared" ref="F30:F42" si="1">E30/$E$43</f>
        <v>0.1683407638180158</v>
      </c>
      <c r="G30" s="39">
        <v>37178</v>
      </c>
      <c r="H30" s="39">
        <f t="shared" si="0"/>
        <v>11.862795149968091</v>
      </c>
      <c r="I30" s="39">
        <f t="shared" ref="I30:I42" si="2">H30/SUM($H$29:$H$42)*$I$43</f>
        <v>925457.74980064656</v>
      </c>
      <c r="J30" s="39">
        <f t="shared" ref="J30:J42" si="3">I30/E30</f>
        <v>295.29602737736008</v>
      </c>
      <c r="K30" s="39">
        <f ca="1">INDEX(OFFSET(town_establishments[42. Wholesale trade],,C30-$C$29),MATCH($M$3,town_establishments[Municipality],0),)</f>
        <v>1</v>
      </c>
      <c r="L30" s="40">
        <f t="shared" ref="L30:L42" ca="1" si="4">IF(K30="","",K30/$K$43)</f>
        <v>1</v>
      </c>
      <c r="Q30" s="18"/>
    </row>
    <row r="31" spans="1:17" ht="47.25" customHeight="1" x14ac:dyDescent="0.25">
      <c r="B31" s="22"/>
      <c r="C31">
        <v>3</v>
      </c>
      <c r="D31" s="38" t="s">
        <v>38</v>
      </c>
      <c r="E31" s="39">
        <v>549</v>
      </c>
      <c r="F31" s="70">
        <f t="shared" si="1"/>
        <v>2.9489176559058923E-2</v>
      </c>
      <c r="G31" s="39">
        <v>6436</v>
      </c>
      <c r="H31" s="39">
        <f t="shared" si="0"/>
        <v>11.723132969034609</v>
      </c>
      <c r="I31" s="39">
        <f t="shared" si="2"/>
        <v>914562.21918876551</v>
      </c>
      <c r="J31" s="39">
        <f t="shared" si="3"/>
        <v>1665.8692517099553</v>
      </c>
      <c r="K31" s="39">
        <f ca="1">INDEX(OFFSET(town_establishments[42. Wholesale trade],,C31-$C$29),MATCH($M$3,town_establishments[Municipality],0),)</f>
        <v>0</v>
      </c>
      <c r="L31" s="40">
        <f t="shared" ca="1" si="4"/>
        <v>0</v>
      </c>
      <c r="Q31" s="18"/>
    </row>
    <row r="32" spans="1:17" ht="47.25" customHeight="1" x14ac:dyDescent="0.25">
      <c r="B32" s="22"/>
      <c r="C32">
        <v>4</v>
      </c>
      <c r="D32" s="38" t="s">
        <v>39</v>
      </c>
      <c r="E32" s="39">
        <v>483</v>
      </c>
      <c r="F32" s="70">
        <f t="shared" si="1"/>
        <v>2.5944029650319601E-2</v>
      </c>
      <c r="G32" s="39">
        <v>4689</v>
      </c>
      <c r="H32" s="39">
        <f t="shared" si="0"/>
        <v>9.70807453416149</v>
      </c>
      <c r="I32" s="39">
        <f t="shared" si="2"/>
        <v>757360.52925993747</v>
      </c>
      <c r="J32" s="39">
        <f t="shared" si="3"/>
        <v>1568.0342220702639</v>
      </c>
      <c r="K32" s="39">
        <f ca="1">INDEX(OFFSET(town_establishments[42. Wholesale trade],,C32-$C$29),MATCH($M$3,town_establishments[Municipality],0),)</f>
        <v>0</v>
      </c>
      <c r="L32" s="40">
        <f t="shared" ca="1" si="4"/>
        <v>0</v>
      </c>
      <c r="Q32" s="18"/>
    </row>
    <row r="33" spans="2:19" ht="47.25" customHeight="1" x14ac:dyDescent="0.25">
      <c r="B33" s="22"/>
      <c r="C33">
        <v>5</v>
      </c>
      <c r="D33" s="41" t="s">
        <v>40</v>
      </c>
      <c r="E33" s="39">
        <v>944</v>
      </c>
      <c r="F33" s="70">
        <f t="shared" si="1"/>
        <v>5.0706343664392757E-2</v>
      </c>
      <c r="G33" s="39">
        <v>8692</v>
      </c>
      <c r="H33" s="39">
        <f t="shared" si="0"/>
        <v>9.2076271186440675</v>
      </c>
      <c r="I33" s="39">
        <f t="shared" si="2"/>
        <v>718318.89251216396</v>
      </c>
      <c r="J33" s="39">
        <f t="shared" si="3"/>
        <v>760.93103020356352</v>
      </c>
      <c r="K33" s="39">
        <f ca="1">INDEX(OFFSET(town_establishments[42. Wholesale trade],,C33-$C$29),MATCH($M$3,town_establishments[Municipality],0),)</f>
        <v>0</v>
      </c>
      <c r="L33" s="40">
        <f t="shared" ca="1" si="4"/>
        <v>0</v>
      </c>
      <c r="Q33" s="18"/>
    </row>
    <row r="34" spans="2:19" ht="47.25" customHeight="1" x14ac:dyDescent="0.25">
      <c r="B34" s="22"/>
      <c r="C34">
        <v>6</v>
      </c>
      <c r="D34" s="38" t="s">
        <v>41</v>
      </c>
      <c r="E34" s="39">
        <v>716</v>
      </c>
      <c r="F34" s="70">
        <f t="shared" si="1"/>
        <v>3.8459472525111456E-2</v>
      </c>
      <c r="G34" s="39">
        <v>2837</v>
      </c>
      <c r="H34" s="39">
        <f t="shared" si="0"/>
        <v>3.9622905027932962</v>
      </c>
      <c r="I34" s="39">
        <f t="shared" si="2"/>
        <v>309112.00997864484</v>
      </c>
      <c r="J34" s="39">
        <f t="shared" si="3"/>
        <v>431.72068432771624</v>
      </c>
      <c r="K34" s="39">
        <f ca="1">INDEX(OFFSET(town_establishments[42. Wholesale trade],,C34-$C$29),MATCH($M$3,town_establishments[Municipality],0),)</f>
        <v>0</v>
      </c>
      <c r="L34" s="40">
        <f t="shared" ca="1" si="4"/>
        <v>0</v>
      </c>
      <c r="Q34" s="18"/>
    </row>
    <row r="35" spans="2:19" ht="47.25" customHeight="1" x14ac:dyDescent="0.25">
      <c r="B35" s="22"/>
      <c r="C35">
        <v>7</v>
      </c>
      <c r="D35" s="41" t="s">
        <v>42</v>
      </c>
      <c r="E35" s="39">
        <v>3170</v>
      </c>
      <c r="F35" s="70">
        <f t="shared" si="1"/>
        <v>0.1702744803136918</v>
      </c>
      <c r="G35" s="39">
        <v>14050</v>
      </c>
      <c r="H35" s="39">
        <f t="shared" si="0"/>
        <v>4.4321766561514195</v>
      </c>
      <c r="I35" s="39">
        <f t="shared" si="2"/>
        <v>345769.45678201987</v>
      </c>
      <c r="J35" s="39">
        <f t="shared" si="3"/>
        <v>109.07553841704097</v>
      </c>
      <c r="K35" s="39">
        <f ca="1">INDEX(OFFSET(town_establishments[42. Wholesale trade],,C35-$C$29),MATCH($M$3,town_establishments[Municipality],0),)</f>
        <v>0</v>
      </c>
      <c r="L35" s="40">
        <f t="shared" ca="1" si="4"/>
        <v>0</v>
      </c>
      <c r="Q35" s="18"/>
    </row>
    <row r="36" spans="2:19" ht="47.25" customHeight="1" x14ac:dyDescent="0.25">
      <c r="B36" s="22"/>
      <c r="C36">
        <v>8</v>
      </c>
      <c r="D36" s="41" t="s">
        <v>43</v>
      </c>
      <c r="E36" s="39">
        <v>112</v>
      </c>
      <c r="F36" s="70">
        <f t="shared" si="1"/>
        <v>6.016006875436429E-3</v>
      </c>
      <c r="G36" s="39">
        <v>2213</v>
      </c>
      <c r="H36" s="39">
        <f t="shared" si="0"/>
        <v>19.758928571428573</v>
      </c>
      <c r="I36" s="39">
        <f t="shared" si="2"/>
        <v>1541462.4751600111</v>
      </c>
      <c r="J36" s="39">
        <f t="shared" si="3"/>
        <v>13763.05781392867</v>
      </c>
      <c r="K36" s="39">
        <f ca="1">INDEX(OFFSET(town_establishments[42. Wholesale trade],,C36-$C$29),MATCH($M$3,town_establishments[Municipality],0),)</f>
        <v>0</v>
      </c>
      <c r="L36" s="40">
        <f t="shared" ca="1" si="4"/>
        <v>0</v>
      </c>
      <c r="Q36" s="18"/>
    </row>
    <row r="37" spans="2:19" ht="47.25" customHeight="1" x14ac:dyDescent="0.25">
      <c r="B37" s="22"/>
      <c r="C37">
        <v>9</v>
      </c>
      <c r="D37" s="41" t="s">
        <v>44</v>
      </c>
      <c r="E37" s="39">
        <v>1580</v>
      </c>
      <c r="F37" s="70">
        <f t="shared" si="1"/>
        <v>8.4868668421335336E-2</v>
      </c>
      <c r="G37" s="39">
        <v>9665</v>
      </c>
      <c r="H37" s="39">
        <f t="shared" si="0"/>
        <v>6.1170886075949369</v>
      </c>
      <c r="I37" s="39">
        <f t="shared" si="2"/>
        <v>477215.27570432739</v>
      </c>
      <c r="J37" s="39">
        <f t="shared" si="3"/>
        <v>302.034984622992</v>
      </c>
      <c r="K37" s="39">
        <f ca="1">INDEX(OFFSET(town_establishments[42. Wholesale trade],,C37-$C$29),MATCH($M$3,town_establishments[Municipality],0),)</f>
        <v>0</v>
      </c>
      <c r="L37" s="40">
        <f t="shared" ca="1" si="4"/>
        <v>0</v>
      </c>
      <c r="Q37" s="18"/>
    </row>
    <row r="38" spans="2:19" ht="47.25" customHeight="1" x14ac:dyDescent="0.25">
      <c r="B38" s="22"/>
      <c r="C38">
        <v>10</v>
      </c>
      <c r="D38" s="38" t="s">
        <v>45</v>
      </c>
      <c r="E38" s="39">
        <v>422</v>
      </c>
      <c r="F38" s="70">
        <f t="shared" si="1"/>
        <v>2.2667454477090832E-2</v>
      </c>
      <c r="G38" s="39">
        <v>10349</v>
      </c>
      <c r="H38" s="39">
        <f t="shared" si="0"/>
        <v>24.523696682464454</v>
      </c>
      <c r="I38" s="39">
        <f t="shared" si="2"/>
        <v>1913178.5436426576</v>
      </c>
      <c r="J38" s="39">
        <f t="shared" si="3"/>
        <v>4533.5984446508473</v>
      </c>
      <c r="K38" s="39">
        <f ca="1">INDEX(OFFSET(town_establishments[42. Wholesale trade],,C38-$C$29),MATCH($M$3,town_establishments[Municipality],0),)</f>
        <v>0</v>
      </c>
      <c r="L38" s="40">
        <f t="shared" ca="1" si="4"/>
        <v>0</v>
      </c>
      <c r="Q38" s="18"/>
    </row>
    <row r="39" spans="2:19" ht="47.25" customHeight="1" x14ac:dyDescent="0.25">
      <c r="B39" s="22"/>
      <c r="C39">
        <v>11</v>
      </c>
      <c r="D39" s="41" t="s">
        <v>46</v>
      </c>
      <c r="E39" s="39">
        <v>1888</v>
      </c>
      <c r="F39" s="70">
        <f t="shared" si="1"/>
        <v>0.10141268732878551</v>
      </c>
      <c r="G39" s="39">
        <v>49518</v>
      </c>
      <c r="H39" s="39">
        <f t="shared" si="0"/>
        <v>26.227754237288135</v>
      </c>
      <c r="I39" s="39">
        <f t="shared" si="2"/>
        <v>2046117.9774170117</v>
      </c>
      <c r="J39" s="39">
        <f t="shared" si="3"/>
        <v>1083.7489287166375</v>
      </c>
      <c r="K39" s="39">
        <f ca="1">INDEX(OFFSET(town_establishments[42. Wholesale trade],,C39-$C$29),MATCH($M$3,town_establishments[Municipality],0),)</f>
        <v>0</v>
      </c>
      <c r="L39" s="40">
        <f t="shared" ca="1" si="4"/>
        <v>0</v>
      </c>
      <c r="Q39" s="18"/>
    </row>
    <row r="40" spans="2:19" ht="47.25" customHeight="1" x14ac:dyDescent="0.25">
      <c r="B40" s="22"/>
      <c r="C40">
        <v>12</v>
      </c>
      <c r="D40" s="41" t="s">
        <v>47</v>
      </c>
      <c r="E40" s="39">
        <v>412</v>
      </c>
      <c r="F40" s="70">
        <f t="shared" si="1"/>
        <v>2.2130311006069721E-2</v>
      </c>
      <c r="G40" s="39">
        <v>3869</v>
      </c>
      <c r="H40" s="39">
        <f t="shared" si="0"/>
        <v>9.3907766990291268</v>
      </c>
      <c r="I40" s="39">
        <f t="shared" si="2"/>
        <v>732607.02582284878</v>
      </c>
      <c r="J40" s="39">
        <f t="shared" si="3"/>
        <v>1778.1723927739049</v>
      </c>
      <c r="K40" s="39">
        <f ca="1">INDEX(OFFSET(town_establishments[42. Wholesale trade],,C40-$C$29),MATCH($M$3,town_establishments[Municipality],0),)</f>
        <v>0</v>
      </c>
      <c r="L40" s="40">
        <f t="shared" ca="1" si="4"/>
        <v>0</v>
      </c>
      <c r="Q40" s="18"/>
    </row>
    <row r="41" spans="2:19" ht="47.25" customHeight="1" x14ac:dyDescent="0.25">
      <c r="B41" s="22"/>
      <c r="C41">
        <v>13</v>
      </c>
      <c r="D41" s="38" t="s">
        <v>48</v>
      </c>
      <c r="E41" s="39">
        <v>1807</v>
      </c>
      <c r="F41" s="70">
        <f t="shared" si="1"/>
        <v>9.706182521351453E-2</v>
      </c>
      <c r="G41" s="39">
        <v>33991</v>
      </c>
      <c r="H41" s="39">
        <f t="shared" si="0"/>
        <v>18.810736026563365</v>
      </c>
      <c r="I41" s="39">
        <f t="shared" si="2"/>
        <v>1467490.6896022826</v>
      </c>
      <c r="J41" s="39">
        <f t="shared" si="3"/>
        <v>812.11438273507611</v>
      </c>
      <c r="K41" s="39">
        <f ca="1">INDEX(OFFSET(town_establishments[42. Wholesale trade],,C41-$C$29),MATCH($M$3,town_establishments[Municipality],0),)</f>
        <v>0</v>
      </c>
      <c r="L41" s="40">
        <f t="shared" ca="1" si="4"/>
        <v>0</v>
      </c>
      <c r="Q41" s="18"/>
    </row>
    <row r="42" spans="2:19" ht="47.25" customHeight="1" x14ac:dyDescent="0.25">
      <c r="B42" s="22"/>
      <c r="C42">
        <v>14</v>
      </c>
      <c r="D42" s="41" t="s">
        <v>49</v>
      </c>
      <c r="E42" s="39">
        <v>1982</v>
      </c>
      <c r="F42" s="70">
        <f t="shared" si="1"/>
        <v>0.10646183595638395</v>
      </c>
      <c r="G42" s="39">
        <v>8756</v>
      </c>
      <c r="H42" s="39">
        <f t="shared" si="0"/>
        <v>4.4177598385469219</v>
      </c>
      <c r="I42" s="39">
        <f t="shared" si="2"/>
        <v>344644.75089180813</v>
      </c>
      <c r="J42" s="39">
        <f t="shared" si="3"/>
        <v>173.88736170121501</v>
      </c>
      <c r="K42" s="39">
        <f ca="1">INDEX(OFFSET(town_establishments[42. Wholesale trade],,C42-$C$29),MATCH($M$3,town_establishments[Municipality],0),)</f>
        <v>0</v>
      </c>
      <c r="L42" s="40">
        <f t="shared" ca="1" si="4"/>
        <v>0</v>
      </c>
      <c r="Q42" s="18"/>
    </row>
    <row r="43" spans="2:19" ht="33" customHeight="1" x14ac:dyDescent="0.25">
      <c r="B43" s="22"/>
      <c r="D43" s="42"/>
      <c r="E43" s="45">
        <f>SUM(E29:E42)</f>
        <v>18617</v>
      </c>
      <c r="F43" s="45"/>
      <c r="G43" s="45">
        <f>SUM(G29:G42)</f>
        <v>201453</v>
      </c>
      <c r="H43" s="43"/>
      <c r="I43" s="44">
        <v>13000000</v>
      </c>
      <c r="J43" s="43"/>
      <c r="K43" s="45">
        <f ca="1">SUM(K29:K42)</f>
        <v>1</v>
      </c>
      <c r="L43" s="46">
        <f ca="1">SUMPRODUCT(J29:J42,L29:L42)</f>
        <v>295.29602737736008</v>
      </c>
      <c r="M43" s="103" t="s">
        <v>356</v>
      </c>
      <c r="N43" s="104"/>
      <c r="O43" s="104"/>
      <c r="P43" s="104"/>
      <c r="Q43" s="104"/>
      <c r="R43" s="104"/>
      <c r="S43" s="104"/>
    </row>
    <row r="44" spans="2:19" ht="22.5" customHeight="1" x14ac:dyDescent="0.25">
      <c r="B44" s="22"/>
    </row>
    <row r="45" spans="2:19" ht="37.5" customHeight="1" x14ac:dyDescent="0.25">
      <c r="B45" s="21">
        <f ca="1">B24*B26</f>
        <v>295.29602737736008</v>
      </c>
      <c r="C45" s="93" t="s">
        <v>62</v>
      </c>
      <c r="D45" s="94"/>
      <c r="E45" s="94"/>
      <c r="F45" s="94"/>
      <c r="G45" s="94"/>
      <c r="H45" s="94"/>
      <c r="I45" s="94"/>
      <c r="J45" s="94"/>
      <c r="K45" s="94"/>
      <c r="L45" s="94"/>
      <c r="M45" s="94"/>
      <c r="N45" s="94"/>
      <c r="O45" s="127">
        <f ca="1">B45/regional_com_heat_mmbtu</f>
        <v>9.9999999999999992E-2</v>
      </c>
    </row>
    <row r="54" spans="4:4" x14ac:dyDescent="0.25">
      <c r="D54" s="18"/>
    </row>
  </sheetData>
  <mergeCells count="20">
    <mergeCell ref="M43:S43"/>
    <mergeCell ref="C45:N45"/>
    <mergeCell ref="E17:N17"/>
    <mergeCell ref="E18:N18"/>
    <mergeCell ref="E19:N19"/>
    <mergeCell ref="C20:N20"/>
    <mergeCell ref="C24:N24"/>
    <mergeCell ref="C26:N26"/>
    <mergeCell ref="E12:F12"/>
    <mergeCell ref="G12:N12"/>
    <mergeCell ref="C13:N13"/>
    <mergeCell ref="E14:N14"/>
    <mergeCell ref="E15:N15"/>
    <mergeCell ref="E16:N16"/>
    <mergeCell ref="B3:L3"/>
    <mergeCell ref="M3:N3"/>
    <mergeCell ref="B4:N4"/>
    <mergeCell ref="B5:M5"/>
    <mergeCell ref="C7:N7"/>
    <mergeCell ref="C11:N11"/>
  </mergeCells>
  <dataValidations count="1">
    <dataValidation type="list" allowBlank="1" showInputMessage="1" showErrorMessage="1" sqref="M3:N3">
      <formula1>INDIRECT("town_population[Municipality]")</formula1>
    </dataValidation>
  </dataValidations>
  <hyperlinks>
    <hyperlink ref="E12" r:id="rId1" display="Census data"/>
    <hyperlink ref="E25" r:id="rId2" display="Vermont Dept of Labor website"/>
  </hyperlinks>
  <pageMargins left="0.7" right="0.7" top="0.75" bottom="0.75" header="0.3" footer="0.3"/>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autoPageBreaks="0"/>
  </sheetPr>
  <dimension ref="A1:S54"/>
  <sheetViews>
    <sheetView zoomScale="70" zoomScaleNormal="70" workbookViewId="0">
      <selection activeCell="B4" sqref="B4:N4"/>
    </sheetView>
  </sheetViews>
  <sheetFormatPr defaultRowHeight="15" x14ac:dyDescent="0.25"/>
  <cols>
    <col min="1" max="1" width="2.5703125" style="22" customWidth="1"/>
    <col min="2" max="12" width="15.140625" customWidth="1"/>
    <col min="13" max="14" width="14.5703125" customWidth="1"/>
    <col min="15" max="15" width="11.85546875" customWidth="1"/>
  </cols>
  <sheetData>
    <row r="1" spans="1:15" ht="21" x14ac:dyDescent="0.35">
      <c r="A1" s="19"/>
      <c r="B1" s="20" t="s">
        <v>53</v>
      </c>
    </row>
    <row r="2" spans="1:15" x14ac:dyDescent="0.25">
      <c r="A2" s="19"/>
      <c r="B2" s="4"/>
    </row>
    <row r="3" spans="1:15" ht="24.75" customHeight="1" x14ac:dyDescent="0.25">
      <c r="A3" s="19"/>
      <c r="B3" s="86" t="s">
        <v>382</v>
      </c>
      <c r="C3" s="87"/>
      <c r="D3" s="87"/>
      <c r="E3" s="87"/>
      <c r="F3" s="87"/>
      <c r="G3" s="87"/>
      <c r="H3" s="87"/>
      <c r="I3" s="87"/>
      <c r="J3" s="87"/>
      <c r="K3" s="87"/>
      <c r="L3" s="110"/>
      <c r="M3" s="107" t="s">
        <v>264</v>
      </c>
      <c r="N3" s="107"/>
    </row>
    <row r="4" spans="1:15" ht="24.75" customHeight="1" x14ac:dyDescent="0.25">
      <c r="A4" s="19"/>
      <c r="B4" s="88" t="s">
        <v>383</v>
      </c>
      <c r="C4" s="89"/>
      <c r="D4" s="89"/>
      <c r="E4" s="89"/>
      <c r="F4" s="89"/>
      <c r="G4" s="89"/>
      <c r="H4" s="89"/>
      <c r="I4" s="89"/>
      <c r="J4" s="89"/>
      <c r="K4" s="89"/>
      <c r="L4" s="89"/>
      <c r="M4" s="89"/>
      <c r="N4" s="90"/>
    </row>
    <row r="5" spans="1:15" ht="24.75" customHeight="1" x14ac:dyDescent="0.25">
      <c r="A5" s="19"/>
      <c r="B5" s="91" t="s">
        <v>381</v>
      </c>
      <c r="C5" s="92"/>
      <c r="D5" s="92"/>
      <c r="E5" s="92"/>
      <c r="F5" s="92"/>
      <c r="G5" s="92"/>
      <c r="H5" s="92"/>
      <c r="I5" s="92"/>
      <c r="J5" s="92"/>
      <c r="K5" s="92"/>
      <c r="L5" s="92"/>
      <c r="M5" s="111"/>
      <c r="N5" s="76" t="s">
        <v>372</v>
      </c>
    </row>
    <row r="6" spans="1:15" x14ac:dyDescent="0.25">
      <c r="A6" s="19"/>
    </row>
    <row r="7" spans="1:15" ht="42.75" customHeight="1" x14ac:dyDescent="0.25">
      <c r="A7" s="19"/>
      <c r="B7" s="21">
        <f ca="1">SUM(B20,B45)</f>
        <v>71355.296027377364</v>
      </c>
      <c r="C7" s="93" t="s">
        <v>391</v>
      </c>
      <c r="D7" s="94"/>
      <c r="E7" s="94"/>
      <c r="F7" s="94"/>
      <c r="G7" s="94"/>
      <c r="H7" s="94"/>
      <c r="I7" s="94"/>
      <c r="J7" s="94"/>
      <c r="K7" s="94"/>
      <c r="L7" s="94"/>
      <c r="M7" s="94"/>
      <c r="N7" s="94"/>
    </row>
    <row r="8" spans="1:15" x14ac:dyDescent="0.25">
      <c r="A8" s="19"/>
      <c r="B8" s="22"/>
    </row>
    <row r="9" spans="1:15" ht="18.75" x14ac:dyDescent="0.3">
      <c r="B9" s="22"/>
      <c r="C9" s="2" t="s">
        <v>20</v>
      </c>
    </row>
    <row r="10" spans="1:15" x14ac:dyDescent="0.25">
      <c r="B10" s="22"/>
      <c r="C10" s="5"/>
    </row>
    <row r="11" spans="1:15" ht="42.75" customHeight="1" x14ac:dyDescent="0.25">
      <c r="A11" s="22">
        <v>1</v>
      </c>
      <c r="B11" s="23">
        <v>646</v>
      </c>
      <c r="C11" s="95" t="s">
        <v>69</v>
      </c>
      <c r="D11" s="94"/>
      <c r="E11" s="94"/>
      <c r="F11" s="94"/>
      <c r="G11" s="94"/>
      <c r="H11" s="94"/>
      <c r="I11" s="94"/>
      <c r="J11" s="94"/>
      <c r="K11" s="94"/>
      <c r="L11" s="94"/>
      <c r="M11" s="94"/>
      <c r="N11" s="94"/>
      <c r="O11" s="28">
        <f>B11/regional_res_bldgs</f>
        <v>0.1</v>
      </c>
    </row>
    <row r="12" spans="1:15" ht="42.75" customHeight="1" x14ac:dyDescent="0.25">
      <c r="B12" s="19"/>
      <c r="C12" s="24"/>
      <c r="D12" s="59" t="s">
        <v>21</v>
      </c>
      <c r="E12" s="100" t="s">
        <v>3</v>
      </c>
      <c r="F12" s="100"/>
      <c r="G12" s="97" t="s">
        <v>22</v>
      </c>
      <c r="H12" s="97"/>
      <c r="I12" s="97"/>
      <c r="J12" s="97"/>
      <c r="K12" s="97"/>
      <c r="L12" s="97"/>
      <c r="M12" s="97"/>
      <c r="N12" s="97"/>
    </row>
    <row r="13" spans="1:15" ht="52.5" customHeight="1" x14ac:dyDescent="0.25">
      <c r="A13" s="22">
        <v>2</v>
      </c>
      <c r="B13" s="23">
        <v>110</v>
      </c>
      <c r="C13" s="101" t="s">
        <v>68</v>
      </c>
      <c r="D13" s="102"/>
      <c r="E13" s="102"/>
      <c r="F13" s="102"/>
      <c r="G13" s="102"/>
      <c r="H13" s="102"/>
      <c r="I13" s="102"/>
      <c r="J13" s="102"/>
      <c r="K13" s="102"/>
      <c r="L13" s="102"/>
      <c r="M13" s="102"/>
      <c r="N13" s="102"/>
      <c r="O13" s="62">
        <f>B13*O11</f>
        <v>11</v>
      </c>
    </row>
    <row r="14" spans="1:15" ht="42.75" customHeight="1" x14ac:dyDescent="0.25">
      <c r="B14" s="22"/>
      <c r="C14" s="25"/>
      <c r="D14" s="26" t="s">
        <v>23</v>
      </c>
      <c r="E14" s="102" t="s">
        <v>24</v>
      </c>
      <c r="F14" s="102"/>
      <c r="G14" s="102"/>
      <c r="H14" s="102"/>
      <c r="I14" s="102"/>
      <c r="J14" s="102"/>
      <c r="K14" s="102"/>
      <c r="L14" s="102"/>
      <c r="M14" s="102"/>
      <c r="N14" s="102"/>
    </row>
    <row r="15" spans="1:15" ht="42.75" customHeight="1" x14ac:dyDescent="0.25">
      <c r="B15" s="19"/>
      <c r="C15" s="27"/>
      <c r="D15" s="28">
        <v>0.26</v>
      </c>
      <c r="E15" s="102" t="s">
        <v>25</v>
      </c>
      <c r="F15" s="102"/>
      <c r="G15" s="102"/>
      <c r="H15" s="102"/>
      <c r="I15" s="102"/>
      <c r="J15" s="102"/>
      <c r="K15" s="102"/>
      <c r="L15" s="102"/>
      <c r="M15" s="102"/>
      <c r="N15" s="102"/>
    </row>
    <row r="16" spans="1:15" ht="42.75" customHeight="1" x14ac:dyDescent="0.25">
      <c r="B16" s="19"/>
      <c r="C16" s="27"/>
      <c r="D16" s="28">
        <v>0.5</v>
      </c>
      <c r="E16" s="102" t="s">
        <v>26</v>
      </c>
      <c r="F16" s="102"/>
      <c r="G16" s="102"/>
      <c r="H16" s="102"/>
      <c r="I16" s="102"/>
      <c r="J16" s="102"/>
      <c r="K16" s="102"/>
      <c r="L16" s="102"/>
      <c r="M16" s="102"/>
      <c r="N16" s="102"/>
    </row>
    <row r="17" spans="1:17" ht="42.75" customHeight="1" x14ac:dyDescent="0.25">
      <c r="B17" s="19"/>
      <c r="C17" s="27"/>
      <c r="D17" s="28">
        <v>0.2</v>
      </c>
      <c r="E17" s="102" t="s">
        <v>27</v>
      </c>
      <c r="F17" s="102"/>
      <c r="G17" s="102"/>
      <c r="H17" s="102"/>
      <c r="I17" s="102"/>
      <c r="J17" s="102"/>
      <c r="K17" s="102"/>
      <c r="L17" s="102"/>
      <c r="M17" s="102"/>
      <c r="N17" s="102"/>
    </row>
    <row r="18" spans="1:17" ht="42.75" customHeight="1" x14ac:dyDescent="0.25">
      <c r="B18" s="19"/>
      <c r="C18" s="27"/>
      <c r="D18" s="29">
        <v>2.2999999999999998</v>
      </c>
      <c r="E18" s="102" t="s">
        <v>28</v>
      </c>
      <c r="F18" s="102"/>
      <c r="G18" s="102"/>
      <c r="H18" s="102"/>
      <c r="I18" s="102"/>
      <c r="J18" s="102"/>
      <c r="K18" s="102"/>
      <c r="L18" s="102"/>
      <c r="M18" s="102"/>
      <c r="N18" s="102"/>
    </row>
    <row r="19" spans="1:17" ht="42.75" customHeight="1" x14ac:dyDescent="0.25">
      <c r="B19" s="19"/>
      <c r="C19" s="27"/>
      <c r="D19" s="28">
        <f>(20000*1.25)/257000</f>
        <v>9.727626459143969E-2</v>
      </c>
      <c r="E19" s="102" t="s">
        <v>29</v>
      </c>
      <c r="F19" s="102"/>
      <c r="G19" s="102"/>
      <c r="H19" s="102"/>
      <c r="I19" s="102"/>
      <c r="J19" s="102"/>
      <c r="K19" s="102"/>
      <c r="L19" s="102"/>
      <c r="M19" s="102"/>
      <c r="N19" s="102"/>
    </row>
    <row r="20" spans="1:17" ht="42.75" customHeight="1" x14ac:dyDescent="0.25">
      <c r="B20" s="21">
        <f>B11*B13</f>
        <v>71060</v>
      </c>
      <c r="C20" s="93" t="s">
        <v>61</v>
      </c>
      <c r="D20" s="94"/>
      <c r="E20" s="94"/>
      <c r="F20" s="94"/>
      <c r="G20" s="94"/>
      <c r="H20" s="94"/>
      <c r="I20" s="94"/>
      <c r="J20" s="94"/>
      <c r="K20" s="94"/>
      <c r="L20" s="94"/>
      <c r="M20" s="94"/>
      <c r="N20" s="94"/>
      <c r="O20" s="127">
        <f>B20/regional_res_heat_mmbtu</f>
        <v>0.1</v>
      </c>
    </row>
    <row r="21" spans="1:17" x14ac:dyDescent="0.25">
      <c r="B21" s="19"/>
      <c r="C21" s="24"/>
      <c r="D21" s="24"/>
      <c r="E21" s="24"/>
      <c r="F21" s="24"/>
      <c r="G21" s="24"/>
      <c r="H21" s="24"/>
    </row>
    <row r="22" spans="1:17" ht="18.75" x14ac:dyDescent="0.3">
      <c r="B22" s="22"/>
      <c r="C22" s="2" t="s">
        <v>30</v>
      </c>
    </row>
    <row r="23" spans="1:17" ht="15.75" x14ac:dyDescent="0.25">
      <c r="B23" s="22"/>
      <c r="C23" s="30"/>
    </row>
    <row r="24" spans="1:17" ht="44.25" customHeight="1" x14ac:dyDescent="0.25">
      <c r="A24" s="22">
        <v>1</v>
      </c>
      <c r="B24" s="23">
        <f ca="1">K43</f>
        <v>1</v>
      </c>
      <c r="C24" s="95" t="s">
        <v>373</v>
      </c>
      <c r="D24" s="94"/>
      <c r="E24" s="94"/>
      <c r="F24" s="94"/>
      <c r="G24" s="94"/>
      <c r="H24" s="94"/>
      <c r="I24" s="94"/>
      <c r="J24" s="94"/>
      <c r="K24" s="94"/>
      <c r="L24" s="94"/>
      <c r="M24" s="94"/>
      <c r="N24" s="94"/>
      <c r="O24" s="109">
        <f ca="1">B24/regional_com_bldgs</f>
        <v>0.1</v>
      </c>
    </row>
    <row r="25" spans="1:17" s="16" customFormat="1" ht="32.25" customHeight="1" x14ac:dyDescent="0.25">
      <c r="A25" s="22"/>
      <c r="B25" s="22"/>
      <c r="D25" s="16" t="s">
        <v>2</v>
      </c>
      <c r="E25" s="31" t="s">
        <v>31</v>
      </c>
      <c r="G25" s="16" t="s">
        <v>32</v>
      </c>
    </row>
    <row r="26" spans="1:17" ht="99.75" customHeight="1" x14ac:dyDescent="0.25">
      <c r="A26" s="22">
        <v>2</v>
      </c>
      <c r="B26" s="23">
        <f ca="1">L43</f>
        <v>295.29602737736008</v>
      </c>
      <c r="C26" s="105" t="s">
        <v>392</v>
      </c>
      <c r="D26" s="106"/>
      <c r="E26" s="106"/>
      <c r="F26" s="106"/>
      <c r="G26" s="106"/>
      <c r="H26" s="106"/>
      <c r="I26" s="106"/>
      <c r="J26" s="106"/>
      <c r="K26" s="106"/>
      <c r="L26" s="106"/>
      <c r="M26" s="106"/>
      <c r="N26" s="106"/>
      <c r="O26" s="108">
        <f ca="1">B26*O24</f>
        <v>29.52960273773601</v>
      </c>
    </row>
    <row r="27" spans="1:17" x14ac:dyDescent="0.25">
      <c r="B27" s="22"/>
    </row>
    <row r="28" spans="1:17" ht="54" customHeight="1" x14ac:dyDescent="0.25">
      <c r="B28" s="22"/>
      <c r="D28" s="32" t="s">
        <v>33</v>
      </c>
      <c r="E28" s="33" t="s">
        <v>34</v>
      </c>
      <c r="F28" s="33" t="s">
        <v>350</v>
      </c>
      <c r="G28" s="33" t="s">
        <v>35</v>
      </c>
      <c r="H28" s="33" t="s">
        <v>351</v>
      </c>
      <c r="I28" s="33" t="s">
        <v>352</v>
      </c>
      <c r="J28" s="33" t="s">
        <v>353</v>
      </c>
      <c r="K28" s="33" t="s">
        <v>354</v>
      </c>
      <c r="L28" s="34" t="s">
        <v>355</v>
      </c>
      <c r="N28" s="68"/>
    </row>
    <row r="29" spans="1:17" ht="47.25" customHeight="1" x14ac:dyDescent="0.25">
      <c r="B29" s="22"/>
      <c r="C29">
        <v>1</v>
      </c>
      <c r="D29" s="35" t="s">
        <v>36</v>
      </c>
      <c r="E29" s="36">
        <v>1418</v>
      </c>
      <c r="F29" s="69">
        <f>E29/$E$43</f>
        <v>7.6166944190793368E-2</v>
      </c>
      <c r="G29" s="36">
        <v>9210</v>
      </c>
      <c r="H29" s="36">
        <f t="shared" ref="H29:H42" si="0">G29/E29</f>
        <v>6.4950634696755998</v>
      </c>
      <c r="I29" s="36">
        <f>H29/SUM($H$29:$H$42)*$I$43</f>
        <v>506702.40423687408</v>
      </c>
      <c r="J29" s="36">
        <f>I29/E29</f>
        <v>357.33596913742883</v>
      </c>
      <c r="K29" s="36">
        <f ca="1">INDEX(OFFSET(town_establishments[42. Wholesale trade],,C29-$C$29),MATCH($M$3,town_establishments[Municipality],0),)</f>
        <v>0</v>
      </c>
      <c r="L29" s="37">
        <f ca="1">IF(K29="","",K29/$K$43)</f>
        <v>0</v>
      </c>
      <c r="Q29" s="18"/>
    </row>
    <row r="30" spans="1:17" ht="47.25" customHeight="1" x14ac:dyDescent="0.25">
      <c r="B30" s="22"/>
      <c r="C30">
        <v>2</v>
      </c>
      <c r="D30" s="38" t="s">
        <v>37</v>
      </c>
      <c r="E30" s="39">
        <v>3134</v>
      </c>
      <c r="F30" s="70">
        <f t="shared" ref="F30:F42" si="1">E30/$E$43</f>
        <v>0.1683407638180158</v>
      </c>
      <c r="G30" s="39">
        <v>37178</v>
      </c>
      <c r="H30" s="39">
        <f t="shared" si="0"/>
        <v>11.862795149968091</v>
      </c>
      <c r="I30" s="39">
        <f t="shared" ref="I30:I42" si="2">H30/SUM($H$29:$H$42)*$I$43</f>
        <v>925457.74980064656</v>
      </c>
      <c r="J30" s="39">
        <f t="shared" ref="J30:J42" si="3">I30/E30</f>
        <v>295.29602737736008</v>
      </c>
      <c r="K30" s="39">
        <f ca="1">INDEX(OFFSET(town_establishments[42. Wholesale trade],,C30-$C$29),MATCH($M$3,town_establishments[Municipality],0),)</f>
        <v>1</v>
      </c>
      <c r="L30" s="40">
        <f t="shared" ref="L30:L42" ca="1" si="4">IF(K30="","",K30/$K$43)</f>
        <v>1</v>
      </c>
      <c r="Q30" s="18"/>
    </row>
    <row r="31" spans="1:17" ht="47.25" customHeight="1" x14ac:dyDescent="0.25">
      <c r="B31" s="22"/>
      <c r="C31">
        <v>3</v>
      </c>
      <c r="D31" s="38" t="s">
        <v>38</v>
      </c>
      <c r="E31" s="39">
        <v>549</v>
      </c>
      <c r="F31" s="70">
        <f t="shared" si="1"/>
        <v>2.9489176559058923E-2</v>
      </c>
      <c r="G31" s="39">
        <v>6436</v>
      </c>
      <c r="H31" s="39">
        <f t="shared" si="0"/>
        <v>11.723132969034609</v>
      </c>
      <c r="I31" s="39">
        <f t="shared" si="2"/>
        <v>914562.21918876551</v>
      </c>
      <c r="J31" s="39">
        <f t="shared" si="3"/>
        <v>1665.8692517099553</v>
      </c>
      <c r="K31" s="39">
        <f ca="1">INDEX(OFFSET(town_establishments[42. Wholesale trade],,C31-$C$29),MATCH($M$3,town_establishments[Municipality],0),)</f>
        <v>0</v>
      </c>
      <c r="L31" s="40">
        <f t="shared" ca="1" si="4"/>
        <v>0</v>
      </c>
      <c r="Q31" s="18"/>
    </row>
    <row r="32" spans="1:17" ht="47.25" customHeight="1" x14ac:dyDescent="0.25">
      <c r="B32" s="22"/>
      <c r="C32">
        <v>4</v>
      </c>
      <c r="D32" s="38" t="s">
        <v>39</v>
      </c>
      <c r="E32" s="39">
        <v>483</v>
      </c>
      <c r="F32" s="70">
        <f t="shared" si="1"/>
        <v>2.5944029650319601E-2</v>
      </c>
      <c r="G32" s="39">
        <v>4689</v>
      </c>
      <c r="H32" s="39">
        <f t="shared" si="0"/>
        <v>9.70807453416149</v>
      </c>
      <c r="I32" s="39">
        <f t="shared" si="2"/>
        <v>757360.52925993747</v>
      </c>
      <c r="J32" s="39">
        <f t="shared" si="3"/>
        <v>1568.0342220702639</v>
      </c>
      <c r="K32" s="39">
        <f ca="1">INDEX(OFFSET(town_establishments[42. Wholesale trade],,C32-$C$29),MATCH($M$3,town_establishments[Municipality],0),)</f>
        <v>0</v>
      </c>
      <c r="L32" s="40">
        <f t="shared" ca="1" si="4"/>
        <v>0</v>
      </c>
      <c r="Q32" s="18"/>
    </row>
    <row r="33" spans="2:19" ht="47.25" customHeight="1" x14ac:dyDescent="0.25">
      <c r="B33" s="22"/>
      <c r="C33">
        <v>5</v>
      </c>
      <c r="D33" s="41" t="s">
        <v>40</v>
      </c>
      <c r="E33" s="39">
        <v>944</v>
      </c>
      <c r="F33" s="70">
        <f t="shared" si="1"/>
        <v>5.0706343664392757E-2</v>
      </c>
      <c r="G33" s="39">
        <v>8692</v>
      </c>
      <c r="H33" s="39">
        <f t="shared" si="0"/>
        <v>9.2076271186440675</v>
      </c>
      <c r="I33" s="39">
        <f t="shared" si="2"/>
        <v>718318.89251216396</v>
      </c>
      <c r="J33" s="39">
        <f t="shared" si="3"/>
        <v>760.93103020356352</v>
      </c>
      <c r="K33" s="39">
        <f ca="1">INDEX(OFFSET(town_establishments[42. Wholesale trade],,C33-$C$29),MATCH($M$3,town_establishments[Municipality],0),)</f>
        <v>0</v>
      </c>
      <c r="L33" s="40">
        <f t="shared" ca="1" si="4"/>
        <v>0</v>
      </c>
      <c r="Q33" s="18"/>
    </row>
    <row r="34" spans="2:19" ht="47.25" customHeight="1" x14ac:dyDescent="0.25">
      <c r="B34" s="22"/>
      <c r="C34">
        <v>6</v>
      </c>
      <c r="D34" s="38" t="s">
        <v>41</v>
      </c>
      <c r="E34" s="39">
        <v>716</v>
      </c>
      <c r="F34" s="70">
        <f t="shared" si="1"/>
        <v>3.8459472525111456E-2</v>
      </c>
      <c r="G34" s="39">
        <v>2837</v>
      </c>
      <c r="H34" s="39">
        <f t="shared" si="0"/>
        <v>3.9622905027932962</v>
      </c>
      <c r="I34" s="39">
        <f t="shared" si="2"/>
        <v>309112.00997864484</v>
      </c>
      <c r="J34" s="39">
        <f t="shared" si="3"/>
        <v>431.72068432771624</v>
      </c>
      <c r="K34" s="39">
        <f ca="1">INDEX(OFFSET(town_establishments[42. Wholesale trade],,C34-$C$29),MATCH($M$3,town_establishments[Municipality],0),)</f>
        <v>0</v>
      </c>
      <c r="L34" s="40">
        <f t="shared" ca="1" si="4"/>
        <v>0</v>
      </c>
      <c r="Q34" s="18"/>
    </row>
    <row r="35" spans="2:19" ht="47.25" customHeight="1" x14ac:dyDescent="0.25">
      <c r="B35" s="22"/>
      <c r="C35">
        <v>7</v>
      </c>
      <c r="D35" s="41" t="s">
        <v>42</v>
      </c>
      <c r="E35" s="39">
        <v>3170</v>
      </c>
      <c r="F35" s="70">
        <f t="shared" si="1"/>
        <v>0.1702744803136918</v>
      </c>
      <c r="G35" s="39">
        <v>14050</v>
      </c>
      <c r="H35" s="39">
        <f t="shared" si="0"/>
        <v>4.4321766561514195</v>
      </c>
      <c r="I35" s="39">
        <f t="shared" si="2"/>
        <v>345769.45678201987</v>
      </c>
      <c r="J35" s="39">
        <f t="shared" si="3"/>
        <v>109.07553841704097</v>
      </c>
      <c r="K35" s="39">
        <f ca="1">INDEX(OFFSET(town_establishments[42. Wholesale trade],,C35-$C$29),MATCH($M$3,town_establishments[Municipality],0),)</f>
        <v>0</v>
      </c>
      <c r="L35" s="40">
        <f t="shared" ca="1" si="4"/>
        <v>0</v>
      </c>
      <c r="Q35" s="18"/>
    </row>
    <row r="36" spans="2:19" ht="47.25" customHeight="1" x14ac:dyDescent="0.25">
      <c r="B36" s="22"/>
      <c r="C36">
        <v>8</v>
      </c>
      <c r="D36" s="41" t="s">
        <v>43</v>
      </c>
      <c r="E36" s="39">
        <v>112</v>
      </c>
      <c r="F36" s="70">
        <f t="shared" si="1"/>
        <v>6.016006875436429E-3</v>
      </c>
      <c r="G36" s="39">
        <v>2213</v>
      </c>
      <c r="H36" s="39">
        <f t="shared" si="0"/>
        <v>19.758928571428573</v>
      </c>
      <c r="I36" s="39">
        <f t="shared" si="2"/>
        <v>1541462.4751600111</v>
      </c>
      <c r="J36" s="39">
        <f t="shared" si="3"/>
        <v>13763.05781392867</v>
      </c>
      <c r="K36" s="39">
        <f ca="1">INDEX(OFFSET(town_establishments[42. Wholesale trade],,C36-$C$29),MATCH($M$3,town_establishments[Municipality],0),)</f>
        <v>0</v>
      </c>
      <c r="L36" s="40">
        <f t="shared" ca="1" si="4"/>
        <v>0</v>
      </c>
      <c r="Q36" s="18"/>
    </row>
    <row r="37" spans="2:19" ht="47.25" customHeight="1" x14ac:dyDescent="0.25">
      <c r="B37" s="22"/>
      <c r="C37">
        <v>9</v>
      </c>
      <c r="D37" s="41" t="s">
        <v>44</v>
      </c>
      <c r="E37" s="39">
        <v>1580</v>
      </c>
      <c r="F37" s="70">
        <f t="shared" si="1"/>
        <v>8.4868668421335336E-2</v>
      </c>
      <c r="G37" s="39">
        <v>9665</v>
      </c>
      <c r="H37" s="39">
        <f t="shared" si="0"/>
        <v>6.1170886075949369</v>
      </c>
      <c r="I37" s="39">
        <f t="shared" si="2"/>
        <v>477215.27570432739</v>
      </c>
      <c r="J37" s="39">
        <f t="shared" si="3"/>
        <v>302.034984622992</v>
      </c>
      <c r="K37" s="39">
        <f ca="1">INDEX(OFFSET(town_establishments[42. Wholesale trade],,C37-$C$29),MATCH($M$3,town_establishments[Municipality],0),)</f>
        <v>0</v>
      </c>
      <c r="L37" s="40">
        <f t="shared" ca="1" si="4"/>
        <v>0</v>
      </c>
      <c r="Q37" s="18"/>
    </row>
    <row r="38" spans="2:19" ht="47.25" customHeight="1" x14ac:dyDescent="0.25">
      <c r="B38" s="22"/>
      <c r="C38">
        <v>10</v>
      </c>
      <c r="D38" s="38" t="s">
        <v>45</v>
      </c>
      <c r="E38" s="39">
        <v>422</v>
      </c>
      <c r="F38" s="70">
        <f t="shared" si="1"/>
        <v>2.2667454477090832E-2</v>
      </c>
      <c r="G38" s="39">
        <v>10349</v>
      </c>
      <c r="H38" s="39">
        <f t="shared" si="0"/>
        <v>24.523696682464454</v>
      </c>
      <c r="I38" s="39">
        <f t="shared" si="2"/>
        <v>1913178.5436426576</v>
      </c>
      <c r="J38" s="39">
        <f t="shared" si="3"/>
        <v>4533.5984446508473</v>
      </c>
      <c r="K38" s="39">
        <f ca="1">INDEX(OFFSET(town_establishments[42. Wholesale trade],,C38-$C$29),MATCH($M$3,town_establishments[Municipality],0),)</f>
        <v>0</v>
      </c>
      <c r="L38" s="40">
        <f t="shared" ca="1" si="4"/>
        <v>0</v>
      </c>
      <c r="Q38" s="18"/>
    </row>
    <row r="39" spans="2:19" ht="47.25" customHeight="1" x14ac:dyDescent="0.25">
      <c r="B39" s="22"/>
      <c r="C39">
        <v>11</v>
      </c>
      <c r="D39" s="41" t="s">
        <v>46</v>
      </c>
      <c r="E39" s="39">
        <v>1888</v>
      </c>
      <c r="F39" s="70">
        <f t="shared" si="1"/>
        <v>0.10141268732878551</v>
      </c>
      <c r="G39" s="39">
        <v>49518</v>
      </c>
      <c r="H39" s="39">
        <f t="shared" si="0"/>
        <v>26.227754237288135</v>
      </c>
      <c r="I39" s="39">
        <f t="shared" si="2"/>
        <v>2046117.9774170117</v>
      </c>
      <c r="J39" s="39">
        <f t="shared" si="3"/>
        <v>1083.7489287166375</v>
      </c>
      <c r="K39" s="39">
        <f ca="1">INDEX(OFFSET(town_establishments[42. Wholesale trade],,C39-$C$29),MATCH($M$3,town_establishments[Municipality],0),)</f>
        <v>0</v>
      </c>
      <c r="L39" s="40">
        <f t="shared" ca="1" si="4"/>
        <v>0</v>
      </c>
      <c r="Q39" s="18"/>
    </row>
    <row r="40" spans="2:19" ht="47.25" customHeight="1" x14ac:dyDescent="0.25">
      <c r="B40" s="22"/>
      <c r="C40">
        <v>12</v>
      </c>
      <c r="D40" s="41" t="s">
        <v>47</v>
      </c>
      <c r="E40" s="39">
        <v>412</v>
      </c>
      <c r="F40" s="70">
        <f t="shared" si="1"/>
        <v>2.2130311006069721E-2</v>
      </c>
      <c r="G40" s="39">
        <v>3869</v>
      </c>
      <c r="H40" s="39">
        <f t="shared" si="0"/>
        <v>9.3907766990291268</v>
      </c>
      <c r="I40" s="39">
        <f t="shared" si="2"/>
        <v>732607.02582284878</v>
      </c>
      <c r="J40" s="39">
        <f t="shared" si="3"/>
        <v>1778.1723927739049</v>
      </c>
      <c r="K40" s="39">
        <f ca="1">INDEX(OFFSET(town_establishments[42. Wholesale trade],,C40-$C$29),MATCH($M$3,town_establishments[Municipality],0),)</f>
        <v>0</v>
      </c>
      <c r="L40" s="40">
        <f t="shared" ca="1" si="4"/>
        <v>0</v>
      </c>
      <c r="Q40" s="18"/>
    </row>
    <row r="41" spans="2:19" ht="47.25" customHeight="1" x14ac:dyDescent="0.25">
      <c r="B41" s="22"/>
      <c r="C41">
        <v>13</v>
      </c>
      <c r="D41" s="38" t="s">
        <v>48</v>
      </c>
      <c r="E41" s="39">
        <v>1807</v>
      </c>
      <c r="F41" s="70">
        <f t="shared" si="1"/>
        <v>9.706182521351453E-2</v>
      </c>
      <c r="G41" s="39">
        <v>33991</v>
      </c>
      <c r="H41" s="39">
        <f t="shared" si="0"/>
        <v>18.810736026563365</v>
      </c>
      <c r="I41" s="39">
        <f t="shared" si="2"/>
        <v>1467490.6896022826</v>
      </c>
      <c r="J41" s="39">
        <f t="shared" si="3"/>
        <v>812.11438273507611</v>
      </c>
      <c r="K41" s="39">
        <f ca="1">INDEX(OFFSET(town_establishments[42. Wholesale trade],,C41-$C$29),MATCH($M$3,town_establishments[Municipality],0),)</f>
        <v>0</v>
      </c>
      <c r="L41" s="40">
        <f t="shared" ca="1" si="4"/>
        <v>0</v>
      </c>
      <c r="Q41" s="18"/>
    </row>
    <row r="42" spans="2:19" ht="47.25" customHeight="1" x14ac:dyDescent="0.25">
      <c r="B42" s="22"/>
      <c r="C42">
        <v>14</v>
      </c>
      <c r="D42" s="41" t="s">
        <v>49</v>
      </c>
      <c r="E42" s="39">
        <v>1982</v>
      </c>
      <c r="F42" s="70">
        <f t="shared" si="1"/>
        <v>0.10646183595638395</v>
      </c>
      <c r="G42" s="39">
        <v>8756</v>
      </c>
      <c r="H42" s="39">
        <f t="shared" si="0"/>
        <v>4.4177598385469219</v>
      </c>
      <c r="I42" s="39">
        <f t="shared" si="2"/>
        <v>344644.75089180813</v>
      </c>
      <c r="J42" s="39">
        <f t="shared" si="3"/>
        <v>173.88736170121501</v>
      </c>
      <c r="K42" s="39">
        <f ca="1">INDEX(OFFSET(town_establishments[42. Wholesale trade],,C42-$C$29),MATCH($M$3,town_establishments[Municipality],0),)</f>
        <v>0</v>
      </c>
      <c r="L42" s="40">
        <f t="shared" ca="1" si="4"/>
        <v>0</v>
      </c>
      <c r="Q42" s="18"/>
    </row>
    <row r="43" spans="2:19" ht="33" customHeight="1" x14ac:dyDescent="0.25">
      <c r="B43" s="22"/>
      <c r="D43" s="42"/>
      <c r="E43" s="45">
        <f>SUM(E29:E42)</f>
        <v>18617</v>
      </c>
      <c r="F43" s="45"/>
      <c r="G43" s="45">
        <f>SUM(G29:G42)</f>
        <v>201453</v>
      </c>
      <c r="H43" s="43"/>
      <c r="I43" s="44">
        <v>13000000</v>
      </c>
      <c r="J43" s="43"/>
      <c r="K43" s="45">
        <f ca="1">SUM(K29:K42)</f>
        <v>1</v>
      </c>
      <c r="L43" s="46">
        <f ca="1">SUMPRODUCT(J29:J42,L29:L42)</f>
        <v>295.29602737736008</v>
      </c>
      <c r="M43" s="103" t="s">
        <v>356</v>
      </c>
      <c r="N43" s="104"/>
      <c r="O43" s="104"/>
      <c r="P43" s="104"/>
      <c r="Q43" s="104"/>
      <c r="R43" s="104"/>
      <c r="S43" s="104"/>
    </row>
    <row r="44" spans="2:19" ht="22.5" customHeight="1" x14ac:dyDescent="0.25">
      <c r="B44" s="22"/>
    </row>
    <row r="45" spans="2:19" ht="37.5" customHeight="1" x14ac:dyDescent="0.25">
      <c r="B45" s="21">
        <f ca="1">B24*B26</f>
        <v>295.29602737736008</v>
      </c>
      <c r="C45" s="93" t="s">
        <v>62</v>
      </c>
      <c r="D45" s="94"/>
      <c r="E45" s="94"/>
      <c r="F45" s="94"/>
      <c r="G45" s="94"/>
      <c r="H45" s="94"/>
      <c r="I45" s="94"/>
      <c r="J45" s="94"/>
      <c r="K45" s="94"/>
      <c r="L45" s="94"/>
      <c r="M45" s="94"/>
      <c r="N45" s="94"/>
      <c r="O45" s="127">
        <f ca="1">B45/regional_com_heat_mmbtu</f>
        <v>9.9999999999999992E-2</v>
      </c>
    </row>
    <row r="54" spans="4:4" x14ac:dyDescent="0.25">
      <c r="D54" s="18"/>
    </row>
  </sheetData>
  <mergeCells count="20">
    <mergeCell ref="M43:S43"/>
    <mergeCell ref="C45:N45"/>
    <mergeCell ref="E17:N17"/>
    <mergeCell ref="E18:N18"/>
    <mergeCell ref="E19:N19"/>
    <mergeCell ref="C20:N20"/>
    <mergeCell ref="C24:N24"/>
    <mergeCell ref="C26:N26"/>
    <mergeCell ref="E12:F12"/>
    <mergeCell ref="G12:N12"/>
    <mergeCell ref="C13:N13"/>
    <mergeCell ref="E14:N14"/>
    <mergeCell ref="E15:N15"/>
    <mergeCell ref="E16:N16"/>
    <mergeCell ref="B3:L3"/>
    <mergeCell ref="M3:N3"/>
    <mergeCell ref="B4:N4"/>
    <mergeCell ref="B5:M5"/>
    <mergeCell ref="C7:N7"/>
    <mergeCell ref="C11:N11"/>
  </mergeCells>
  <dataValidations count="1">
    <dataValidation type="list" allowBlank="1" showInputMessage="1" showErrorMessage="1" sqref="M3:N3">
      <formula1>INDIRECT("town_population[Municipality]")</formula1>
    </dataValidation>
  </dataValidations>
  <hyperlinks>
    <hyperlink ref="E12" r:id="rId1" display="Census data"/>
    <hyperlink ref="E25" r:id="rId2" display="Vermont Dept of Labor website"/>
  </hyperlinks>
  <pageMargins left="0.7" right="0.7" top="0.75" bottom="0.75" header="0.3" footer="0.3"/>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autoPageBreaks="0"/>
  </sheetPr>
  <dimension ref="A1:S54"/>
  <sheetViews>
    <sheetView zoomScale="70" zoomScaleNormal="70" workbookViewId="0">
      <selection activeCell="B4" sqref="B4:N4"/>
    </sheetView>
  </sheetViews>
  <sheetFormatPr defaultRowHeight="15" x14ac:dyDescent="0.25"/>
  <cols>
    <col min="1" max="1" width="2.5703125" style="22" customWidth="1"/>
    <col min="2" max="12" width="15.140625" customWidth="1"/>
    <col min="13" max="14" width="14.5703125" customWidth="1"/>
    <col min="15" max="15" width="11.85546875" customWidth="1"/>
  </cols>
  <sheetData>
    <row r="1" spans="1:15" ht="21" x14ac:dyDescent="0.35">
      <c r="A1" s="19"/>
      <c r="B1" s="20" t="s">
        <v>53</v>
      </c>
    </row>
    <row r="2" spans="1:15" x14ac:dyDescent="0.25">
      <c r="A2" s="19"/>
      <c r="B2" s="4"/>
    </row>
    <row r="3" spans="1:15" ht="24.75" customHeight="1" x14ac:dyDescent="0.25">
      <c r="A3" s="19"/>
      <c r="B3" s="86" t="s">
        <v>382</v>
      </c>
      <c r="C3" s="87"/>
      <c r="D3" s="87"/>
      <c r="E3" s="87"/>
      <c r="F3" s="87"/>
      <c r="G3" s="87"/>
      <c r="H3" s="87"/>
      <c r="I3" s="87"/>
      <c r="J3" s="87"/>
      <c r="K3" s="87"/>
      <c r="L3" s="110"/>
      <c r="M3" s="107" t="s">
        <v>264</v>
      </c>
      <c r="N3" s="107"/>
    </row>
    <row r="4" spans="1:15" ht="24.75" customHeight="1" x14ac:dyDescent="0.25">
      <c r="A4" s="19"/>
      <c r="B4" s="88" t="s">
        <v>383</v>
      </c>
      <c r="C4" s="89"/>
      <c r="D4" s="89"/>
      <c r="E4" s="89"/>
      <c r="F4" s="89"/>
      <c r="G4" s="89"/>
      <c r="H4" s="89"/>
      <c r="I4" s="89"/>
      <c r="J4" s="89"/>
      <c r="K4" s="89"/>
      <c r="L4" s="89"/>
      <c r="M4" s="89"/>
      <c r="N4" s="90"/>
    </row>
    <row r="5" spans="1:15" ht="24.75" customHeight="1" x14ac:dyDescent="0.25">
      <c r="A5" s="19"/>
      <c r="B5" s="91" t="s">
        <v>381</v>
      </c>
      <c r="C5" s="92"/>
      <c r="D5" s="92"/>
      <c r="E5" s="92"/>
      <c r="F5" s="92"/>
      <c r="G5" s="92"/>
      <c r="H5" s="92"/>
      <c r="I5" s="92"/>
      <c r="J5" s="92"/>
      <c r="K5" s="92"/>
      <c r="L5" s="92"/>
      <c r="M5" s="111"/>
      <c r="N5" s="76" t="s">
        <v>372</v>
      </c>
    </row>
    <row r="6" spans="1:15" x14ac:dyDescent="0.25">
      <c r="A6" s="19"/>
    </row>
    <row r="7" spans="1:15" ht="42.75" customHeight="1" x14ac:dyDescent="0.25">
      <c r="A7" s="19"/>
      <c r="B7" s="21">
        <f ca="1">SUM(B20,B45)</f>
        <v>71355.296027377364</v>
      </c>
      <c r="C7" s="93" t="s">
        <v>391</v>
      </c>
      <c r="D7" s="94"/>
      <c r="E7" s="94"/>
      <c r="F7" s="94"/>
      <c r="G7" s="94"/>
      <c r="H7" s="94"/>
      <c r="I7" s="94"/>
      <c r="J7" s="94"/>
      <c r="K7" s="94"/>
      <c r="L7" s="94"/>
      <c r="M7" s="94"/>
      <c r="N7" s="94"/>
    </row>
    <row r="8" spans="1:15" x14ac:dyDescent="0.25">
      <c r="A8" s="19"/>
      <c r="B8" s="22"/>
    </row>
    <row r="9" spans="1:15" ht="18.75" x14ac:dyDescent="0.3">
      <c r="B9" s="22"/>
      <c r="C9" s="2" t="s">
        <v>20</v>
      </c>
    </row>
    <row r="10" spans="1:15" x14ac:dyDescent="0.25">
      <c r="B10" s="22"/>
      <c r="C10" s="5"/>
    </row>
    <row r="11" spans="1:15" ht="42.75" customHeight="1" x14ac:dyDescent="0.25">
      <c r="A11" s="22">
        <v>1</v>
      </c>
      <c r="B11" s="23">
        <v>646</v>
      </c>
      <c r="C11" s="95" t="s">
        <v>69</v>
      </c>
      <c r="D11" s="94"/>
      <c r="E11" s="94"/>
      <c r="F11" s="94"/>
      <c r="G11" s="94"/>
      <c r="H11" s="94"/>
      <c r="I11" s="94"/>
      <c r="J11" s="94"/>
      <c r="K11" s="94"/>
      <c r="L11" s="94"/>
      <c r="M11" s="94"/>
      <c r="N11" s="94"/>
      <c r="O11" s="28">
        <f>B11/regional_res_bldgs</f>
        <v>0.1</v>
      </c>
    </row>
    <row r="12" spans="1:15" ht="42.75" customHeight="1" x14ac:dyDescent="0.25">
      <c r="B12" s="19"/>
      <c r="C12" s="24"/>
      <c r="D12" s="59" t="s">
        <v>21</v>
      </c>
      <c r="E12" s="100" t="s">
        <v>3</v>
      </c>
      <c r="F12" s="100"/>
      <c r="G12" s="97" t="s">
        <v>22</v>
      </c>
      <c r="H12" s="97"/>
      <c r="I12" s="97"/>
      <c r="J12" s="97"/>
      <c r="K12" s="97"/>
      <c r="L12" s="97"/>
      <c r="M12" s="97"/>
      <c r="N12" s="97"/>
    </row>
    <row r="13" spans="1:15" ht="52.5" customHeight="1" x14ac:dyDescent="0.25">
      <c r="A13" s="22">
        <v>2</v>
      </c>
      <c r="B13" s="23">
        <v>110</v>
      </c>
      <c r="C13" s="101" t="s">
        <v>68</v>
      </c>
      <c r="D13" s="102"/>
      <c r="E13" s="102"/>
      <c r="F13" s="102"/>
      <c r="G13" s="102"/>
      <c r="H13" s="102"/>
      <c r="I13" s="102"/>
      <c r="J13" s="102"/>
      <c r="K13" s="102"/>
      <c r="L13" s="102"/>
      <c r="M13" s="102"/>
      <c r="N13" s="102"/>
      <c r="O13" s="62">
        <f>B13*O11</f>
        <v>11</v>
      </c>
    </row>
    <row r="14" spans="1:15" ht="42.75" customHeight="1" x14ac:dyDescent="0.25">
      <c r="B14" s="22"/>
      <c r="C14" s="25"/>
      <c r="D14" s="26" t="s">
        <v>23</v>
      </c>
      <c r="E14" s="102" t="s">
        <v>24</v>
      </c>
      <c r="F14" s="102"/>
      <c r="G14" s="102"/>
      <c r="H14" s="102"/>
      <c r="I14" s="102"/>
      <c r="J14" s="102"/>
      <c r="K14" s="102"/>
      <c r="L14" s="102"/>
      <c r="M14" s="102"/>
      <c r="N14" s="102"/>
    </row>
    <row r="15" spans="1:15" ht="42.75" customHeight="1" x14ac:dyDescent="0.25">
      <c r="B15" s="19"/>
      <c r="C15" s="27"/>
      <c r="D15" s="28">
        <v>0.26</v>
      </c>
      <c r="E15" s="102" t="s">
        <v>25</v>
      </c>
      <c r="F15" s="102"/>
      <c r="G15" s="102"/>
      <c r="H15" s="102"/>
      <c r="I15" s="102"/>
      <c r="J15" s="102"/>
      <c r="K15" s="102"/>
      <c r="L15" s="102"/>
      <c r="M15" s="102"/>
      <c r="N15" s="102"/>
    </row>
    <row r="16" spans="1:15" ht="42.75" customHeight="1" x14ac:dyDescent="0.25">
      <c r="B16" s="19"/>
      <c r="C16" s="27"/>
      <c r="D16" s="28">
        <v>0.5</v>
      </c>
      <c r="E16" s="102" t="s">
        <v>26</v>
      </c>
      <c r="F16" s="102"/>
      <c r="G16" s="102"/>
      <c r="H16" s="102"/>
      <c r="I16" s="102"/>
      <c r="J16" s="102"/>
      <c r="K16" s="102"/>
      <c r="L16" s="102"/>
      <c r="M16" s="102"/>
      <c r="N16" s="102"/>
    </row>
    <row r="17" spans="1:17" ht="42.75" customHeight="1" x14ac:dyDescent="0.25">
      <c r="B17" s="19"/>
      <c r="C17" s="27"/>
      <c r="D17" s="28">
        <v>0.2</v>
      </c>
      <c r="E17" s="102" t="s">
        <v>27</v>
      </c>
      <c r="F17" s="102"/>
      <c r="G17" s="102"/>
      <c r="H17" s="102"/>
      <c r="I17" s="102"/>
      <c r="J17" s="102"/>
      <c r="K17" s="102"/>
      <c r="L17" s="102"/>
      <c r="M17" s="102"/>
      <c r="N17" s="102"/>
    </row>
    <row r="18" spans="1:17" ht="42.75" customHeight="1" x14ac:dyDescent="0.25">
      <c r="B18" s="19"/>
      <c r="C18" s="27"/>
      <c r="D18" s="29">
        <v>2.2999999999999998</v>
      </c>
      <c r="E18" s="102" t="s">
        <v>28</v>
      </c>
      <c r="F18" s="102"/>
      <c r="G18" s="102"/>
      <c r="H18" s="102"/>
      <c r="I18" s="102"/>
      <c r="J18" s="102"/>
      <c r="K18" s="102"/>
      <c r="L18" s="102"/>
      <c r="M18" s="102"/>
      <c r="N18" s="102"/>
    </row>
    <row r="19" spans="1:17" ht="42.75" customHeight="1" x14ac:dyDescent="0.25">
      <c r="B19" s="19"/>
      <c r="C19" s="27"/>
      <c r="D19" s="28">
        <f>(20000*1.25)/257000</f>
        <v>9.727626459143969E-2</v>
      </c>
      <c r="E19" s="102" t="s">
        <v>29</v>
      </c>
      <c r="F19" s="102"/>
      <c r="G19" s="102"/>
      <c r="H19" s="102"/>
      <c r="I19" s="102"/>
      <c r="J19" s="102"/>
      <c r="K19" s="102"/>
      <c r="L19" s="102"/>
      <c r="M19" s="102"/>
      <c r="N19" s="102"/>
    </row>
    <row r="20" spans="1:17" ht="42.75" customHeight="1" x14ac:dyDescent="0.25">
      <c r="B20" s="21">
        <f>B11*B13</f>
        <v>71060</v>
      </c>
      <c r="C20" s="93" t="s">
        <v>61</v>
      </c>
      <c r="D20" s="94"/>
      <c r="E20" s="94"/>
      <c r="F20" s="94"/>
      <c r="G20" s="94"/>
      <c r="H20" s="94"/>
      <c r="I20" s="94"/>
      <c r="J20" s="94"/>
      <c r="K20" s="94"/>
      <c r="L20" s="94"/>
      <c r="M20" s="94"/>
      <c r="N20" s="94"/>
      <c r="O20" s="127">
        <f>B20/regional_res_heat_mmbtu</f>
        <v>0.1</v>
      </c>
    </row>
    <row r="21" spans="1:17" x14ac:dyDescent="0.25">
      <c r="B21" s="19"/>
      <c r="C21" s="24"/>
      <c r="D21" s="24"/>
      <c r="E21" s="24"/>
      <c r="F21" s="24"/>
      <c r="G21" s="24"/>
      <c r="H21" s="24"/>
    </row>
    <row r="22" spans="1:17" ht="18.75" x14ac:dyDescent="0.3">
      <c r="B22" s="22"/>
      <c r="C22" s="2" t="s">
        <v>30</v>
      </c>
    </row>
    <row r="23" spans="1:17" ht="15.75" x14ac:dyDescent="0.25">
      <c r="B23" s="22"/>
      <c r="C23" s="30"/>
    </row>
    <row r="24" spans="1:17" ht="44.25" customHeight="1" x14ac:dyDescent="0.25">
      <c r="A24" s="22">
        <v>1</v>
      </c>
      <c r="B24" s="23">
        <f ca="1">K43</f>
        <v>1</v>
      </c>
      <c r="C24" s="95" t="s">
        <v>373</v>
      </c>
      <c r="D24" s="94"/>
      <c r="E24" s="94"/>
      <c r="F24" s="94"/>
      <c r="G24" s="94"/>
      <c r="H24" s="94"/>
      <c r="I24" s="94"/>
      <c r="J24" s="94"/>
      <c r="K24" s="94"/>
      <c r="L24" s="94"/>
      <c r="M24" s="94"/>
      <c r="N24" s="94"/>
      <c r="O24" s="109">
        <f ca="1">B24/regional_com_bldgs</f>
        <v>0.1</v>
      </c>
    </row>
    <row r="25" spans="1:17" s="16" customFormat="1" ht="32.25" customHeight="1" x14ac:dyDescent="0.25">
      <c r="A25" s="22"/>
      <c r="B25" s="22"/>
      <c r="D25" s="16" t="s">
        <v>2</v>
      </c>
      <c r="E25" s="31" t="s">
        <v>31</v>
      </c>
      <c r="G25" s="16" t="s">
        <v>32</v>
      </c>
    </row>
    <row r="26" spans="1:17" ht="99.75" customHeight="1" x14ac:dyDescent="0.25">
      <c r="A26" s="22">
        <v>2</v>
      </c>
      <c r="B26" s="23">
        <f ca="1">L43</f>
        <v>295.29602737736008</v>
      </c>
      <c r="C26" s="105" t="s">
        <v>392</v>
      </c>
      <c r="D26" s="106"/>
      <c r="E26" s="106"/>
      <c r="F26" s="106"/>
      <c r="G26" s="106"/>
      <c r="H26" s="106"/>
      <c r="I26" s="106"/>
      <c r="J26" s="106"/>
      <c r="K26" s="106"/>
      <c r="L26" s="106"/>
      <c r="M26" s="106"/>
      <c r="N26" s="106"/>
      <c r="O26" s="108">
        <f ca="1">B26*O24</f>
        <v>29.52960273773601</v>
      </c>
    </row>
    <row r="27" spans="1:17" x14ac:dyDescent="0.25">
      <c r="B27" s="22"/>
    </row>
    <row r="28" spans="1:17" ht="54" customHeight="1" x14ac:dyDescent="0.25">
      <c r="B28" s="22"/>
      <c r="D28" s="32" t="s">
        <v>33</v>
      </c>
      <c r="E28" s="33" t="s">
        <v>34</v>
      </c>
      <c r="F28" s="33" t="s">
        <v>350</v>
      </c>
      <c r="G28" s="33" t="s">
        <v>35</v>
      </c>
      <c r="H28" s="33" t="s">
        <v>351</v>
      </c>
      <c r="I28" s="33" t="s">
        <v>352</v>
      </c>
      <c r="J28" s="33" t="s">
        <v>353</v>
      </c>
      <c r="K28" s="33" t="s">
        <v>354</v>
      </c>
      <c r="L28" s="34" t="s">
        <v>355</v>
      </c>
      <c r="N28" s="68"/>
    </row>
    <row r="29" spans="1:17" ht="47.25" customHeight="1" x14ac:dyDescent="0.25">
      <c r="B29" s="22"/>
      <c r="C29">
        <v>1</v>
      </c>
      <c r="D29" s="35" t="s">
        <v>36</v>
      </c>
      <c r="E29" s="36">
        <v>1418</v>
      </c>
      <c r="F29" s="69">
        <f>E29/$E$43</f>
        <v>7.6166944190793368E-2</v>
      </c>
      <c r="G29" s="36">
        <v>9210</v>
      </c>
      <c r="H29" s="36">
        <f t="shared" ref="H29:H42" si="0">G29/E29</f>
        <v>6.4950634696755998</v>
      </c>
      <c r="I29" s="36">
        <f>H29/SUM($H$29:$H$42)*$I$43</f>
        <v>506702.40423687408</v>
      </c>
      <c r="J29" s="36">
        <f>I29/E29</f>
        <v>357.33596913742883</v>
      </c>
      <c r="K29" s="36">
        <f ca="1">INDEX(OFFSET(town_establishments[42. Wholesale trade],,C29-$C$29),MATCH($M$3,town_establishments[Municipality],0),)</f>
        <v>0</v>
      </c>
      <c r="L29" s="37">
        <f ca="1">IF(K29="","",K29/$K$43)</f>
        <v>0</v>
      </c>
      <c r="Q29" s="18"/>
    </row>
    <row r="30" spans="1:17" ht="47.25" customHeight="1" x14ac:dyDescent="0.25">
      <c r="B30" s="22"/>
      <c r="C30">
        <v>2</v>
      </c>
      <c r="D30" s="38" t="s">
        <v>37</v>
      </c>
      <c r="E30" s="39">
        <v>3134</v>
      </c>
      <c r="F30" s="70">
        <f t="shared" ref="F30:F42" si="1">E30/$E$43</f>
        <v>0.1683407638180158</v>
      </c>
      <c r="G30" s="39">
        <v>37178</v>
      </c>
      <c r="H30" s="39">
        <f t="shared" si="0"/>
        <v>11.862795149968091</v>
      </c>
      <c r="I30" s="39">
        <f t="shared" ref="I30:I42" si="2">H30/SUM($H$29:$H$42)*$I$43</f>
        <v>925457.74980064656</v>
      </c>
      <c r="J30" s="39">
        <f t="shared" ref="J30:J42" si="3">I30/E30</f>
        <v>295.29602737736008</v>
      </c>
      <c r="K30" s="39">
        <f ca="1">INDEX(OFFSET(town_establishments[42. Wholesale trade],,C30-$C$29),MATCH($M$3,town_establishments[Municipality],0),)</f>
        <v>1</v>
      </c>
      <c r="L30" s="40">
        <f t="shared" ref="L30:L42" ca="1" si="4">IF(K30="","",K30/$K$43)</f>
        <v>1</v>
      </c>
      <c r="Q30" s="18"/>
    </row>
    <row r="31" spans="1:17" ht="47.25" customHeight="1" x14ac:dyDescent="0.25">
      <c r="B31" s="22"/>
      <c r="C31">
        <v>3</v>
      </c>
      <c r="D31" s="38" t="s">
        <v>38</v>
      </c>
      <c r="E31" s="39">
        <v>549</v>
      </c>
      <c r="F31" s="70">
        <f t="shared" si="1"/>
        <v>2.9489176559058923E-2</v>
      </c>
      <c r="G31" s="39">
        <v>6436</v>
      </c>
      <c r="H31" s="39">
        <f t="shared" si="0"/>
        <v>11.723132969034609</v>
      </c>
      <c r="I31" s="39">
        <f t="shared" si="2"/>
        <v>914562.21918876551</v>
      </c>
      <c r="J31" s="39">
        <f t="shared" si="3"/>
        <v>1665.8692517099553</v>
      </c>
      <c r="K31" s="39">
        <f ca="1">INDEX(OFFSET(town_establishments[42. Wholesale trade],,C31-$C$29),MATCH($M$3,town_establishments[Municipality],0),)</f>
        <v>0</v>
      </c>
      <c r="L31" s="40">
        <f t="shared" ca="1" si="4"/>
        <v>0</v>
      </c>
      <c r="Q31" s="18"/>
    </row>
    <row r="32" spans="1:17" ht="47.25" customHeight="1" x14ac:dyDescent="0.25">
      <c r="B32" s="22"/>
      <c r="C32">
        <v>4</v>
      </c>
      <c r="D32" s="38" t="s">
        <v>39</v>
      </c>
      <c r="E32" s="39">
        <v>483</v>
      </c>
      <c r="F32" s="70">
        <f t="shared" si="1"/>
        <v>2.5944029650319601E-2</v>
      </c>
      <c r="G32" s="39">
        <v>4689</v>
      </c>
      <c r="H32" s="39">
        <f t="shared" si="0"/>
        <v>9.70807453416149</v>
      </c>
      <c r="I32" s="39">
        <f t="shared" si="2"/>
        <v>757360.52925993747</v>
      </c>
      <c r="J32" s="39">
        <f t="shared" si="3"/>
        <v>1568.0342220702639</v>
      </c>
      <c r="K32" s="39">
        <f ca="1">INDEX(OFFSET(town_establishments[42. Wholesale trade],,C32-$C$29),MATCH($M$3,town_establishments[Municipality],0),)</f>
        <v>0</v>
      </c>
      <c r="L32" s="40">
        <f t="shared" ca="1" si="4"/>
        <v>0</v>
      </c>
      <c r="Q32" s="18"/>
    </row>
    <row r="33" spans="2:19" ht="47.25" customHeight="1" x14ac:dyDescent="0.25">
      <c r="B33" s="22"/>
      <c r="C33">
        <v>5</v>
      </c>
      <c r="D33" s="41" t="s">
        <v>40</v>
      </c>
      <c r="E33" s="39">
        <v>944</v>
      </c>
      <c r="F33" s="70">
        <f t="shared" si="1"/>
        <v>5.0706343664392757E-2</v>
      </c>
      <c r="G33" s="39">
        <v>8692</v>
      </c>
      <c r="H33" s="39">
        <f t="shared" si="0"/>
        <v>9.2076271186440675</v>
      </c>
      <c r="I33" s="39">
        <f t="shared" si="2"/>
        <v>718318.89251216396</v>
      </c>
      <c r="J33" s="39">
        <f t="shared" si="3"/>
        <v>760.93103020356352</v>
      </c>
      <c r="K33" s="39">
        <f ca="1">INDEX(OFFSET(town_establishments[42. Wholesale trade],,C33-$C$29),MATCH($M$3,town_establishments[Municipality],0),)</f>
        <v>0</v>
      </c>
      <c r="L33" s="40">
        <f t="shared" ca="1" si="4"/>
        <v>0</v>
      </c>
      <c r="Q33" s="18"/>
    </row>
    <row r="34" spans="2:19" ht="47.25" customHeight="1" x14ac:dyDescent="0.25">
      <c r="B34" s="22"/>
      <c r="C34">
        <v>6</v>
      </c>
      <c r="D34" s="38" t="s">
        <v>41</v>
      </c>
      <c r="E34" s="39">
        <v>716</v>
      </c>
      <c r="F34" s="70">
        <f t="shared" si="1"/>
        <v>3.8459472525111456E-2</v>
      </c>
      <c r="G34" s="39">
        <v>2837</v>
      </c>
      <c r="H34" s="39">
        <f t="shared" si="0"/>
        <v>3.9622905027932962</v>
      </c>
      <c r="I34" s="39">
        <f t="shared" si="2"/>
        <v>309112.00997864484</v>
      </c>
      <c r="J34" s="39">
        <f t="shared" si="3"/>
        <v>431.72068432771624</v>
      </c>
      <c r="K34" s="39">
        <f ca="1">INDEX(OFFSET(town_establishments[42. Wholesale trade],,C34-$C$29),MATCH($M$3,town_establishments[Municipality],0),)</f>
        <v>0</v>
      </c>
      <c r="L34" s="40">
        <f t="shared" ca="1" si="4"/>
        <v>0</v>
      </c>
      <c r="Q34" s="18"/>
    </row>
    <row r="35" spans="2:19" ht="47.25" customHeight="1" x14ac:dyDescent="0.25">
      <c r="B35" s="22"/>
      <c r="C35">
        <v>7</v>
      </c>
      <c r="D35" s="41" t="s">
        <v>42</v>
      </c>
      <c r="E35" s="39">
        <v>3170</v>
      </c>
      <c r="F35" s="70">
        <f t="shared" si="1"/>
        <v>0.1702744803136918</v>
      </c>
      <c r="G35" s="39">
        <v>14050</v>
      </c>
      <c r="H35" s="39">
        <f t="shared" si="0"/>
        <v>4.4321766561514195</v>
      </c>
      <c r="I35" s="39">
        <f t="shared" si="2"/>
        <v>345769.45678201987</v>
      </c>
      <c r="J35" s="39">
        <f t="shared" si="3"/>
        <v>109.07553841704097</v>
      </c>
      <c r="K35" s="39">
        <f ca="1">INDEX(OFFSET(town_establishments[42. Wholesale trade],,C35-$C$29),MATCH($M$3,town_establishments[Municipality],0),)</f>
        <v>0</v>
      </c>
      <c r="L35" s="40">
        <f t="shared" ca="1" si="4"/>
        <v>0</v>
      </c>
      <c r="Q35" s="18"/>
    </row>
    <row r="36" spans="2:19" ht="47.25" customHeight="1" x14ac:dyDescent="0.25">
      <c r="B36" s="22"/>
      <c r="C36">
        <v>8</v>
      </c>
      <c r="D36" s="41" t="s">
        <v>43</v>
      </c>
      <c r="E36" s="39">
        <v>112</v>
      </c>
      <c r="F36" s="70">
        <f t="shared" si="1"/>
        <v>6.016006875436429E-3</v>
      </c>
      <c r="G36" s="39">
        <v>2213</v>
      </c>
      <c r="H36" s="39">
        <f t="shared" si="0"/>
        <v>19.758928571428573</v>
      </c>
      <c r="I36" s="39">
        <f t="shared" si="2"/>
        <v>1541462.4751600111</v>
      </c>
      <c r="J36" s="39">
        <f t="shared" si="3"/>
        <v>13763.05781392867</v>
      </c>
      <c r="K36" s="39">
        <f ca="1">INDEX(OFFSET(town_establishments[42. Wholesale trade],,C36-$C$29),MATCH($M$3,town_establishments[Municipality],0),)</f>
        <v>0</v>
      </c>
      <c r="L36" s="40">
        <f t="shared" ca="1" si="4"/>
        <v>0</v>
      </c>
      <c r="Q36" s="18"/>
    </row>
    <row r="37" spans="2:19" ht="47.25" customHeight="1" x14ac:dyDescent="0.25">
      <c r="B37" s="22"/>
      <c r="C37">
        <v>9</v>
      </c>
      <c r="D37" s="41" t="s">
        <v>44</v>
      </c>
      <c r="E37" s="39">
        <v>1580</v>
      </c>
      <c r="F37" s="70">
        <f t="shared" si="1"/>
        <v>8.4868668421335336E-2</v>
      </c>
      <c r="G37" s="39">
        <v>9665</v>
      </c>
      <c r="H37" s="39">
        <f t="shared" si="0"/>
        <v>6.1170886075949369</v>
      </c>
      <c r="I37" s="39">
        <f t="shared" si="2"/>
        <v>477215.27570432739</v>
      </c>
      <c r="J37" s="39">
        <f t="shared" si="3"/>
        <v>302.034984622992</v>
      </c>
      <c r="K37" s="39">
        <f ca="1">INDEX(OFFSET(town_establishments[42. Wholesale trade],,C37-$C$29),MATCH($M$3,town_establishments[Municipality],0),)</f>
        <v>0</v>
      </c>
      <c r="L37" s="40">
        <f t="shared" ca="1" si="4"/>
        <v>0</v>
      </c>
      <c r="Q37" s="18"/>
    </row>
    <row r="38" spans="2:19" ht="47.25" customHeight="1" x14ac:dyDescent="0.25">
      <c r="B38" s="22"/>
      <c r="C38">
        <v>10</v>
      </c>
      <c r="D38" s="38" t="s">
        <v>45</v>
      </c>
      <c r="E38" s="39">
        <v>422</v>
      </c>
      <c r="F38" s="70">
        <f t="shared" si="1"/>
        <v>2.2667454477090832E-2</v>
      </c>
      <c r="G38" s="39">
        <v>10349</v>
      </c>
      <c r="H38" s="39">
        <f t="shared" si="0"/>
        <v>24.523696682464454</v>
      </c>
      <c r="I38" s="39">
        <f t="shared" si="2"/>
        <v>1913178.5436426576</v>
      </c>
      <c r="J38" s="39">
        <f t="shared" si="3"/>
        <v>4533.5984446508473</v>
      </c>
      <c r="K38" s="39">
        <f ca="1">INDEX(OFFSET(town_establishments[42. Wholesale trade],,C38-$C$29),MATCH($M$3,town_establishments[Municipality],0),)</f>
        <v>0</v>
      </c>
      <c r="L38" s="40">
        <f t="shared" ca="1" si="4"/>
        <v>0</v>
      </c>
      <c r="Q38" s="18"/>
    </row>
    <row r="39" spans="2:19" ht="47.25" customHeight="1" x14ac:dyDescent="0.25">
      <c r="B39" s="22"/>
      <c r="C39">
        <v>11</v>
      </c>
      <c r="D39" s="41" t="s">
        <v>46</v>
      </c>
      <c r="E39" s="39">
        <v>1888</v>
      </c>
      <c r="F39" s="70">
        <f t="shared" si="1"/>
        <v>0.10141268732878551</v>
      </c>
      <c r="G39" s="39">
        <v>49518</v>
      </c>
      <c r="H39" s="39">
        <f t="shared" si="0"/>
        <v>26.227754237288135</v>
      </c>
      <c r="I39" s="39">
        <f t="shared" si="2"/>
        <v>2046117.9774170117</v>
      </c>
      <c r="J39" s="39">
        <f t="shared" si="3"/>
        <v>1083.7489287166375</v>
      </c>
      <c r="K39" s="39">
        <f ca="1">INDEX(OFFSET(town_establishments[42. Wholesale trade],,C39-$C$29),MATCH($M$3,town_establishments[Municipality],0),)</f>
        <v>0</v>
      </c>
      <c r="L39" s="40">
        <f t="shared" ca="1" si="4"/>
        <v>0</v>
      </c>
      <c r="Q39" s="18"/>
    </row>
    <row r="40" spans="2:19" ht="47.25" customHeight="1" x14ac:dyDescent="0.25">
      <c r="B40" s="22"/>
      <c r="C40">
        <v>12</v>
      </c>
      <c r="D40" s="41" t="s">
        <v>47</v>
      </c>
      <c r="E40" s="39">
        <v>412</v>
      </c>
      <c r="F40" s="70">
        <f t="shared" si="1"/>
        <v>2.2130311006069721E-2</v>
      </c>
      <c r="G40" s="39">
        <v>3869</v>
      </c>
      <c r="H40" s="39">
        <f t="shared" si="0"/>
        <v>9.3907766990291268</v>
      </c>
      <c r="I40" s="39">
        <f t="shared" si="2"/>
        <v>732607.02582284878</v>
      </c>
      <c r="J40" s="39">
        <f t="shared" si="3"/>
        <v>1778.1723927739049</v>
      </c>
      <c r="K40" s="39">
        <f ca="1">INDEX(OFFSET(town_establishments[42. Wholesale trade],,C40-$C$29),MATCH($M$3,town_establishments[Municipality],0),)</f>
        <v>0</v>
      </c>
      <c r="L40" s="40">
        <f t="shared" ca="1" si="4"/>
        <v>0</v>
      </c>
      <c r="Q40" s="18"/>
    </row>
    <row r="41" spans="2:19" ht="47.25" customHeight="1" x14ac:dyDescent="0.25">
      <c r="B41" s="22"/>
      <c r="C41">
        <v>13</v>
      </c>
      <c r="D41" s="38" t="s">
        <v>48</v>
      </c>
      <c r="E41" s="39">
        <v>1807</v>
      </c>
      <c r="F41" s="70">
        <f t="shared" si="1"/>
        <v>9.706182521351453E-2</v>
      </c>
      <c r="G41" s="39">
        <v>33991</v>
      </c>
      <c r="H41" s="39">
        <f t="shared" si="0"/>
        <v>18.810736026563365</v>
      </c>
      <c r="I41" s="39">
        <f t="shared" si="2"/>
        <v>1467490.6896022826</v>
      </c>
      <c r="J41" s="39">
        <f t="shared" si="3"/>
        <v>812.11438273507611</v>
      </c>
      <c r="K41" s="39">
        <f ca="1">INDEX(OFFSET(town_establishments[42. Wholesale trade],,C41-$C$29),MATCH($M$3,town_establishments[Municipality],0),)</f>
        <v>0</v>
      </c>
      <c r="L41" s="40">
        <f t="shared" ca="1" si="4"/>
        <v>0</v>
      </c>
      <c r="Q41" s="18"/>
    </row>
    <row r="42" spans="2:19" ht="47.25" customHeight="1" x14ac:dyDescent="0.25">
      <c r="B42" s="22"/>
      <c r="C42">
        <v>14</v>
      </c>
      <c r="D42" s="41" t="s">
        <v>49</v>
      </c>
      <c r="E42" s="39">
        <v>1982</v>
      </c>
      <c r="F42" s="70">
        <f t="shared" si="1"/>
        <v>0.10646183595638395</v>
      </c>
      <c r="G42" s="39">
        <v>8756</v>
      </c>
      <c r="H42" s="39">
        <f t="shared" si="0"/>
        <v>4.4177598385469219</v>
      </c>
      <c r="I42" s="39">
        <f t="shared" si="2"/>
        <v>344644.75089180813</v>
      </c>
      <c r="J42" s="39">
        <f t="shared" si="3"/>
        <v>173.88736170121501</v>
      </c>
      <c r="K42" s="39">
        <f ca="1">INDEX(OFFSET(town_establishments[42. Wholesale trade],,C42-$C$29),MATCH($M$3,town_establishments[Municipality],0),)</f>
        <v>0</v>
      </c>
      <c r="L42" s="40">
        <f t="shared" ca="1" si="4"/>
        <v>0</v>
      </c>
      <c r="Q42" s="18"/>
    </row>
    <row r="43" spans="2:19" ht="33" customHeight="1" x14ac:dyDescent="0.25">
      <c r="B43" s="22"/>
      <c r="D43" s="42"/>
      <c r="E43" s="45">
        <f>SUM(E29:E42)</f>
        <v>18617</v>
      </c>
      <c r="F43" s="45"/>
      <c r="G43" s="45">
        <f>SUM(G29:G42)</f>
        <v>201453</v>
      </c>
      <c r="H43" s="43"/>
      <c r="I43" s="44">
        <v>13000000</v>
      </c>
      <c r="J43" s="43"/>
      <c r="K43" s="45">
        <f ca="1">SUM(K29:K42)</f>
        <v>1</v>
      </c>
      <c r="L43" s="46">
        <f ca="1">SUMPRODUCT(J29:J42,L29:L42)</f>
        <v>295.29602737736008</v>
      </c>
      <c r="M43" s="103" t="s">
        <v>356</v>
      </c>
      <c r="N43" s="104"/>
      <c r="O43" s="104"/>
      <c r="P43" s="104"/>
      <c r="Q43" s="104"/>
      <c r="R43" s="104"/>
      <c r="S43" s="104"/>
    </row>
    <row r="44" spans="2:19" ht="22.5" customHeight="1" x14ac:dyDescent="0.25">
      <c r="B44" s="22"/>
    </row>
    <row r="45" spans="2:19" ht="37.5" customHeight="1" x14ac:dyDescent="0.25">
      <c r="B45" s="21">
        <f ca="1">B24*B26</f>
        <v>295.29602737736008</v>
      </c>
      <c r="C45" s="93" t="s">
        <v>62</v>
      </c>
      <c r="D45" s="94"/>
      <c r="E45" s="94"/>
      <c r="F45" s="94"/>
      <c r="G45" s="94"/>
      <c r="H45" s="94"/>
      <c r="I45" s="94"/>
      <c r="J45" s="94"/>
      <c r="K45" s="94"/>
      <c r="L45" s="94"/>
      <c r="M45" s="94"/>
      <c r="N45" s="94"/>
      <c r="O45" s="127">
        <f ca="1">B45/regional_com_heat_mmbtu</f>
        <v>9.9999999999999992E-2</v>
      </c>
    </row>
    <row r="54" spans="4:4" x14ac:dyDescent="0.25">
      <c r="D54" s="18"/>
    </row>
  </sheetData>
  <mergeCells count="20">
    <mergeCell ref="M43:S43"/>
    <mergeCell ref="C45:N45"/>
    <mergeCell ref="E17:N17"/>
    <mergeCell ref="E18:N18"/>
    <mergeCell ref="E19:N19"/>
    <mergeCell ref="C20:N20"/>
    <mergeCell ref="C24:N24"/>
    <mergeCell ref="C26:N26"/>
    <mergeCell ref="E12:F12"/>
    <mergeCell ref="G12:N12"/>
    <mergeCell ref="C13:N13"/>
    <mergeCell ref="E14:N14"/>
    <mergeCell ref="E15:N15"/>
    <mergeCell ref="E16:N16"/>
    <mergeCell ref="B3:L3"/>
    <mergeCell ref="M3:N3"/>
    <mergeCell ref="B4:N4"/>
    <mergeCell ref="B5:M5"/>
    <mergeCell ref="C7:N7"/>
    <mergeCell ref="C11:N11"/>
  </mergeCells>
  <dataValidations count="1">
    <dataValidation type="list" allowBlank="1" showInputMessage="1" showErrorMessage="1" sqref="M3:N3">
      <formula1>INDIRECT("town_population[Municipality]")</formula1>
    </dataValidation>
  </dataValidations>
  <hyperlinks>
    <hyperlink ref="E12" r:id="rId1" display="Census data"/>
    <hyperlink ref="E25" r:id="rId2" display="Vermont Dept of Labor website"/>
  </hyperlinks>
  <pageMargins left="0.7" right="0.7" top="0.75" bottom="0.75" header="0.3" footer="0.3"/>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autoPageBreaks="0"/>
  </sheetPr>
  <dimension ref="A1:S54"/>
  <sheetViews>
    <sheetView zoomScale="70" zoomScaleNormal="70" workbookViewId="0">
      <selection activeCell="B4" sqref="B4:N4"/>
    </sheetView>
  </sheetViews>
  <sheetFormatPr defaultRowHeight="15" x14ac:dyDescent="0.25"/>
  <cols>
    <col min="1" max="1" width="2.5703125" style="22" customWidth="1"/>
    <col min="2" max="12" width="15.140625" customWidth="1"/>
    <col min="13" max="14" width="14.5703125" customWidth="1"/>
    <col min="15" max="15" width="11.85546875" customWidth="1"/>
  </cols>
  <sheetData>
    <row r="1" spans="1:15" ht="21" x14ac:dyDescent="0.35">
      <c r="A1" s="19"/>
      <c r="B1" s="20" t="s">
        <v>53</v>
      </c>
    </row>
    <row r="2" spans="1:15" x14ac:dyDescent="0.25">
      <c r="A2" s="19"/>
      <c r="B2" s="4"/>
    </row>
    <row r="3" spans="1:15" ht="24.75" customHeight="1" x14ac:dyDescent="0.25">
      <c r="A3" s="19"/>
      <c r="B3" s="86" t="s">
        <v>382</v>
      </c>
      <c r="C3" s="87"/>
      <c r="D3" s="87"/>
      <c r="E3" s="87"/>
      <c r="F3" s="87"/>
      <c r="G3" s="87"/>
      <c r="H3" s="87"/>
      <c r="I3" s="87"/>
      <c r="J3" s="87"/>
      <c r="K3" s="87"/>
      <c r="L3" s="110"/>
      <c r="M3" s="107" t="s">
        <v>264</v>
      </c>
      <c r="N3" s="107"/>
    </row>
    <row r="4" spans="1:15" ht="24.75" customHeight="1" x14ac:dyDescent="0.25">
      <c r="A4" s="19"/>
      <c r="B4" s="88" t="s">
        <v>383</v>
      </c>
      <c r="C4" s="89"/>
      <c r="D4" s="89"/>
      <c r="E4" s="89"/>
      <c r="F4" s="89"/>
      <c r="G4" s="89"/>
      <c r="H4" s="89"/>
      <c r="I4" s="89"/>
      <c r="J4" s="89"/>
      <c r="K4" s="89"/>
      <c r="L4" s="89"/>
      <c r="M4" s="89"/>
      <c r="N4" s="90"/>
    </row>
    <row r="5" spans="1:15" ht="24.75" customHeight="1" x14ac:dyDescent="0.25">
      <c r="A5" s="19"/>
      <c r="B5" s="91" t="s">
        <v>381</v>
      </c>
      <c r="C5" s="92"/>
      <c r="D5" s="92"/>
      <c r="E5" s="92"/>
      <c r="F5" s="92"/>
      <c r="G5" s="92"/>
      <c r="H5" s="92"/>
      <c r="I5" s="92"/>
      <c r="J5" s="92"/>
      <c r="K5" s="92"/>
      <c r="L5" s="92"/>
      <c r="M5" s="111"/>
      <c r="N5" s="76" t="s">
        <v>372</v>
      </c>
    </row>
    <row r="6" spans="1:15" x14ac:dyDescent="0.25">
      <c r="A6" s="19"/>
    </row>
    <row r="7" spans="1:15" ht="42.75" customHeight="1" x14ac:dyDescent="0.25">
      <c r="A7" s="19"/>
      <c r="B7" s="21">
        <f ca="1">SUM(B20,B45)</f>
        <v>71355.296027377364</v>
      </c>
      <c r="C7" s="93" t="s">
        <v>391</v>
      </c>
      <c r="D7" s="94"/>
      <c r="E7" s="94"/>
      <c r="F7" s="94"/>
      <c r="G7" s="94"/>
      <c r="H7" s="94"/>
      <c r="I7" s="94"/>
      <c r="J7" s="94"/>
      <c r="K7" s="94"/>
      <c r="L7" s="94"/>
      <c r="M7" s="94"/>
      <c r="N7" s="94"/>
    </row>
    <row r="8" spans="1:15" x14ac:dyDescent="0.25">
      <c r="A8" s="19"/>
      <c r="B8" s="22"/>
    </row>
    <row r="9" spans="1:15" ht="18.75" x14ac:dyDescent="0.3">
      <c r="B9" s="22"/>
      <c r="C9" s="2" t="s">
        <v>20</v>
      </c>
    </row>
    <row r="10" spans="1:15" x14ac:dyDescent="0.25">
      <c r="B10" s="22"/>
      <c r="C10" s="5"/>
    </row>
    <row r="11" spans="1:15" ht="42.75" customHeight="1" x14ac:dyDescent="0.25">
      <c r="A11" s="22">
        <v>1</v>
      </c>
      <c r="B11" s="23">
        <v>646</v>
      </c>
      <c r="C11" s="95" t="s">
        <v>69</v>
      </c>
      <c r="D11" s="94"/>
      <c r="E11" s="94"/>
      <c r="F11" s="94"/>
      <c r="G11" s="94"/>
      <c r="H11" s="94"/>
      <c r="I11" s="94"/>
      <c r="J11" s="94"/>
      <c r="K11" s="94"/>
      <c r="L11" s="94"/>
      <c r="M11" s="94"/>
      <c r="N11" s="94"/>
      <c r="O11" s="28">
        <f>B11/regional_res_bldgs</f>
        <v>0.1</v>
      </c>
    </row>
    <row r="12" spans="1:15" ht="42.75" customHeight="1" x14ac:dyDescent="0.25">
      <c r="B12" s="19"/>
      <c r="C12" s="24"/>
      <c r="D12" s="59" t="s">
        <v>21</v>
      </c>
      <c r="E12" s="100" t="s">
        <v>3</v>
      </c>
      <c r="F12" s="100"/>
      <c r="G12" s="97" t="s">
        <v>22</v>
      </c>
      <c r="H12" s="97"/>
      <c r="I12" s="97"/>
      <c r="J12" s="97"/>
      <c r="K12" s="97"/>
      <c r="L12" s="97"/>
      <c r="M12" s="97"/>
      <c r="N12" s="97"/>
    </row>
    <row r="13" spans="1:15" ht="52.5" customHeight="1" x14ac:dyDescent="0.25">
      <c r="A13" s="22">
        <v>2</v>
      </c>
      <c r="B13" s="23">
        <v>110</v>
      </c>
      <c r="C13" s="101" t="s">
        <v>68</v>
      </c>
      <c r="D13" s="102"/>
      <c r="E13" s="102"/>
      <c r="F13" s="102"/>
      <c r="G13" s="102"/>
      <c r="H13" s="102"/>
      <c r="I13" s="102"/>
      <c r="J13" s="102"/>
      <c r="K13" s="102"/>
      <c r="L13" s="102"/>
      <c r="M13" s="102"/>
      <c r="N13" s="102"/>
      <c r="O13" s="62">
        <f>B13*O11</f>
        <v>11</v>
      </c>
    </row>
    <row r="14" spans="1:15" ht="42.75" customHeight="1" x14ac:dyDescent="0.25">
      <c r="B14" s="22"/>
      <c r="C14" s="25"/>
      <c r="D14" s="26" t="s">
        <v>23</v>
      </c>
      <c r="E14" s="102" t="s">
        <v>24</v>
      </c>
      <c r="F14" s="102"/>
      <c r="G14" s="102"/>
      <c r="H14" s="102"/>
      <c r="I14" s="102"/>
      <c r="J14" s="102"/>
      <c r="K14" s="102"/>
      <c r="L14" s="102"/>
      <c r="M14" s="102"/>
      <c r="N14" s="102"/>
    </row>
    <row r="15" spans="1:15" ht="42.75" customHeight="1" x14ac:dyDescent="0.25">
      <c r="B15" s="19"/>
      <c r="C15" s="27"/>
      <c r="D15" s="28">
        <v>0.26</v>
      </c>
      <c r="E15" s="102" t="s">
        <v>25</v>
      </c>
      <c r="F15" s="102"/>
      <c r="G15" s="102"/>
      <c r="H15" s="102"/>
      <c r="I15" s="102"/>
      <c r="J15" s="102"/>
      <c r="K15" s="102"/>
      <c r="L15" s="102"/>
      <c r="M15" s="102"/>
      <c r="N15" s="102"/>
    </row>
    <row r="16" spans="1:15" ht="42.75" customHeight="1" x14ac:dyDescent="0.25">
      <c r="B16" s="19"/>
      <c r="C16" s="27"/>
      <c r="D16" s="28">
        <v>0.5</v>
      </c>
      <c r="E16" s="102" t="s">
        <v>26</v>
      </c>
      <c r="F16" s="102"/>
      <c r="G16" s="102"/>
      <c r="H16" s="102"/>
      <c r="I16" s="102"/>
      <c r="J16" s="102"/>
      <c r="K16" s="102"/>
      <c r="L16" s="102"/>
      <c r="M16" s="102"/>
      <c r="N16" s="102"/>
    </row>
    <row r="17" spans="1:17" ht="42.75" customHeight="1" x14ac:dyDescent="0.25">
      <c r="B17" s="19"/>
      <c r="C17" s="27"/>
      <c r="D17" s="28">
        <v>0.2</v>
      </c>
      <c r="E17" s="102" t="s">
        <v>27</v>
      </c>
      <c r="F17" s="102"/>
      <c r="G17" s="102"/>
      <c r="H17" s="102"/>
      <c r="I17" s="102"/>
      <c r="J17" s="102"/>
      <c r="K17" s="102"/>
      <c r="L17" s="102"/>
      <c r="M17" s="102"/>
      <c r="N17" s="102"/>
    </row>
    <row r="18" spans="1:17" ht="42.75" customHeight="1" x14ac:dyDescent="0.25">
      <c r="B18" s="19"/>
      <c r="C18" s="27"/>
      <c r="D18" s="29">
        <v>2.2999999999999998</v>
      </c>
      <c r="E18" s="102" t="s">
        <v>28</v>
      </c>
      <c r="F18" s="102"/>
      <c r="G18" s="102"/>
      <c r="H18" s="102"/>
      <c r="I18" s="102"/>
      <c r="J18" s="102"/>
      <c r="K18" s="102"/>
      <c r="L18" s="102"/>
      <c r="M18" s="102"/>
      <c r="N18" s="102"/>
    </row>
    <row r="19" spans="1:17" ht="42.75" customHeight="1" x14ac:dyDescent="0.25">
      <c r="B19" s="19"/>
      <c r="C19" s="27"/>
      <c r="D19" s="28">
        <f>(20000*1.25)/257000</f>
        <v>9.727626459143969E-2</v>
      </c>
      <c r="E19" s="102" t="s">
        <v>29</v>
      </c>
      <c r="F19" s="102"/>
      <c r="G19" s="102"/>
      <c r="H19" s="102"/>
      <c r="I19" s="102"/>
      <c r="J19" s="102"/>
      <c r="K19" s="102"/>
      <c r="L19" s="102"/>
      <c r="M19" s="102"/>
      <c r="N19" s="102"/>
    </row>
    <row r="20" spans="1:17" ht="42.75" customHeight="1" x14ac:dyDescent="0.25">
      <c r="B20" s="21">
        <f>B11*B13</f>
        <v>71060</v>
      </c>
      <c r="C20" s="93" t="s">
        <v>61</v>
      </c>
      <c r="D20" s="94"/>
      <c r="E20" s="94"/>
      <c r="F20" s="94"/>
      <c r="G20" s="94"/>
      <c r="H20" s="94"/>
      <c r="I20" s="94"/>
      <c r="J20" s="94"/>
      <c r="K20" s="94"/>
      <c r="L20" s="94"/>
      <c r="M20" s="94"/>
      <c r="N20" s="94"/>
      <c r="O20" s="127">
        <f>B20/regional_res_heat_mmbtu</f>
        <v>0.1</v>
      </c>
    </row>
    <row r="21" spans="1:17" x14ac:dyDescent="0.25">
      <c r="B21" s="19"/>
      <c r="C21" s="24"/>
      <c r="D21" s="24"/>
      <c r="E21" s="24"/>
      <c r="F21" s="24"/>
      <c r="G21" s="24"/>
      <c r="H21" s="24"/>
    </row>
    <row r="22" spans="1:17" ht="18.75" x14ac:dyDescent="0.3">
      <c r="B22" s="22"/>
      <c r="C22" s="2" t="s">
        <v>30</v>
      </c>
    </row>
    <row r="23" spans="1:17" ht="15.75" x14ac:dyDescent="0.25">
      <c r="B23" s="22"/>
      <c r="C23" s="30"/>
    </row>
    <row r="24" spans="1:17" ht="44.25" customHeight="1" x14ac:dyDescent="0.25">
      <c r="A24" s="22">
        <v>1</v>
      </c>
      <c r="B24" s="23">
        <f ca="1">K43</f>
        <v>1</v>
      </c>
      <c r="C24" s="95" t="s">
        <v>373</v>
      </c>
      <c r="D24" s="94"/>
      <c r="E24" s="94"/>
      <c r="F24" s="94"/>
      <c r="G24" s="94"/>
      <c r="H24" s="94"/>
      <c r="I24" s="94"/>
      <c r="J24" s="94"/>
      <c r="K24" s="94"/>
      <c r="L24" s="94"/>
      <c r="M24" s="94"/>
      <c r="N24" s="94"/>
      <c r="O24" s="109">
        <f ca="1">B24/regional_com_bldgs</f>
        <v>0.1</v>
      </c>
    </row>
    <row r="25" spans="1:17" s="16" customFormat="1" ht="32.25" customHeight="1" x14ac:dyDescent="0.25">
      <c r="A25" s="22"/>
      <c r="B25" s="22"/>
      <c r="D25" s="16" t="s">
        <v>2</v>
      </c>
      <c r="E25" s="31" t="s">
        <v>31</v>
      </c>
      <c r="G25" s="16" t="s">
        <v>32</v>
      </c>
    </row>
    <row r="26" spans="1:17" ht="99.75" customHeight="1" x14ac:dyDescent="0.25">
      <c r="A26" s="22">
        <v>2</v>
      </c>
      <c r="B26" s="23">
        <f ca="1">L43</f>
        <v>295.29602737736008</v>
      </c>
      <c r="C26" s="105" t="s">
        <v>392</v>
      </c>
      <c r="D26" s="106"/>
      <c r="E26" s="106"/>
      <c r="F26" s="106"/>
      <c r="G26" s="106"/>
      <c r="H26" s="106"/>
      <c r="I26" s="106"/>
      <c r="J26" s="106"/>
      <c r="K26" s="106"/>
      <c r="L26" s="106"/>
      <c r="M26" s="106"/>
      <c r="N26" s="106"/>
      <c r="O26" s="108">
        <f ca="1">B26*O24</f>
        <v>29.52960273773601</v>
      </c>
    </row>
    <row r="27" spans="1:17" x14ac:dyDescent="0.25">
      <c r="B27" s="22"/>
    </row>
    <row r="28" spans="1:17" ht="54" customHeight="1" x14ac:dyDescent="0.25">
      <c r="B28" s="22"/>
      <c r="D28" s="32" t="s">
        <v>33</v>
      </c>
      <c r="E28" s="33" t="s">
        <v>34</v>
      </c>
      <c r="F28" s="33" t="s">
        <v>350</v>
      </c>
      <c r="G28" s="33" t="s">
        <v>35</v>
      </c>
      <c r="H28" s="33" t="s">
        <v>351</v>
      </c>
      <c r="I28" s="33" t="s">
        <v>352</v>
      </c>
      <c r="J28" s="33" t="s">
        <v>353</v>
      </c>
      <c r="K28" s="33" t="s">
        <v>354</v>
      </c>
      <c r="L28" s="34" t="s">
        <v>355</v>
      </c>
      <c r="N28" s="68"/>
    </row>
    <row r="29" spans="1:17" ht="47.25" customHeight="1" x14ac:dyDescent="0.25">
      <c r="B29" s="22"/>
      <c r="C29">
        <v>1</v>
      </c>
      <c r="D29" s="35" t="s">
        <v>36</v>
      </c>
      <c r="E29" s="36">
        <v>1418</v>
      </c>
      <c r="F29" s="69">
        <f>E29/$E$43</f>
        <v>7.6166944190793368E-2</v>
      </c>
      <c r="G29" s="36">
        <v>9210</v>
      </c>
      <c r="H29" s="36">
        <f t="shared" ref="H29:H42" si="0">G29/E29</f>
        <v>6.4950634696755998</v>
      </c>
      <c r="I29" s="36">
        <f>H29/SUM($H$29:$H$42)*$I$43</f>
        <v>506702.40423687408</v>
      </c>
      <c r="J29" s="36">
        <f>I29/E29</f>
        <v>357.33596913742883</v>
      </c>
      <c r="K29" s="36">
        <f ca="1">INDEX(OFFSET(town_establishments[42. Wholesale trade],,C29-$C$29),MATCH($M$3,town_establishments[Municipality],0),)</f>
        <v>0</v>
      </c>
      <c r="L29" s="37">
        <f ca="1">IF(K29="","",K29/$K$43)</f>
        <v>0</v>
      </c>
      <c r="Q29" s="18"/>
    </row>
    <row r="30" spans="1:17" ht="47.25" customHeight="1" x14ac:dyDescent="0.25">
      <c r="B30" s="22"/>
      <c r="C30">
        <v>2</v>
      </c>
      <c r="D30" s="38" t="s">
        <v>37</v>
      </c>
      <c r="E30" s="39">
        <v>3134</v>
      </c>
      <c r="F30" s="70">
        <f t="shared" ref="F30:F42" si="1">E30/$E$43</f>
        <v>0.1683407638180158</v>
      </c>
      <c r="G30" s="39">
        <v>37178</v>
      </c>
      <c r="H30" s="39">
        <f t="shared" si="0"/>
        <v>11.862795149968091</v>
      </c>
      <c r="I30" s="39">
        <f t="shared" ref="I30:I42" si="2">H30/SUM($H$29:$H$42)*$I$43</f>
        <v>925457.74980064656</v>
      </c>
      <c r="J30" s="39">
        <f t="shared" ref="J30:J42" si="3">I30/E30</f>
        <v>295.29602737736008</v>
      </c>
      <c r="K30" s="39">
        <f ca="1">INDEX(OFFSET(town_establishments[42. Wholesale trade],,C30-$C$29),MATCH($M$3,town_establishments[Municipality],0),)</f>
        <v>1</v>
      </c>
      <c r="L30" s="40">
        <f t="shared" ref="L30:L42" ca="1" si="4">IF(K30="","",K30/$K$43)</f>
        <v>1</v>
      </c>
      <c r="Q30" s="18"/>
    </row>
    <row r="31" spans="1:17" ht="47.25" customHeight="1" x14ac:dyDescent="0.25">
      <c r="B31" s="22"/>
      <c r="C31">
        <v>3</v>
      </c>
      <c r="D31" s="38" t="s">
        <v>38</v>
      </c>
      <c r="E31" s="39">
        <v>549</v>
      </c>
      <c r="F31" s="70">
        <f t="shared" si="1"/>
        <v>2.9489176559058923E-2</v>
      </c>
      <c r="G31" s="39">
        <v>6436</v>
      </c>
      <c r="H31" s="39">
        <f t="shared" si="0"/>
        <v>11.723132969034609</v>
      </c>
      <c r="I31" s="39">
        <f t="shared" si="2"/>
        <v>914562.21918876551</v>
      </c>
      <c r="J31" s="39">
        <f t="shared" si="3"/>
        <v>1665.8692517099553</v>
      </c>
      <c r="K31" s="39">
        <f ca="1">INDEX(OFFSET(town_establishments[42. Wholesale trade],,C31-$C$29),MATCH($M$3,town_establishments[Municipality],0),)</f>
        <v>0</v>
      </c>
      <c r="L31" s="40">
        <f t="shared" ca="1" si="4"/>
        <v>0</v>
      </c>
      <c r="Q31" s="18"/>
    </row>
    <row r="32" spans="1:17" ht="47.25" customHeight="1" x14ac:dyDescent="0.25">
      <c r="B32" s="22"/>
      <c r="C32">
        <v>4</v>
      </c>
      <c r="D32" s="38" t="s">
        <v>39</v>
      </c>
      <c r="E32" s="39">
        <v>483</v>
      </c>
      <c r="F32" s="70">
        <f t="shared" si="1"/>
        <v>2.5944029650319601E-2</v>
      </c>
      <c r="G32" s="39">
        <v>4689</v>
      </c>
      <c r="H32" s="39">
        <f t="shared" si="0"/>
        <v>9.70807453416149</v>
      </c>
      <c r="I32" s="39">
        <f t="shared" si="2"/>
        <v>757360.52925993747</v>
      </c>
      <c r="J32" s="39">
        <f t="shared" si="3"/>
        <v>1568.0342220702639</v>
      </c>
      <c r="K32" s="39">
        <f ca="1">INDEX(OFFSET(town_establishments[42. Wholesale trade],,C32-$C$29),MATCH($M$3,town_establishments[Municipality],0),)</f>
        <v>0</v>
      </c>
      <c r="L32" s="40">
        <f t="shared" ca="1" si="4"/>
        <v>0</v>
      </c>
      <c r="Q32" s="18"/>
    </row>
    <row r="33" spans="2:19" ht="47.25" customHeight="1" x14ac:dyDescent="0.25">
      <c r="B33" s="22"/>
      <c r="C33">
        <v>5</v>
      </c>
      <c r="D33" s="41" t="s">
        <v>40</v>
      </c>
      <c r="E33" s="39">
        <v>944</v>
      </c>
      <c r="F33" s="70">
        <f t="shared" si="1"/>
        <v>5.0706343664392757E-2</v>
      </c>
      <c r="G33" s="39">
        <v>8692</v>
      </c>
      <c r="H33" s="39">
        <f t="shared" si="0"/>
        <v>9.2076271186440675</v>
      </c>
      <c r="I33" s="39">
        <f t="shared" si="2"/>
        <v>718318.89251216396</v>
      </c>
      <c r="J33" s="39">
        <f t="shared" si="3"/>
        <v>760.93103020356352</v>
      </c>
      <c r="K33" s="39">
        <f ca="1">INDEX(OFFSET(town_establishments[42. Wholesale trade],,C33-$C$29),MATCH($M$3,town_establishments[Municipality],0),)</f>
        <v>0</v>
      </c>
      <c r="L33" s="40">
        <f t="shared" ca="1" si="4"/>
        <v>0</v>
      </c>
      <c r="Q33" s="18"/>
    </row>
    <row r="34" spans="2:19" ht="47.25" customHeight="1" x14ac:dyDescent="0.25">
      <c r="B34" s="22"/>
      <c r="C34">
        <v>6</v>
      </c>
      <c r="D34" s="38" t="s">
        <v>41</v>
      </c>
      <c r="E34" s="39">
        <v>716</v>
      </c>
      <c r="F34" s="70">
        <f t="shared" si="1"/>
        <v>3.8459472525111456E-2</v>
      </c>
      <c r="G34" s="39">
        <v>2837</v>
      </c>
      <c r="H34" s="39">
        <f t="shared" si="0"/>
        <v>3.9622905027932962</v>
      </c>
      <c r="I34" s="39">
        <f t="shared" si="2"/>
        <v>309112.00997864484</v>
      </c>
      <c r="J34" s="39">
        <f t="shared" si="3"/>
        <v>431.72068432771624</v>
      </c>
      <c r="K34" s="39">
        <f ca="1">INDEX(OFFSET(town_establishments[42. Wholesale trade],,C34-$C$29),MATCH($M$3,town_establishments[Municipality],0),)</f>
        <v>0</v>
      </c>
      <c r="L34" s="40">
        <f t="shared" ca="1" si="4"/>
        <v>0</v>
      </c>
      <c r="Q34" s="18"/>
    </row>
    <row r="35" spans="2:19" ht="47.25" customHeight="1" x14ac:dyDescent="0.25">
      <c r="B35" s="22"/>
      <c r="C35">
        <v>7</v>
      </c>
      <c r="D35" s="41" t="s">
        <v>42</v>
      </c>
      <c r="E35" s="39">
        <v>3170</v>
      </c>
      <c r="F35" s="70">
        <f t="shared" si="1"/>
        <v>0.1702744803136918</v>
      </c>
      <c r="G35" s="39">
        <v>14050</v>
      </c>
      <c r="H35" s="39">
        <f t="shared" si="0"/>
        <v>4.4321766561514195</v>
      </c>
      <c r="I35" s="39">
        <f t="shared" si="2"/>
        <v>345769.45678201987</v>
      </c>
      <c r="J35" s="39">
        <f t="shared" si="3"/>
        <v>109.07553841704097</v>
      </c>
      <c r="K35" s="39">
        <f ca="1">INDEX(OFFSET(town_establishments[42. Wholesale trade],,C35-$C$29),MATCH($M$3,town_establishments[Municipality],0),)</f>
        <v>0</v>
      </c>
      <c r="L35" s="40">
        <f t="shared" ca="1" si="4"/>
        <v>0</v>
      </c>
      <c r="Q35" s="18"/>
    </row>
    <row r="36" spans="2:19" ht="47.25" customHeight="1" x14ac:dyDescent="0.25">
      <c r="B36" s="22"/>
      <c r="C36">
        <v>8</v>
      </c>
      <c r="D36" s="41" t="s">
        <v>43</v>
      </c>
      <c r="E36" s="39">
        <v>112</v>
      </c>
      <c r="F36" s="70">
        <f t="shared" si="1"/>
        <v>6.016006875436429E-3</v>
      </c>
      <c r="G36" s="39">
        <v>2213</v>
      </c>
      <c r="H36" s="39">
        <f t="shared" si="0"/>
        <v>19.758928571428573</v>
      </c>
      <c r="I36" s="39">
        <f t="shared" si="2"/>
        <v>1541462.4751600111</v>
      </c>
      <c r="J36" s="39">
        <f t="shared" si="3"/>
        <v>13763.05781392867</v>
      </c>
      <c r="K36" s="39">
        <f ca="1">INDEX(OFFSET(town_establishments[42. Wholesale trade],,C36-$C$29),MATCH($M$3,town_establishments[Municipality],0),)</f>
        <v>0</v>
      </c>
      <c r="L36" s="40">
        <f t="shared" ca="1" si="4"/>
        <v>0</v>
      </c>
      <c r="Q36" s="18"/>
    </row>
    <row r="37" spans="2:19" ht="47.25" customHeight="1" x14ac:dyDescent="0.25">
      <c r="B37" s="22"/>
      <c r="C37">
        <v>9</v>
      </c>
      <c r="D37" s="41" t="s">
        <v>44</v>
      </c>
      <c r="E37" s="39">
        <v>1580</v>
      </c>
      <c r="F37" s="70">
        <f t="shared" si="1"/>
        <v>8.4868668421335336E-2</v>
      </c>
      <c r="G37" s="39">
        <v>9665</v>
      </c>
      <c r="H37" s="39">
        <f t="shared" si="0"/>
        <v>6.1170886075949369</v>
      </c>
      <c r="I37" s="39">
        <f t="shared" si="2"/>
        <v>477215.27570432739</v>
      </c>
      <c r="J37" s="39">
        <f t="shared" si="3"/>
        <v>302.034984622992</v>
      </c>
      <c r="K37" s="39">
        <f ca="1">INDEX(OFFSET(town_establishments[42. Wholesale trade],,C37-$C$29),MATCH($M$3,town_establishments[Municipality],0),)</f>
        <v>0</v>
      </c>
      <c r="L37" s="40">
        <f t="shared" ca="1" si="4"/>
        <v>0</v>
      </c>
      <c r="Q37" s="18"/>
    </row>
    <row r="38" spans="2:19" ht="47.25" customHeight="1" x14ac:dyDescent="0.25">
      <c r="B38" s="22"/>
      <c r="C38">
        <v>10</v>
      </c>
      <c r="D38" s="38" t="s">
        <v>45</v>
      </c>
      <c r="E38" s="39">
        <v>422</v>
      </c>
      <c r="F38" s="70">
        <f t="shared" si="1"/>
        <v>2.2667454477090832E-2</v>
      </c>
      <c r="G38" s="39">
        <v>10349</v>
      </c>
      <c r="H38" s="39">
        <f t="shared" si="0"/>
        <v>24.523696682464454</v>
      </c>
      <c r="I38" s="39">
        <f t="shared" si="2"/>
        <v>1913178.5436426576</v>
      </c>
      <c r="J38" s="39">
        <f t="shared" si="3"/>
        <v>4533.5984446508473</v>
      </c>
      <c r="K38" s="39">
        <f ca="1">INDEX(OFFSET(town_establishments[42. Wholesale trade],,C38-$C$29),MATCH($M$3,town_establishments[Municipality],0),)</f>
        <v>0</v>
      </c>
      <c r="L38" s="40">
        <f t="shared" ca="1" si="4"/>
        <v>0</v>
      </c>
      <c r="Q38" s="18"/>
    </row>
    <row r="39" spans="2:19" ht="47.25" customHeight="1" x14ac:dyDescent="0.25">
      <c r="B39" s="22"/>
      <c r="C39">
        <v>11</v>
      </c>
      <c r="D39" s="41" t="s">
        <v>46</v>
      </c>
      <c r="E39" s="39">
        <v>1888</v>
      </c>
      <c r="F39" s="70">
        <f t="shared" si="1"/>
        <v>0.10141268732878551</v>
      </c>
      <c r="G39" s="39">
        <v>49518</v>
      </c>
      <c r="H39" s="39">
        <f t="shared" si="0"/>
        <v>26.227754237288135</v>
      </c>
      <c r="I39" s="39">
        <f t="shared" si="2"/>
        <v>2046117.9774170117</v>
      </c>
      <c r="J39" s="39">
        <f t="shared" si="3"/>
        <v>1083.7489287166375</v>
      </c>
      <c r="K39" s="39">
        <f ca="1">INDEX(OFFSET(town_establishments[42. Wholesale trade],,C39-$C$29),MATCH($M$3,town_establishments[Municipality],0),)</f>
        <v>0</v>
      </c>
      <c r="L39" s="40">
        <f t="shared" ca="1" si="4"/>
        <v>0</v>
      </c>
      <c r="Q39" s="18"/>
    </row>
    <row r="40" spans="2:19" ht="47.25" customHeight="1" x14ac:dyDescent="0.25">
      <c r="B40" s="22"/>
      <c r="C40">
        <v>12</v>
      </c>
      <c r="D40" s="41" t="s">
        <v>47</v>
      </c>
      <c r="E40" s="39">
        <v>412</v>
      </c>
      <c r="F40" s="70">
        <f t="shared" si="1"/>
        <v>2.2130311006069721E-2</v>
      </c>
      <c r="G40" s="39">
        <v>3869</v>
      </c>
      <c r="H40" s="39">
        <f t="shared" si="0"/>
        <v>9.3907766990291268</v>
      </c>
      <c r="I40" s="39">
        <f t="shared" si="2"/>
        <v>732607.02582284878</v>
      </c>
      <c r="J40" s="39">
        <f t="shared" si="3"/>
        <v>1778.1723927739049</v>
      </c>
      <c r="K40" s="39">
        <f ca="1">INDEX(OFFSET(town_establishments[42. Wholesale trade],,C40-$C$29),MATCH($M$3,town_establishments[Municipality],0),)</f>
        <v>0</v>
      </c>
      <c r="L40" s="40">
        <f t="shared" ca="1" si="4"/>
        <v>0</v>
      </c>
      <c r="Q40" s="18"/>
    </row>
    <row r="41" spans="2:19" ht="47.25" customHeight="1" x14ac:dyDescent="0.25">
      <c r="B41" s="22"/>
      <c r="C41">
        <v>13</v>
      </c>
      <c r="D41" s="38" t="s">
        <v>48</v>
      </c>
      <c r="E41" s="39">
        <v>1807</v>
      </c>
      <c r="F41" s="70">
        <f t="shared" si="1"/>
        <v>9.706182521351453E-2</v>
      </c>
      <c r="G41" s="39">
        <v>33991</v>
      </c>
      <c r="H41" s="39">
        <f t="shared" si="0"/>
        <v>18.810736026563365</v>
      </c>
      <c r="I41" s="39">
        <f t="shared" si="2"/>
        <v>1467490.6896022826</v>
      </c>
      <c r="J41" s="39">
        <f t="shared" si="3"/>
        <v>812.11438273507611</v>
      </c>
      <c r="K41" s="39">
        <f ca="1">INDEX(OFFSET(town_establishments[42. Wholesale trade],,C41-$C$29),MATCH($M$3,town_establishments[Municipality],0),)</f>
        <v>0</v>
      </c>
      <c r="L41" s="40">
        <f t="shared" ca="1" si="4"/>
        <v>0</v>
      </c>
      <c r="Q41" s="18"/>
    </row>
    <row r="42" spans="2:19" ht="47.25" customHeight="1" x14ac:dyDescent="0.25">
      <c r="B42" s="22"/>
      <c r="C42">
        <v>14</v>
      </c>
      <c r="D42" s="41" t="s">
        <v>49</v>
      </c>
      <c r="E42" s="39">
        <v>1982</v>
      </c>
      <c r="F42" s="70">
        <f t="shared" si="1"/>
        <v>0.10646183595638395</v>
      </c>
      <c r="G42" s="39">
        <v>8756</v>
      </c>
      <c r="H42" s="39">
        <f t="shared" si="0"/>
        <v>4.4177598385469219</v>
      </c>
      <c r="I42" s="39">
        <f t="shared" si="2"/>
        <v>344644.75089180813</v>
      </c>
      <c r="J42" s="39">
        <f t="shared" si="3"/>
        <v>173.88736170121501</v>
      </c>
      <c r="K42" s="39">
        <f ca="1">INDEX(OFFSET(town_establishments[42. Wholesale trade],,C42-$C$29),MATCH($M$3,town_establishments[Municipality],0),)</f>
        <v>0</v>
      </c>
      <c r="L42" s="40">
        <f t="shared" ca="1" si="4"/>
        <v>0</v>
      </c>
      <c r="Q42" s="18"/>
    </row>
    <row r="43" spans="2:19" ht="33" customHeight="1" x14ac:dyDescent="0.25">
      <c r="B43" s="22"/>
      <c r="D43" s="42"/>
      <c r="E43" s="45">
        <f>SUM(E29:E42)</f>
        <v>18617</v>
      </c>
      <c r="F43" s="45"/>
      <c r="G43" s="45">
        <f>SUM(G29:G42)</f>
        <v>201453</v>
      </c>
      <c r="H43" s="43"/>
      <c r="I43" s="44">
        <v>13000000</v>
      </c>
      <c r="J43" s="43"/>
      <c r="K43" s="45">
        <f ca="1">SUM(K29:K42)</f>
        <v>1</v>
      </c>
      <c r="L43" s="46">
        <f ca="1">SUMPRODUCT(J29:J42,L29:L42)</f>
        <v>295.29602737736008</v>
      </c>
      <c r="M43" s="103" t="s">
        <v>356</v>
      </c>
      <c r="N43" s="104"/>
      <c r="O43" s="104"/>
      <c r="P43" s="104"/>
      <c r="Q43" s="104"/>
      <c r="R43" s="104"/>
      <c r="S43" s="104"/>
    </row>
    <row r="44" spans="2:19" ht="22.5" customHeight="1" x14ac:dyDescent="0.25">
      <c r="B44" s="22"/>
    </row>
    <row r="45" spans="2:19" ht="37.5" customHeight="1" x14ac:dyDescent="0.25">
      <c r="B45" s="21">
        <f ca="1">B24*B26</f>
        <v>295.29602737736008</v>
      </c>
      <c r="C45" s="93" t="s">
        <v>62</v>
      </c>
      <c r="D45" s="94"/>
      <c r="E45" s="94"/>
      <c r="F45" s="94"/>
      <c r="G45" s="94"/>
      <c r="H45" s="94"/>
      <c r="I45" s="94"/>
      <c r="J45" s="94"/>
      <c r="K45" s="94"/>
      <c r="L45" s="94"/>
      <c r="M45" s="94"/>
      <c r="N45" s="94"/>
      <c r="O45" s="127">
        <f ca="1">B45/regional_com_heat_mmbtu</f>
        <v>9.9999999999999992E-2</v>
      </c>
    </row>
    <row r="54" spans="4:4" x14ac:dyDescent="0.25">
      <c r="D54" s="18"/>
    </row>
  </sheetData>
  <mergeCells count="20">
    <mergeCell ref="M43:S43"/>
    <mergeCell ref="C45:N45"/>
    <mergeCell ref="E17:N17"/>
    <mergeCell ref="E18:N18"/>
    <mergeCell ref="E19:N19"/>
    <mergeCell ref="C20:N20"/>
    <mergeCell ref="C24:N24"/>
    <mergeCell ref="C26:N26"/>
    <mergeCell ref="E12:F12"/>
    <mergeCell ref="G12:N12"/>
    <mergeCell ref="C13:N13"/>
    <mergeCell ref="E14:N14"/>
    <mergeCell ref="E15:N15"/>
    <mergeCell ref="E16:N16"/>
    <mergeCell ref="B3:L3"/>
    <mergeCell ref="M3:N3"/>
    <mergeCell ref="B4:N4"/>
    <mergeCell ref="B5:M5"/>
    <mergeCell ref="C7:N7"/>
    <mergeCell ref="C11:N11"/>
  </mergeCells>
  <dataValidations count="1">
    <dataValidation type="list" allowBlank="1" showInputMessage="1" showErrorMessage="1" sqref="M3:N3">
      <formula1>INDIRECT("town_population[Municipality]")</formula1>
    </dataValidation>
  </dataValidations>
  <hyperlinks>
    <hyperlink ref="E12" r:id="rId1" display="Census data"/>
    <hyperlink ref="E25" r:id="rId2" display="Vermont Dept of Labor website"/>
  </hyperlinks>
  <pageMargins left="0.7" right="0.7" top="0.75" bottom="0.75" header="0.3" footer="0.3"/>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autoPageBreaks="0"/>
  </sheetPr>
  <dimension ref="A1:S54"/>
  <sheetViews>
    <sheetView zoomScale="70" zoomScaleNormal="70" workbookViewId="0">
      <selection activeCell="B4" sqref="B4:N4"/>
    </sheetView>
  </sheetViews>
  <sheetFormatPr defaultRowHeight="15" x14ac:dyDescent="0.25"/>
  <cols>
    <col min="1" max="1" width="2.5703125" style="22" customWidth="1"/>
    <col min="2" max="12" width="15.140625" customWidth="1"/>
    <col min="13" max="14" width="14.5703125" customWidth="1"/>
    <col min="15" max="15" width="11.85546875" customWidth="1"/>
  </cols>
  <sheetData>
    <row r="1" spans="1:15" ht="21" x14ac:dyDescent="0.35">
      <c r="A1" s="19"/>
      <c r="B1" s="20" t="s">
        <v>53</v>
      </c>
    </row>
    <row r="2" spans="1:15" x14ac:dyDescent="0.25">
      <c r="A2" s="19"/>
      <c r="B2" s="4"/>
    </row>
    <row r="3" spans="1:15" ht="24.75" customHeight="1" x14ac:dyDescent="0.25">
      <c r="A3" s="19"/>
      <c r="B3" s="86" t="s">
        <v>382</v>
      </c>
      <c r="C3" s="87"/>
      <c r="D3" s="87"/>
      <c r="E3" s="87"/>
      <c r="F3" s="87"/>
      <c r="G3" s="87"/>
      <c r="H3" s="87"/>
      <c r="I3" s="87"/>
      <c r="J3" s="87"/>
      <c r="K3" s="87"/>
      <c r="L3" s="110"/>
      <c r="M3" s="107" t="s">
        <v>264</v>
      </c>
      <c r="N3" s="107"/>
    </row>
    <row r="4" spans="1:15" ht="24.75" customHeight="1" x14ac:dyDescent="0.25">
      <c r="A4" s="19"/>
      <c r="B4" s="88" t="s">
        <v>383</v>
      </c>
      <c r="C4" s="89"/>
      <c r="D4" s="89"/>
      <c r="E4" s="89"/>
      <c r="F4" s="89"/>
      <c r="G4" s="89"/>
      <c r="H4" s="89"/>
      <c r="I4" s="89"/>
      <c r="J4" s="89"/>
      <c r="K4" s="89"/>
      <c r="L4" s="89"/>
      <c r="M4" s="89"/>
      <c r="N4" s="90"/>
    </row>
    <row r="5" spans="1:15" ht="24.75" customHeight="1" x14ac:dyDescent="0.25">
      <c r="A5" s="19"/>
      <c r="B5" s="91" t="s">
        <v>381</v>
      </c>
      <c r="C5" s="92"/>
      <c r="D5" s="92"/>
      <c r="E5" s="92"/>
      <c r="F5" s="92"/>
      <c r="G5" s="92"/>
      <c r="H5" s="92"/>
      <c r="I5" s="92"/>
      <c r="J5" s="92"/>
      <c r="K5" s="92"/>
      <c r="L5" s="92"/>
      <c r="M5" s="111"/>
      <c r="N5" s="76" t="s">
        <v>372</v>
      </c>
    </row>
    <row r="6" spans="1:15" x14ac:dyDescent="0.25">
      <c r="A6" s="19"/>
    </row>
    <row r="7" spans="1:15" ht="42.75" customHeight="1" x14ac:dyDescent="0.25">
      <c r="A7" s="19"/>
      <c r="B7" s="21">
        <f ca="1">SUM(B20,B45)</f>
        <v>71355.296027377364</v>
      </c>
      <c r="C7" s="93" t="s">
        <v>391</v>
      </c>
      <c r="D7" s="94"/>
      <c r="E7" s="94"/>
      <c r="F7" s="94"/>
      <c r="G7" s="94"/>
      <c r="H7" s="94"/>
      <c r="I7" s="94"/>
      <c r="J7" s="94"/>
      <c r="K7" s="94"/>
      <c r="L7" s="94"/>
      <c r="M7" s="94"/>
      <c r="N7" s="94"/>
    </row>
    <row r="8" spans="1:15" x14ac:dyDescent="0.25">
      <c r="A8" s="19"/>
      <c r="B8" s="22"/>
    </row>
    <row r="9" spans="1:15" ht="18.75" x14ac:dyDescent="0.3">
      <c r="B9" s="22"/>
      <c r="C9" s="2" t="s">
        <v>20</v>
      </c>
    </row>
    <row r="10" spans="1:15" x14ac:dyDescent="0.25">
      <c r="B10" s="22"/>
      <c r="C10" s="5"/>
    </row>
    <row r="11" spans="1:15" ht="42.75" customHeight="1" x14ac:dyDescent="0.25">
      <c r="A11" s="22">
        <v>1</v>
      </c>
      <c r="B11" s="23">
        <v>646</v>
      </c>
      <c r="C11" s="95" t="s">
        <v>69</v>
      </c>
      <c r="D11" s="94"/>
      <c r="E11" s="94"/>
      <c r="F11" s="94"/>
      <c r="G11" s="94"/>
      <c r="H11" s="94"/>
      <c r="I11" s="94"/>
      <c r="J11" s="94"/>
      <c r="K11" s="94"/>
      <c r="L11" s="94"/>
      <c r="M11" s="94"/>
      <c r="N11" s="94"/>
      <c r="O11" s="28">
        <f>B11/regional_res_bldgs</f>
        <v>0.1</v>
      </c>
    </row>
    <row r="12" spans="1:15" ht="42.75" customHeight="1" x14ac:dyDescent="0.25">
      <c r="B12" s="19"/>
      <c r="C12" s="24"/>
      <c r="D12" s="59" t="s">
        <v>21</v>
      </c>
      <c r="E12" s="100" t="s">
        <v>3</v>
      </c>
      <c r="F12" s="100"/>
      <c r="G12" s="97" t="s">
        <v>22</v>
      </c>
      <c r="H12" s="97"/>
      <c r="I12" s="97"/>
      <c r="J12" s="97"/>
      <c r="K12" s="97"/>
      <c r="L12" s="97"/>
      <c r="M12" s="97"/>
      <c r="N12" s="97"/>
    </row>
    <row r="13" spans="1:15" ht="52.5" customHeight="1" x14ac:dyDescent="0.25">
      <c r="A13" s="22">
        <v>2</v>
      </c>
      <c r="B13" s="23">
        <v>110</v>
      </c>
      <c r="C13" s="101" t="s">
        <v>68</v>
      </c>
      <c r="D13" s="102"/>
      <c r="E13" s="102"/>
      <c r="F13" s="102"/>
      <c r="G13" s="102"/>
      <c r="H13" s="102"/>
      <c r="I13" s="102"/>
      <c r="J13" s="102"/>
      <c r="K13" s="102"/>
      <c r="L13" s="102"/>
      <c r="M13" s="102"/>
      <c r="N13" s="102"/>
      <c r="O13" s="62">
        <f>B13*O11</f>
        <v>11</v>
      </c>
    </row>
    <row r="14" spans="1:15" ht="42.75" customHeight="1" x14ac:dyDescent="0.25">
      <c r="B14" s="22"/>
      <c r="C14" s="25"/>
      <c r="D14" s="26" t="s">
        <v>23</v>
      </c>
      <c r="E14" s="102" t="s">
        <v>24</v>
      </c>
      <c r="F14" s="102"/>
      <c r="G14" s="102"/>
      <c r="H14" s="102"/>
      <c r="I14" s="102"/>
      <c r="J14" s="102"/>
      <c r="K14" s="102"/>
      <c r="L14" s="102"/>
      <c r="M14" s="102"/>
      <c r="N14" s="102"/>
    </row>
    <row r="15" spans="1:15" ht="42.75" customHeight="1" x14ac:dyDescent="0.25">
      <c r="B15" s="19"/>
      <c r="C15" s="27"/>
      <c r="D15" s="28">
        <v>0.26</v>
      </c>
      <c r="E15" s="102" t="s">
        <v>25</v>
      </c>
      <c r="F15" s="102"/>
      <c r="G15" s="102"/>
      <c r="H15" s="102"/>
      <c r="I15" s="102"/>
      <c r="J15" s="102"/>
      <c r="K15" s="102"/>
      <c r="L15" s="102"/>
      <c r="M15" s="102"/>
      <c r="N15" s="102"/>
    </row>
    <row r="16" spans="1:15" ht="42.75" customHeight="1" x14ac:dyDescent="0.25">
      <c r="B16" s="19"/>
      <c r="C16" s="27"/>
      <c r="D16" s="28">
        <v>0.5</v>
      </c>
      <c r="E16" s="102" t="s">
        <v>26</v>
      </c>
      <c r="F16" s="102"/>
      <c r="G16" s="102"/>
      <c r="H16" s="102"/>
      <c r="I16" s="102"/>
      <c r="J16" s="102"/>
      <c r="K16" s="102"/>
      <c r="L16" s="102"/>
      <c r="M16" s="102"/>
      <c r="N16" s="102"/>
    </row>
    <row r="17" spans="1:17" ht="42.75" customHeight="1" x14ac:dyDescent="0.25">
      <c r="B17" s="19"/>
      <c r="C17" s="27"/>
      <c r="D17" s="28">
        <v>0.2</v>
      </c>
      <c r="E17" s="102" t="s">
        <v>27</v>
      </c>
      <c r="F17" s="102"/>
      <c r="G17" s="102"/>
      <c r="H17" s="102"/>
      <c r="I17" s="102"/>
      <c r="J17" s="102"/>
      <c r="K17" s="102"/>
      <c r="L17" s="102"/>
      <c r="M17" s="102"/>
      <c r="N17" s="102"/>
    </row>
    <row r="18" spans="1:17" ht="42.75" customHeight="1" x14ac:dyDescent="0.25">
      <c r="B18" s="19"/>
      <c r="C18" s="27"/>
      <c r="D18" s="29">
        <v>2.2999999999999998</v>
      </c>
      <c r="E18" s="102" t="s">
        <v>28</v>
      </c>
      <c r="F18" s="102"/>
      <c r="G18" s="102"/>
      <c r="H18" s="102"/>
      <c r="I18" s="102"/>
      <c r="J18" s="102"/>
      <c r="K18" s="102"/>
      <c r="L18" s="102"/>
      <c r="M18" s="102"/>
      <c r="N18" s="102"/>
    </row>
    <row r="19" spans="1:17" ht="42.75" customHeight="1" x14ac:dyDescent="0.25">
      <c r="B19" s="19"/>
      <c r="C19" s="27"/>
      <c r="D19" s="28">
        <f>(20000*1.25)/257000</f>
        <v>9.727626459143969E-2</v>
      </c>
      <c r="E19" s="102" t="s">
        <v>29</v>
      </c>
      <c r="F19" s="102"/>
      <c r="G19" s="102"/>
      <c r="H19" s="102"/>
      <c r="I19" s="102"/>
      <c r="J19" s="102"/>
      <c r="K19" s="102"/>
      <c r="L19" s="102"/>
      <c r="M19" s="102"/>
      <c r="N19" s="102"/>
    </row>
    <row r="20" spans="1:17" ht="42.75" customHeight="1" x14ac:dyDescent="0.25">
      <c r="B20" s="21">
        <f>B11*B13</f>
        <v>71060</v>
      </c>
      <c r="C20" s="93" t="s">
        <v>61</v>
      </c>
      <c r="D20" s="94"/>
      <c r="E20" s="94"/>
      <c r="F20" s="94"/>
      <c r="G20" s="94"/>
      <c r="H20" s="94"/>
      <c r="I20" s="94"/>
      <c r="J20" s="94"/>
      <c r="K20" s="94"/>
      <c r="L20" s="94"/>
      <c r="M20" s="94"/>
      <c r="N20" s="94"/>
      <c r="O20" s="127">
        <f>B20/regional_res_heat_mmbtu</f>
        <v>0.1</v>
      </c>
    </row>
    <row r="21" spans="1:17" x14ac:dyDescent="0.25">
      <c r="B21" s="19"/>
      <c r="C21" s="24"/>
      <c r="D21" s="24"/>
      <c r="E21" s="24"/>
      <c r="F21" s="24"/>
      <c r="G21" s="24"/>
      <c r="H21" s="24"/>
    </row>
    <row r="22" spans="1:17" ht="18.75" x14ac:dyDescent="0.3">
      <c r="B22" s="22"/>
      <c r="C22" s="2" t="s">
        <v>30</v>
      </c>
    </row>
    <row r="23" spans="1:17" ht="15.75" x14ac:dyDescent="0.25">
      <c r="B23" s="22"/>
      <c r="C23" s="30"/>
    </row>
    <row r="24" spans="1:17" ht="44.25" customHeight="1" x14ac:dyDescent="0.25">
      <c r="A24" s="22">
        <v>1</v>
      </c>
      <c r="B24" s="23">
        <f ca="1">K43</f>
        <v>1</v>
      </c>
      <c r="C24" s="95" t="s">
        <v>373</v>
      </c>
      <c r="D24" s="94"/>
      <c r="E24" s="94"/>
      <c r="F24" s="94"/>
      <c r="G24" s="94"/>
      <c r="H24" s="94"/>
      <c r="I24" s="94"/>
      <c r="J24" s="94"/>
      <c r="K24" s="94"/>
      <c r="L24" s="94"/>
      <c r="M24" s="94"/>
      <c r="N24" s="94"/>
      <c r="O24" s="109">
        <f ca="1">B24/regional_com_bldgs</f>
        <v>0.1</v>
      </c>
    </row>
    <row r="25" spans="1:17" s="16" customFormat="1" ht="32.25" customHeight="1" x14ac:dyDescent="0.25">
      <c r="A25" s="22"/>
      <c r="B25" s="22"/>
      <c r="D25" s="16" t="s">
        <v>2</v>
      </c>
      <c r="E25" s="31" t="s">
        <v>31</v>
      </c>
      <c r="G25" s="16" t="s">
        <v>32</v>
      </c>
    </row>
    <row r="26" spans="1:17" ht="99.75" customHeight="1" x14ac:dyDescent="0.25">
      <c r="A26" s="22">
        <v>2</v>
      </c>
      <c r="B26" s="23">
        <f ca="1">L43</f>
        <v>295.29602737736008</v>
      </c>
      <c r="C26" s="105" t="s">
        <v>392</v>
      </c>
      <c r="D26" s="106"/>
      <c r="E26" s="106"/>
      <c r="F26" s="106"/>
      <c r="G26" s="106"/>
      <c r="H26" s="106"/>
      <c r="I26" s="106"/>
      <c r="J26" s="106"/>
      <c r="K26" s="106"/>
      <c r="L26" s="106"/>
      <c r="M26" s="106"/>
      <c r="N26" s="106"/>
      <c r="O26" s="108">
        <f ca="1">B26*O24</f>
        <v>29.52960273773601</v>
      </c>
    </row>
    <row r="27" spans="1:17" x14ac:dyDescent="0.25">
      <c r="B27" s="22"/>
    </row>
    <row r="28" spans="1:17" ht="54" customHeight="1" x14ac:dyDescent="0.25">
      <c r="B28" s="22"/>
      <c r="D28" s="32" t="s">
        <v>33</v>
      </c>
      <c r="E28" s="33" t="s">
        <v>34</v>
      </c>
      <c r="F28" s="33" t="s">
        <v>350</v>
      </c>
      <c r="G28" s="33" t="s">
        <v>35</v>
      </c>
      <c r="H28" s="33" t="s">
        <v>351</v>
      </c>
      <c r="I28" s="33" t="s">
        <v>352</v>
      </c>
      <c r="J28" s="33" t="s">
        <v>353</v>
      </c>
      <c r="K28" s="33" t="s">
        <v>354</v>
      </c>
      <c r="L28" s="34" t="s">
        <v>355</v>
      </c>
      <c r="N28" s="68"/>
    </row>
    <row r="29" spans="1:17" ht="47.25" customHeight="1" x14ac:dyDescent="0.25">
      <c r="B29" s="22"/>
      <c r="C29">
        <v>1</v>
      </c>
      <c r="D29" s="35" t="s">
        <v>36</v>
      </c>
      <c r="E29" s="36">
        <v>1418</v>
      </c>
      <c r="F29" s="69">
        <f>E29/$E$43</f>
        <v>7.6166944190793368E-2</v>
      </c>
      <c r="G29" s="36">
        <v>9210</v>
      </c>
      <c r="H29" s="36">
        <f t="shared" ref="H29:H42" si="0">G29/E29</f>
        <v>6.4950634696755998</v>
      </c>
      <c r="I29" s="36">
        <f>H29/SUM($H$29:$H$42)*$I$43</f>
        <v>506702.40423687408</v>
      </c>
      <c r="J29" s="36">
        <f>I29/E29</f>
        <v>357.33596913742883</v>
      </c>
      <c r="K29" s="36">
        <f ca="1">INDEX(OFFSET(town_establishments[42. Wholesale trade],,C29-$C$29),MATCH($M$3,town_establishments[Municipality],0),)</f>
        <v>0</v>
      </c>
      <c r="L29" s="37">
        <f ca="1">IF(K29="","",K29/$K$43)</f>
        <v>0</v>
      </c>
      <c r="Q29" s="18"/>
    </row>
    <row r="30" spans="1:17" ht="47.25" customHeight="1" x14ac:dyDescent="0.25">
      <c r="B30" s="22"/>
      <c r="C30">
        <v>2</v>
      </c>
      <c r="D30" s="38" t="s">
        <v>37</v>
      </c>
      <c r="E30" s="39">
        <v>3134</v>
      </c>
      <c r="F30" s="70">
        <f t="shared" ref="F30:F42" si="1">E30/$E$43</f>
        <v>0.1683407638180158</v>
      </c>
      <c r="G30" s="39">
        <v>37178</v>
      </c>
      <c r="H30" s="39">
        <f t="shared" si="0"/>
        <v>11.862795149968091</v>
      </c>
      <c r="I30" s="39">
        <f t="shared" ref="I30:I42" si="2">H30/SUM($H$29:$H$42)*$I$43</f>
        <v>925457.74980064656</v>
      </c>
      <c r="J30" s="39">
        <f t="shared" ref="J30:J42" si="3">I30/E30</f>
        <v>295.29602737736008</v>
      </c>
      <c r="K30" s="39">
        <f ca="1">INDEX(OFFSET(town_establishments[42. Wholesale trade],,C30-$C$29),MATCH($M$3,town_establishments[Municipality],0),)</f>
        <v>1</v>
      </c>
      <c r="L30" s="40">
        <f t="shared" ref="L30:L42" ca="1" si="4">IF(K30="","",K30/$K$43)</f>
        <v>1</v>
      </c>
      <c r="Q30" s="18"/>
    </row>
    <row r="31" spans="1:17" ht="47.25" customHeight="1" x14ac:dyDescent="0.25">
      <c r="B31" s="22"/>
      <c r="C31">
        <v>3</v>
      </c>
      <c r="D31" s="38" t="s">
        <v>38</v>
      </c>
      <c r="E31" s="39">
        <v>549</v>
      </c>
      <c r="F31" s="70">
        <f t="shared" si="1"/>
        <v>2.9489176559058923E-2</v>
      </c>
      <c r="G31" s="39">
        <v>6436</v>
      </c>
      <c r="H31" s="39">
        <f t="shared" si="0"/>
        <v>11.723132969034609</v>
      </c>
      <c r="I31" s="39">
        <f t="shared" si="2"/>
        <v>914562.21918876551</v>
      </c>
      <c r="J31" s="39">
        <f t="shared" si="3"/>
        <v>1665.8692517099553</v>
      </c>
      <c r="K31" s="39">
        <f ca="1">INDEX(OFFSET(town_establishments[42. Wholesale trade],,C31-$C$29),MATCH($M$3,town_establishments[Municipality],0),)</f>
        <v>0</v>
      </c>
      <c r="L31" s="40">
        <f t="shared" ca="1" si="4"/>
        <v>0</v>
      </c>
      <c r="Q31" s="18"/>
    </row>
    <row r="32" spans="1:17" ht="47.25" customHeight="1" x14ac:dyDescent="0.25">
      <c r="B32" s="22"/>
      <c r="C32">
        <v>4</v>
      </c>
      <c r="D32" s="38" t="s">
        <v>39</v>
      </c>
      <c r="E32" s="39">
        <v>483</v>
      </c>
      <c r="F32" s="70">
        <f t="shared" si="1"/>
        <v>2.5944029650319601E-2</v>
      </c>
      <c r="G32" s="39">
        <v>4689</v>
      </c>
      <c r="H32" s="39">
        <f t="shared" si="0"/>
        <v>9.70807453416149</v>
      </c>
      <c r="I32" s="39">
        <f t="shared" si="2"/>
        <v>757360.52925993747</v>
      </c>
      <c r="J32" s="39">
        <f t="shared" si="3"/>
        <v>1568.0342220702639</v>
      </c>
      <c r="K32" s="39">
        <f ca="1">INDEX(OFFSET(town_establishments[42. Wholesale trade],,C32-$C$29),MATCH($M$3,town_establishments[Municipality],0),)</f>
        <v>0</v>
      </c>
      <c r="L32" s="40">
        <f t="shared" ca="1" si="4"/>
        <v>0</v>
      </c>
      <c r="Q32" s="18"/>
    </row>
    <row r="33" spans="2:19" ht="47.25" customHeight="1" x14ac:dyDescent="0.25">
      <c r="B33" s="22"/>
      <c r="C33">
        <v>5</v>
      </c>
      <c r="D33" s="41" t="s">
        <v>40</v>
      </c>
      <c r="E33" s="39">
        <v>944</v>
      </c>
      <c r="F33" s="70">
        <f t="shared" si="1"/>
        <v>5.0706343664392757E-2</v>
      </c>
      <c r="G33" s="39">
        <v>8692</v>
      </c>
      <c r="H33" s="39">
        <f t="shared" si="0"/>
        <v>9.2076271186440675</v>
      </c>
      <c r="I33" s="39">
        <f t="shared" si="2"/>
        <v>718318.89251216396</v>
      </c>
      <c r="J33" s="39">
        <f t="shared" si="3"/>
        <v>760.93103020356352</v>
      </c>
      <c r="K33" s="39">
        <f ca="1">INDEX(OFFSET(town_establishments[42. Wholesale trade],,C33-$C$29),MATCH($M$3,town_establishments[Municipality],0),)</f>
        <v>0</v>
      </c>
      <c r="L33" s="40">
        <f t="shared" ca="1" si="4"/>
        <v>0</v>
      </c>
      <c r="Q33" s="18"/>
    </row>
    <row r="34" spans="2:19" ht="47.25" customHeight="1" x14ac:dyDescent="0.25">
      <c r="B34" s="22"/>
      <c r="C34">
        <v>6</v>
      </c>
      <c r="D34" s="38" t="s">
        <v>41</v>
      </c>
      <c r="E34" s="39">
        <v>716</v>
      </c>
      <c r="F34" s="70">
        <f t="shared" si="1"/>
        <v>3.8459472525111456E-2</v>
      </c>
      <c r="G34" s="39">
        <v>2837</v>
      </c>
      <c r="H34" s="39">
        <f t="shared" si="0"/>
        <v>3.9622905027932962</v>
      </c>
      <c r="I34" s="39">
        <f t="shared" si="2"/>
        <v>309112.00997864484</v>
      </c>
      <c r="J34" s="39">
        <f t="shared" si="3"/>
        <v>431.72068432771624</v>
      </c>
      <c r="K34" s="39">
        <f ca="1">INDEX(OFFSET(town_establishments[42. Wholesale trade],,C34-$C$29),MATCH($M$3,town_establishments[Municipality],0),)</f>
        <v>0</v>
      </c>
      <c r="L34" s="40">
        <f t="shared" ca="1" si="4"/>
        <v>0</v>
      </c>
      <c r="Q34" s="18"/>
    </row>
    <row r="35" spans="2:19" ht="47.25" customHeight="1" x14ac:dyDescent="0.25">
      <c r="B35" s="22"/>
      <c r="C35">
        <v>7</v>
      </c>
      <c r="D35" s="41" t="s">
        <v>42</v>
      </c>
      <c r="E35" s="39">
        <v>3170</v>
      </c>
      <c r="F35" s="70">
        <f t="shared" si="1"/>
        <v>0.1702744803136918</v>
      </c>
      <c r="G35" s="39">
        <v>14050</v>
      </c>
      <c r="H35" s="39">
        <f t="shared" si="0"/>
        <v>4.4321766561514195</v>
      </c>
      <c r="I35" s="39">
        <f t="shared" si="2"/>
        <v>345769.45678201987</v>
      </c>
      <c r="J35" s="39">
        <f t="shared" si="3"/>
        <v>109.07553841704097</v>
      </c>
      <c r="K35" s="39">
        <f ca="1">INDEX(OFFSET(town_establishments[42. Wholesale trade],,C35-$C$29),MATCH($M$3,town_establishments[Municipality],0),)</f>
        <v>0</v>
      </c>
      <c r="L35" s="40">
        <f t="shared" ca="1" si="4"/>
        <v>0</v>
      </c>
      <c r="Q35" s="18"/>
    </row>
    <row r="36" spans="2:19" ht="47.25" customHeight="1" x14ac:dyDescent="0.25">
      <c r="B36" s="22"/>
      <c r="C36">
        <v>8</v>
      </c>
      <c r="D36" s="41" t="s">
        <v>43</v>
      </c>
      <c r="E36" s="39">
        <v>112</v>
      </c>
      <c r="F36" s="70">
        <f t="shared" si="1"/>
        <v>6.016006875436429E-3</v>
      </c>
      <c r="G36" s="39">
        <v>2213</v>
      </c>
      <c r="H36" s="39">
        <f t="shared" si="0"/>
        <v>19.758928571428573</v>
      </c>
      <c r="I36" s="39">
        <f t="shared" si="2"/>
        <v>1541462.4751600111</v>
      </c>
      <c r="J36" s="39">
        <f t="shared" si="3"/>
        <v>13763.05781392867</v>
      </c>
      <c r="K36" s="39">
        <f ca="1">INDEX(OFFSET(town_establishments[42. Wholesale trade],,C36-$C$29),MATCH($M$3,town_establishments[Municipality],0),)</f>
        <v>0</v>
      </c>
      <c r="L36" s="40">
        <f t="shared" ca="1" si="4"/>
        <v>0</v>
      </c>
      <c r="Q36" s="18"/>
    </row>
    <row r="37" spans="2:19" ht="47.25" customHeight="1" x14ac:dyDescent="0.25">
      <c r="B37" s="22"/>
      <c r="C37">
        <v>9</v>
      </c>
      <c r="D37" s="41" t="s">
        <v>44</v>
      </c>
      <c r="E37" s="39">
        <v>1580</v>
      </c>
      <c r="F37" s="70">
        <f t="shared" si="1"/>
        <v>8.4868668421335336E-2</v>
      </c>
      <c r="G37" s="39">
        <v>9665</v>
      </c>
      <c r="H37" s="39">
        <f t="shared" si="0"/>
        <v>6.1170886075949369</v>
      </c>
      <c r="I37" s="39">
        <f t="shared" si="2"/>
        <v>477215.27570432739</v>
      </c>
      <c r="J37" s="39">
        <f t="shared" si="3"/>
        <v>302.034984622992</v>
      </c>
      <c r="K37" s="39">
        <f ca="1">INDEX(OFFSET(town_establishments[42. Wholesale trade],,C37-$C$29),MATCH($M$3,town_establishments[Municipality],0),)</f>
        <v>0</v>
      </c>
      <c r="L37" s="40">
        <f t="shared" ca="1" si="4"/>
        <v>0</v>
      </c>
      <c r="Q37" s="18"/>
    </row>
    <row r="38" spans="2:19" ht="47.25" customHeight="1" x14ac:dyDescent="0.25">
      <c r="B38" s="22"/>
      <c r="C38">
        <v>10</v>
      </c>
      <c r="D38" s="38" t="s">
        <v>45</v>
      </c>
      <c r="E38" s="39">
        <v>422</v>
      </c>
      <c r="F38" s="70">
        <f t="shared" si="1"/>
        <v>2.2667454477090832E-2</v>
      </c>
      <c r="G38" s="39">
        <v>10349</v>
      </c>
      <c r="H38" s="39">
        <f t="shared" si="0"/>
        <v>24.523696682464454</v>
      </c>
      <c r="I38" s="39">
        <f t="shared" si="2"/>
        <v>1913178.5436426576</v>
      </c>
      <c r="J38" s="39">
        <f t="shared" si="3"/>
        <v>4533.5984446508473</v>
      </c>
      <c r="K38" s="39">
        <f ca="1">INDEX(OFFSET(town_establishments[42. Wholesale trade],,C38-$C$29),MATCH($M$3,town_establishments[Municipality],0),)</f>
        <v>0</v>
      </c>
      <c r="L38" s="40">
        <f t="shared" ca="1" si="4"/>
        <v>0</v>
      </c>
      <c r="Q38" s="18"/>
    </row>
    <row r="39" spans="2:19" ht="47.25" customHeight="1" x14ac:dyDescent="0.25">
      <c r="B39" s="22"/>
      <c r="C39">
        <v>11</v>
      </c>
      <c r="D39" s="41" t="s">
        <v>46</v>
      </c>
      <c r="E39" s="39">
        <v>1888</v>
      </c>
      <c r="F39" s="70">
        <f t="shared" si="1"/>
        <v>0.10141268732878551</v>
      </c>
      <c r="G39" s="39">
        <v>49518</v>
      </c>
      <c r="H39" s="39">
        <f t="shared" si="0"/>
        <v>26.227754237288135</v>
      </c>
      <c r="I39" s="39">
        <f t="shared" si="2"/>
        <v>2046117.9774170117</v>
      </c>
      <c r="J39" s="39">
        <f t="shared" si="3"/>
        <v>1083.7489287166375</v>
      </c>
      <c r="K39" s="39">
        <f ca="1">INDEX(OFFSET(town_establishments[42. Wholesale trade],,C39-$C$29),MATCH($M$3,town_establishments[Municipality],0),)</f>
        <v>0</v>
      </c>
      <c r="L39" s="40">
        <f t="shared" ca="1" si="4"/>
        <v>0</v>
      </c>
      <c r="Q39" s="18"/>
    </row>
    <row r="40" spans="2:19" ht="47.25" customHeight="1" x14ac:dyDescent="0.25">
      <c r="B40" s="22"/>
      <c r="C40">
        <v>12</v>
      </c>
      <c r="D40" s="41" t="s">
        <v>47</v>
      </c>
      <c r="E40" s="39">
        <v>412</v>
      </c>
      <c r="F40" s="70">
        <f t="shared" si="1"/>
        <v>2.2130311006069721E-2</v>
      </c>
      <c r="G40" s="39">
        <v>3869</v>
      </c>
      <c r="H40" s="39">
        <f t="shared" si="0"/>
        <v>9.3907766990291268</v>
      </c>
      <c r="I40" s="39">
        <f t="shared" si="2"/>
        <v>732607.02582284878</v>
      </c>
      <c r="J40" s="39">
        <f t="shared" si="3"/>
        <v>1778.1723927739049</v>
      </c>
      <c r="K40" s="39">
        <f ca="1">INDEX(OFFSET(town_establishments[42. Wholesale trade],,C40-$C$29),MATCH($M$3,town_establishments[Municipality],0),)</f>
        <v>0</v>
      </c>
      <c r="L40" s="40">
        <f t="shared" ca="1" si="4"/>
        <v>0</v>
      </c>
      <c r="Q40" s="18"/>
    </row>
    <row r="41" spans="2:19" ht="47.25" customHeight="1" x14ac:dyDescent="0.25">
      <c r="B41" s="22"/>
      <c r="C41">
        <v>13</v>
      </c>
      <c r="D41" s="38" t="s">
        <v>48</v>
      </c>
      <c r="E41" s="39">
        <v>1807</v>
      </c>
      <c r="F41" s="70">
        <f t="shared" si="1"/>
        <v>9.706182521351453E-2</v>
      </c>
      <c r="G41" s="39">
        <v>33991</v>
      </c>
      <c r="H41" s="39">
        <f t="shared" si="0"/>
        <v>18.810736026563365</v>
      </c>
      <c r="I41" s="39">
        <f t="shared" si="2"/>
        <v>1467490.6896022826</v>
      </c>
      <c r="J41" s="39">
        <f t="shared" si="3"/>
        <v>812.11438273507611</v>
      </c>
      <c r="K41" s="39">
        <f ca="1">INDEX(OFFSET(town_establishments[42. Wholesale trade],,C41-$C$29),MATCH($M$3,town_establishments[Municipality],0),)</f>
        <v>0</v>
      </c>
      <c r="L41" s="40">
        <f t="shared" ca="1" si="4"/>
        <v>0</v>
      </c>
      <c r="Q41" s="18"/>
    </row>
    <row r="42" spans="2:19" ht="47.25" customHeight="1" x14ac:dyDescent="0.25">
      <c r="B42" s="22"/>
      <c r="C42">
        <v>14</v>
      </c>
      <c r="D42" s="41" t="s">
        <v>49</v>
      </c>
      <c r="E42" s="39">
        <v>1982</v>
      </c>
      <c r="F42" s="70">
        <f t="shared" si="1"/>
        <v>0.10646183595638395</v>
      </c>
      <c r="G42" s="39">
        <v>8756</v>
      </c>
      <c r="H42" s="39">
        <f t="shared" si="0"/>
        <v>4.4177598385469219</v>
      </c>
      <c r="I42" s="39">
        <f t="shared" si="2"/>
        <v>344644.75089180813</v>
      </c>
      <c r="J42" s="39">
        <f t="shared" si="3"/>
        <v>173.88736170121501</v>
      </c>
      <c r="K42" s="39">
        <f ca="1">INDEX(OFFSET(town_establishments[42. Wholesale trade],,C42-$C$29),MATCH($M$3,town_establishments[Municipality],0),)</f>
        <v>0</v>
      </c>
      <c r="L42" s="40">
        <f t="shared" ca="1" si="4"/>
        <v>0</v>
      </c>
      <c r="Q42" s="18"/>
    </row>
    <row r="43" spans="2:19" ht="33" customHeight="1" x14ac:dyDescent="0.25">
      <c r="B43" s="22"/>
      <c r="D43" s="42"/>
      <c r="E43" s="45">
        <f>SUM(E29:E42)</f>
        <v>18617</v>
      </c>
      <c r="F43" s="45"/>
      <c r="G43" s="45">
        <f>SUM(G29:G42)</f>
        <v>201453</v>
      </c>
      <c r="H43" s="43"/>
      <c r="I43" s="44">
        <v>13000000</v>
      </c>
      <c r="J43" s="43"/>
      <c r="K43" s="45">
        <f ca="1">SUM(K29:K42)</f>
        <v>1</v>
      </c>
      <c r="L43" s="46">
        <f ca="1">SUMPRODUCT(J29:J42,L29:L42)</f>
        <v>295.29602737736008</v>
      </c>
      <c r="M43" s="103" t="s">
        <v>356</v>
      </c>
      <c r="N43" s="104"/>
      <c r="O43" s="104"/>
      <c r="P43" s="104"/>
      <c r="Q43" s="104"/>
      <c r="R43" s="104"/>
      <c r="S43" s="104"/>
    </row>
    <row r="44" spans="2:19" ht="22.5" customHeight="1" x14ac:dyDescent="0.25">
      <c r="B44" s="22"/>
    </row>
    <row r="45" spans="2:19" ht="37.5" customHeight="1" x14ac:dyDescent="0.25">
      <c r="B45" s="21">
        <f ca="1">B24*B26</f>
        <v>295.29602737736008</v>
      </c>
      <c r="C45" s="93" t="s">
        <v>62</v>
      </c>
      <c r="D45" s="94"/>
      <c r="E45" s="94"/>
      <c r="F45" s="94"/>
      <c r="G45" s="94"/>
      <c r="H45" s="94"/>
      <c r="I45" s="94"/>
      <c r="J45" s="94"/>
      <c r="K45" s="94"/>
      <c r="L45" s="94"/>
      <c r="M45" s="94"/>
      <c r="N45" s="94"/>
      <c r="O45" s="127">
        <f ca="1">B45/regional_com_heat_mmbtu</f>
        <v>9.9999999999999992E-2</v>
      </c>
    </row>
    <row r="54" spans="4:4" x14ac:dyDescent="0.25">
      <c r="D54" s="18"/>
    </row>
  </sheetData>
  <mergeCells count="20">
    <mergeCell ref="M43:S43"/>
    <mergeCell ref="C45:N45"/>
    <mergeCell ref="E17:N17"/>
    <mergeCell ref="E18:N18"/>
    <mergeCell ref="E19:N19"/>
    <mergeCell ref="C20:N20"/>
    <mergeCell ref="C24:N24"/>
    <mergeCell ref="C26:N26"/>
    <mergeCell ref="E12:F12"/>
    <mergeCell ref="G12:N12"/>
    <mergeCell ref="C13:N13"/>
    <mergeCell ref="E14:N14"/>
    <mergeCell ref="E15:N15"/>
    <mergeCell ref="E16:N16"/>
    <mergeCell ref="B3:L3"/>
    <mergeCell ref="M3:N3"/>
    <mergeCell ref="B4:N4"/>
    <mergeCell ref="B5:M5"/>
    <mergeCell ref="C7:N7"/>
    <mergeCell ref="C11:N11"/>
  </mergeCells>
  <dataValidations count="1">
    <dataValidation type="list" allowBlank="1" showInputMessage="1" showErrorMessage="1" sqref="M3:N3">
      <formula1>INDIRECT("town_population[Municipality]")</formula1>
    </dataValidation>
  </dataValidations>
  <hyperlinks>
    <hyperlink ref="E12" r:id="rId1" display="Census data"/>
    <hyperlink ref="E25" r:id="rId2" display="Vermont Dept of Labor website"/>
  </hyperlinks>
  <pageMargins left="0.7" right="0.7" top="0.75" bottom="0.75" header="0.3" footer="0.3"/>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autoPageBreaks="0"/>
  </sheetPr>
  <dimension ref="A1:S54"/>
  <sheetViews>
    <sheetView zoomScale="70" zoomScaleNormal="70" workbookViewId="0">
      <selection activeCell="B4" sqref="B4:N4"/>
    </sheetView>
  </sheetViews>
  <sheetFormatPr defaultRowHeight="15" x14ac:dyDescent="0.25"/>
  <cols>
    <col min="1" max="1" width="2.5703125" style="22" customWidth="1"/>
    <col min="2" max="12" width="15.140625" customWidth="1"/>
    <col min="13" max="14" width="14.5703125" customWidth="1"/>
    <col min="15" max="15" width="11.85546875" customWidth="1"/>
  </cols>
  <sheetData>
    <row r="1" spans="1:15" ht="21" x14ac:dyDescent="0.35">
      <c r="A1" s="19"/>
      <c r="B1" s="20" t="s">
        <v>53</v>
      </c>
    </row>
    <row r="2" spans="1:15" x14ac:dyDescent="0.25">
      <c r="A2" s="19"/>
      <c r="B2" s="4"/>
    </row>
    <row r="3" spans="1:15" ht="24.75" customHeight="1" x14ac:dyDescent="0.25">
      <c r="A3" s="19"/>
      <c r="B3" s="86" t="s">
        <v>382</v>
      </c>
      <c r="C3" s="87"/>
      <c r="D3" s="87"/>
      <c r="E3" s="87"/>
      <c r="F3" s="87"/>
      <c r="G3" s="87"/>
      <c r="H3" s="87"/>
      <c r="I3" s="87"/>
      <c r="J3" s="87"/>
      <c r="K3" s="87"/>
      <c r="L3" s="110"/>
      <c r="M3" s="107" t="s">
        <v>264</v>
      </c>
      <c r="N3" s="107"/>
    </row>
    <row r="4" spans="1:15" ht="24.75" customHeight="1" x14ac:dyDescent="0.25">
      <c r="A4" s="19"/>
      <c r="B4" s="88" t="s">
        <v>383</v>
      </c>
      <c r="C4" s="89"/>
      <c r="D4" s="89"/>
      <c r="E4" s="89"/>
      <c r="F4" s="89"/>
      <c r="G4" s="89"/>
      <c r="H4" s="89"/>
      <c r="I4" s="89"/>
      <c r="J4" s="89"/>
      <c r="K4" s="89"/>
      <c r="L4" s="89"/>
      <c r="M4" s="89"/>
      <c r="N4" s="90"/>
    </row>
    <row r="5" spans="1:15" ht="24.75" customHeight="1" x14ac:dyDescent="0.25">
      <c r="A5" s="19"/>
      <c r="B5" s="91" t="s">
        <v>381</v>
      </c>
      <c r="C5" s="92"/>
      <c r="D5" s="92"/>
      <c r="E5" s="92"/>
      <c r="F5" s="92"/>
      <c r="G5" s="92"/>
      <c r="H5" s="92"/>
      <c r="I5" s="92"/>
      <c r="J5" s="92"/>
      <c r="K5" s="92"/>
      <c r="L5" s="92"/>
      <c r="M5" s="111"/>
      <c r="N5" s="76" t="s">
        <v>372</v>
      </c>
    </row>
    <row r="6" spans="1:15" x14ac:dyDescent="0.25">
      <c r="A6" s="19"/>
    </row>
    <row r="7" spans="1:15" ht="42.75" customHeight="1" x14ac:dyDescent="0.25">
      <c r="A7" s="19"/>
      <c r="B7" s="21">
        <f ca="1">SUM(B20,B45)</f>
        <v>71355.296027377364</v>
      </c>
      <c r="C7" s="93" t="s">
        <v>391</v>
      </c>
      <c r="D7" s="94"/>
      <c r="E7" s="94"/>
      <c r="F7" s="94"/>
      <c r="G7" s="94"/>
      <c r="H7" s="94"/>
      <c r="I7" s="94"/>
      <c r="J7" s="94"/>
      <c r="K7" s="94"/>
      <c r="L7" s="94"/>
      <c r="M7" s="94"/>
      <c r="N7" s="94"/>
    </row>
    <row r="8" spans="1:15" x14ac:dyDescent="0.25">
      <c r="A8" s="19"/>
      <c r="B8" s="22"/>
    </row>
    <row r="9" spans="1:15" ht="18.75" x14ac:dyDescent="0.3">
      <c r="B9" s="22"/>
      <c r="C9" s="2" t="s">
        <v>20</v>
      </c>
    </row>
    <row r="10" spans="1:15" x14ac:dyDescent="0.25">
      <c r="B10" s="22"/>
      <c r="C10" s="5"/>
    </row>
    <row r="11" spans="1:15" ht="42.75" customHeight="1" x14ac:dyDescent="0.25">
      <c r="A11" s="22">
        <v>1</v>
      </c>
      <c r="B11" s="23">
        <v>646</v>
      </c>
      <c r="C11" s="95" t="s">
        <v>69</v>
      </c>
      <c r="D11" s="94"/>
      <c r="E11" s="94"/>
      <c r="F11" s="94"/>
      <c r="G11" s="94"/>
      <c r="H11" s="94"/>
      <c r="I11" s="94"/>
      <c r="J11" s="94"/>
      <c r="K11" s="94"/>
      <c r="L11" s="94"/>
      <c r="M11" s="94"/>
      <c r="N11" s="94"/>
      <c r="O11" s="28">
        <f>B11/regional_res_bldgs</f>
        <v>0.1</v>
      </c>
    </row>
    <row r="12" spans="1:15" ht="42.75" customHeight="1" x14ac:dyDescent="0.25">
      <c r="B12" s="19"/>
      <c r="C12" s="24"/>
      <c r="D12" s="59" t="s">
        <v>21</v>
      </c>
      <c r="E12" s="100" t="s">
        <v>3</v>
      </c>
      <c r="F12" s="100"/>
      <c r="G12" s="97" t="s">
        <v>22</v>
      </c>
      <c r="H12" s="97"/>
      <c r="I12" s="97"/>
      <c r="J12" s="97"/>
      <c r="K12" s="97"/>
      <c r="L12" s="97"/>
      <c r="M12" s="97"/>
      <c r="N12" s="97"/>
    </row>
    <row r="13" spans="1:15" ht="52.5" customHeight="1" x14ac:dyDescent="0.25">
      <c r="A13" s="22">
        <v>2</v>
      </c>
      <c r="B13" s="23">
        <v>110</v>
      </c>
      <c r="C13" s="101" t="s">
        <v>68</v>
      </c>
      <c r="D13" s="102"/>
      <c r="E13" s="102"/>
      <c r="F13" s="102"/>
      <c r="G13" s="102"/>
      <c r="H13" s="102"/>
      <c r="I13" s="102"/>
      <c r="J13" s="102"/>
      <c r="K13" s="102"/>
      <c r="L13" s="102"/>
      <c r="M13" s="102"/>
      <c r="N13" s="102"/>
      <c r="O13" s="62">
        <f>B13*O11</f>
        <v>11</v>
      </c>
    </row>
    <row r="14" spans="1:15" ht="42.75" customHeight="1" x14ac:dyDescent="0.25">
      <c r="B14" s="22"/>
      <c r="C14" s="25"/>
      <c r="D14" s="26" t="s">
        <v>23</v>
      </c>
      <c r="E14" s="102" t="s">
        <v>24</v>
      </c>
      <c r="F14" s="102"/>
      <c r="G14" s="102"/>
      <c r="H14" s="102"/>
      <c r="I14" s="102"/>
      <c r="J14" s="102"/>
      <c r="K14" s="102"/>
      <c r="L14" s="102"/>
      <c r="M14" s="102"/>
      <c r="N14" s="102"/>
    </row>
    <row r="15" spans="1:15" ht="42.75" customHeight="1" x14ac:dyDescent="0.25">
      <c r="B15" s="19"/>
      <c r="C15" s="27"/>
      <c r="D15" s="28">
        <v>0.26</v>
      </c>
      <c r="E15" s="102" t="s">
        <v>25</v>
      </c>
      <c r="F15" s="102"/>
      <c r="G15" s="102"/>
      <c r="H15" s="102"/>
      <c r="I15" s="102"/>
      <c r="J15" s="102"/>
      <c r="K15" s="102"/>
      <c r="L15" s="102"/>
      <c r="M15" s="102"/>
      <c r="N15" s="102"/>
    </row>
    <row r="16" spans="1:15" ht="42.75" customHeight="1" x14ac:dyDescent="0.25">
      <c r="B16" s="19"/>
      <c r="C16" s="27"/>
      <c r="D16" s="28">
        <v>0.5</v>
      </c>
      <c r="E16" s="102" t="s">
        <v>26</v>
      </c>
      <c r="F16" s="102"/>
      <c r="G16" s="102"/>
      <c r="H16" s="102"/>
      <c r="I16" s="102"/>
      <c r="J16" s="102"/>
      <c r="K16" s="102"/>
      <c r="L16" s="102"/>
      <c r="M16" s="102"/>
      <c r="N16" s="102"/>
    </row>
    <row r="17" spans="1:17" ht="42.75" customHeight="1" x14ac:dyDescent="0.25">
      <c r="B17" s="19"/>
      <c r="C17" s="27"/>
      <c r="D17" s="28">
        <v>0.2</v>
      </c>
      <c r="E17" s="102" t="s">
        <v>27</v>
      </c>
      <c r="F17" s="102"/>
      <c r="G17" s="102"/>
      <c r="H17" s="102"/>
      <c r="I17" s="102"/>
      <c r="J17" s="102"/>
      <c r="K17" s="102"/>
      <c r="L17" s="102"/>
      <c r="M17" s="102"/>
      <c r="N17" s="102"/>
    </row>
    <row r="18" spans="1:17" ht="42.75" customHeight="1" x14ac:dyDescent="0.25">
      <c r="B18" s="19"/>
      <c r="C18" s="27"/>
      <c r="D18" s="29">
        <v>2.2999999999999998</v>
      </c>
      <c r="E18" s="102" t="s">
        <v>28</v>
      </c>
      <c r="F18" s="102"/>
      <c r="G18" s="102"/>
      <c r="H18" s="102"/>
      <c r="I18" s="102"/>
      <c r="J18" s="102"/>
      <c r="K18" s="102"/>
      <c r="L18" s="102"/>
      <c r="M18" s="102"/>
      <c r="N18" s="102"/>
    </row>
    <row r="19" spans="1:17" ht="42.75" customHeight="1" x14ac:dyDescent="0.25">
      <c r="B19" s="19"/>
      <c r="C19" s="27"/>
      <c r="D19" s="28">
        <f>(20000*1.25)/257000</f>
        <v>9.727626459143969E-2</v>
      </c>
      <c r="E19" s="102" t="s">
        <v>29</v>
      </c>
      <c r="F19" s="102"/>
      <c r="G19" s="102"/>
      <c r="H19" s="102"/>
      <c r="I19" s="102"/>
      <c r="J19" s="102"/>
      <c r="K19" s="102"/>
      <c r="L19" s="102"/>
      <c r="M19" s="102"/>
      <c r="N19" s="102"/>
    </row>
    <row r="20" spans="1:17" ht="42.75" customHeight="1" x14ac:dyDescent="0.25">
      <c r="B20" s="21">
        <f>B11*B13</f>
        <v>71060</v>
      </c>
      <c r="C20" s="93" t="s">
        <v>61</v>
      </c>
      <c r="D20" s="94"/>
      <c r="E20" s="94"/>
      <c r="F20" s="94"/>
      <c r="G20" s="94"/>
      <c r="H20" s="94"/>
      <c r="I20" s="94"/>
      <c r="J20" s="94"/>
      <c r="K20" s="94"/>
      <c r="L20" s="94"/>
      <c r="M20" s="94"/>
      <c r="N20" s="94"/>
      <c r="O20" s="127">
        <f>B20/regional_res_heat_mmbtu</f>
        <v>0.1</v>
      </c>
    </row>
    <row r="21" spans="1:17" x14ac:dyDescent="0.25">
      <c r="B21" s="19"/>
      <c r="C21" s="24"/>
      <c r="D21" s="24"/>
      <c r="E21" s="24"/>
      <c r="F21" s="24"/>
      <c r="G21" s="24"/>
      <c r="H21" s="24"/>
    </row>
    <row r="22" spans="1:17" ht="18.75" x14ac:dyDescent="0.3">
      <c r="B22" s="22"/>
      <c r="C22" s="2" t="s">
        <v>30</v>
      </c>
    </row>
    <row r="23" spans="1:17" ht="15.75" x14ac:dyDescent="0.25">
      <c r="B23" s="22"/>
      <c r="C23" s="30"/>
    </row>
    <row r="24" spans="1:17" ht="44.25" customHeight="1" x14ac:dyDescent="0.25">
      <c r="A24" s="22">
        <v>1</v>
      </c>
      <c r="B24" s="23">
        <f ca="1">K43</f>
        <v>1</v>
      </c>
      <c r="C24" s="95" t="s">
        <v>373</v>
      </c>
      <c r="D24" s="94"/>
      <c r="E24" s="94"/>
      <c r="F24" s="94"/>
      <c r="G24" s="94"/>
      <c r="H24" s="94"/>
      <c r="I24" s="94"/>
      <c r="J24" s="94"/>
      <c r="K24" s="94"/>
      <c r="L24" s="94"/>
      <c r="M24" s="94"/>
      <c r="N24" s="94"/>
      <c r="O24" s="109">
        <f ca="1">B24/regional_com_bldgs</f>
        <v>0.1</v>
      </c>
    </row>
    <row r="25" spans="1:17" s="16" customFormat="1" ht="32.25" customHeight="1" x14ac:dyDescent="0.25">
      <c r="A25" s="22"/>
      <c r="B25" s="22"/>
      <c r="D25" s="16" t="s">
        <v>2</v>
      </c>
      <c r="E25" s="31" t="s">
        <v>31</v>
      </c>
      <c r="G25" s="16" t="s">
        <v>32</v>
      </c>
    </row>
    <row r="26" spans="1:17" ht="99.75" customHeight="1" x14ac:dyDescent="0.25">
      <c r="A26" s="22">
        <v>2</v>
      </c>
      <c r="B26" s="23">
        <f ca="1">L43</f>
        <v>295.29602737736008</v>
      </c>
      <c r="C26" s="105" t="s">
        <v>392</v>
      </c>
      <c r="D26" s="106"/>
      <c r="E26" s="106"/>
      <c r="F26" s="106"/>
      <c r="G26" s="106"/>
      <c r="H26" s="106"/>
      <c r="I26" s="106"/>
      <c r="J26" s="106"/>
      <c r="K26" s="106"/>
      <c r="L26" s="106"/>
      <c r="M26" s="106"/>
      <c r="N26" s="106"/>
      <c r="O26" s="108">
        <f ca="1">B26*O24</f>
        <v>29.52960273773601</v>
      </c>
    </row>
    <row r="27" spans="1:17" x14ac:dyDescent="0.25">
      <c r="B27" s="22"/>
    </row>
    <row r="28" spans="1:17" ht="54" customHeight="1" x14ac:dyDescent="0.25">
      <c r="B28" s="22"/>
      <c r="D28" s="32" t="s">
        <v>33</v>
      </c>
      <c r="E28" s="33" t="s">
        <v>34</v>
      </c>
      <c r="F28" s="33" t="s">
        <v>350</v>
      </c>
      <c r="G28" s="33" t="s">
        <v>35</v>
      </c>
      <c r="H28" s="33" t="s">
        <v>351</v>
      </c>
      <c r="I28" s="33" t="s">
        <v>352</v>
      </c>
      <c r="J28" s="33" t="s">
        <v>353</v>
      </c>
      <c r="K28" s="33" t="s">
        <v>354</v>
      </c>
      <c r="L28" s="34" t="s">
        <v>355</v>
      </c>
      <c r="N28" s="68"/>
    </row>
    <row r="29" spans="1:17" ht="47.25" customHeight="1" x14ac:dyDescent="0.25">
      <c r="B29" s="22"/>
      <c r="C29">
        <v>1</v>
      </c>
      <c r="D29" s="35" t="s">
        <v>36</v>
      </c>
      <c r="E29" s="36">
        <v>1418</v>
      </c>
      <c r="F29" s="69">
        <f>E29/$E$43</f>
        <v>7.6166944190793368E-2</v>
      </c>
      <c r="G29" s="36">
        <v>9210</v>
      </c>
      <c r="H29" s="36">
        <f t="shared" ref="H29:H42" si="0">G29/E29</f>
        <v>6.4950634696755998</v>
      </c>
      <c r="I29" s="36">
        <f>H29/SUM($H$29:$H$42)*$I$43</f>
        <v>506702.40423687408</v>
      </c>
      <c r="J29" s="36">
        <f>I29/E29</f>
        <v>357.33596913742883</v>
      </c>
      <c r="K29" s="36">
        <f ca="1">INDEX(OFFSET(town_establishments[42. Wholesale trade],,C29-$C$29),MATCH($M$3,town_establishments[Municipality],0),)</f>
        <v>0</v>
      </c>
      <c r="L29" s="37">
        <f ca="1">IF(K29="","",K29/$K$43)</f>
        <v>0</v>
      </c>
      <c r="Q29" s="18"/>
    </row>
    <row r="30" spans="1:17" ht="47.25" customHeight="1" x14ac:dyDescent="0.25">
      <c r="B30" s="22"/>
      <c r="C30">
        <v>2</v>
      </c>
      <c r="D30" s="38" t="s">
        <v>37</v>
      </c>
      <c r="E30" s="39">
        <v>3134</v>
      </c>
      <c r="F30" s="70">
        <f t="shared" ref="F30:F42" si="1">E30/$E$43</f>
        <v>0.1683407638180158</v>
      </c>
      <c r="G30" s="39">
        <v>37178</v>
      </c>
      <c r="H30" s="39">
        <f t="shared" si="0"/>
        <v>11.862795149968091</v>
      </c>
      <c r="I30" s="39">
        <f t="shared" ref="I30:I42" si="2">H30/SUM($H$29:$H$42)*$I$43</f>
        <v>925457.74980064656</v>
      </c>
      <c r="J30" s="39">
        <f t="shared" ref="J30:J42" si="3">I30/E30</f>
        <v>295.29602737736008</v>
      </c>
      <c r="K30" s="39">
        <f ca="1">INDEX(OFFSET(town_establishments[42. Wholesale trade],,C30-$C$29),MATCH($M$3,town_establishments[Municipality],0),)</f>
        <v>1</v>
      </c>
      <c r="L30" s="40">
        <f t="shared" ref="L30:L42" ca="1" si="4">IF(K30="","",K30/$K$43)</f>
        <v>1</v>
      </c>
      <c r="Q30" s="18"/>
    </row>
    <row r="31" spans="1:17" ht="47.25" customHeight="1" x14ac:dyDescent="0.25">
      <c r="B31" s="22"/>
      <c r="C31">
        <v>3</v>
      </c>
      <c r="D31" s="38" t="s">
        <v>38</v>
      </c>
      <c r="E31" s="39">
        <v>549</v>
      </c>
      <c r="F31" s="70">
        <f t="shared" si="1"/>
        <v>2.9489176559058923E-2</v>
      </c>
      <c r="G31" s="39">
        <v>6436</v>
      </c>
      <c r="H31" s="39">
        <f t="shared" si="0"/>
        <v>11.723132969034609</v>
      </c>
      <c r="I31" s="39">
        <f t="shared" si="2"/>
        <v>914562.21918876551</v>
      </c>
      <c r="J31" s="39">
        <f t="shared" si="3"/>
        <v>1665.8692517099553</v>
      </c>
      <c r="K31" s="39">
        <f ca="1">INDEX(OFFSET(town_establishments[42. Wholesale trade],,C31-$C$29),MATCH($M$3,town_establishments[Municipality],0),)</f>
        <v>0</v>
      </c>
      <c r="L31" s="40">
        <f t="shared" ca="1" si="4"/>
        <v>0</v>
      </c>
      <c r="Q31" s="18"/>
    </row>
    <row r="32" spans="1:17" ht="47.25" customHeight="1" x14ac:dyDescent="0.25">
      <c r="B32" s="22"/>
      <c r="C32">
        <v>4</v>
      </c>
      <c r="D32" s="38" t="s">
        <v>39</v>
      </c>
      <c r="E32" s="39">
        <v>483</v>
      </c>
      <c r="F32" s="70">
        <f t="shared" si="1"/>
        <v>2.5944029650319601E-2</v>
      </c>
      <c r="G32" s="39">
        <v>4689</v>
      </c>
      <c r="H32" s="39">
        <f t="shared" si="0"/>
        <v>9.70807453416149</v>
      </c>
      <c r="I32" s="39">
        <f t="shared" si="2"/>
        <v>757360.52925993747</v>
      </c>
      <c r="J32" s="39">
        <f t="shared" si="3"/>
        <v>1568.0342220702639</v>
      </c>
      <c r="K32" s="39">
        <f ca="1">INDEX(OFFSET(town_establishments[42. Wholesale trade],,C32-$C$29),MATCH($M$3,town_establishments[Municipality],0),)</f>
        <v>0</v>
      </c>
      <c r="L32" s="40">
        <f t="shared" ca="1" si="4"/>
        <v>0</v>
      </c>
      <c r="Q32" s="18"/>
    </row>
    <row r="33" spans="2:19" ht="47.25" customHeight="1" x14ac:dyDescent="0.25">
      <c r="B33" s="22"/>
      <c r="C33">
        <v>5</v>
      </c>
      <c r="D33" s="41" t="s">
        <v>40</v>
      </c>
      <c r="E33" s="39">
        <v>944</v>
      </c>
      <c r="F33" s="70">
        <f t="shared" si="1"/>
        <v>5.0706343664392757E-2</v>
      </c>
      <c r="G33" s="39">
        <v>8692</v>
      </c>
      <c r="H33" s="39">
        <f t="shared" si="0"/>
        <v>9.2076271186440675</v>
      </c>
      <c r="I33" s="39">
        <f t="shared" si="2"/>
        <v>718318.89251216396</v>
      </c>
      <c r="J33" s="39">
        <f t="shared" si="3"/>
        <v>760.93103020356352</v>
      </c>
      <c r="K33" s="39">
        <f ca="1">INDEX(OFFSET(town_establishments[42. Wholesale trade],,C33-$C$29),MATCH($M$3,town_establishments[Municipality],0),)</f>
        <v>0</v>
      </c>
      <c r="L33" s="40">
        <f t="shared" ca="1" si="4"/>
        <v>0</v>
      </c>
      <c r="Q33" s="18"/>
    </row>
    <row r="34" spans="2:19" ht="47.25" customHeight="1" x14ac:dyDescent="0.25">
      <c r="B34" s="22"/>
      <c r="C34">
        <v>6</v>
      </c>
      <c r="D34" s="38" t="s">
        <v>41</v>
      </c>
      <c r="E34" s="39">
        <v>716</v>
      </c>
      <c r="F34" s="70">
        <f t="shared" si="1"/>
        <v>3.8459472525111456E-2</v>
      </c>
      <c r="G34" s="39">
        <v>2837</v>
      </c>
      <c r="H34" s="39">
        <f t="shared" si="0"/>
        <v>3.9622905027932962</v>
      </c>
      <c r="I34" s="39">
        <f t="shared" si="2"/>
        <v>309112.00997864484</v>
      </c>
      <c r="J34" s="39">
        <f t="shared" si="3"/>
        <v>431.72068432771624</v>
      </c>
      <c r="K34" s="39">
        <f ca="1">INDEX(OFFSET(town_establishments[42. Wholesale trade],,C34-$C$29),MATCH($M$3,town_establishments[Municipality],0),)</f>
        <v>0</v>
      </c>
      <c r="L34" s="40">
        <f t="shared" ca="1" si="4"/>
        <v>0</v>
      </c>
      <c r="Q34" s="18"/>
    </row>
    <row r="35" spans="2:19" ht="47.25" customHeight="1" x14ac:dyDescent="0.25">
      <c r="B35" s="22"/>
      <c r="C35">
        <v>7</v>
      </c>
      <c r="D35" s="41" t="s">
        <v>42</v>
      </c>
      <c r="E35" s="39">
        <v>3170</v>
      </c>
      <c r="F35" s="70">
        <f t="shared" si="1"/>
        <v>0.1702744803136918</v>
      </c>
      <c r="G35" s="39">
        <v>14050</v>
      </c>
      <c r="H35" s="39">
        <f t="shared" si="0"/>
        <v>4.4321766561514195</v>
      </c>
      <c r="I35" s="39">
        <f t="shared" si="2"/>
        <v>345769.45678201987</v>
      </c>
      <c r="J35" s="39">
        <f t="shared" si="3"/>
        <v>109.07553841704097</v>
      </c>
      <c r="K35" s="39">
        <f ca="1">INDEX(OFFSET(town_establishments[42. Wholesale trade],,C35-$C$29),MATCH($M$3,town_establishments[Municipality],0),)</f>
        <v>0</v>
      </c>
      <c r="L35" s="40">
        <f t="shared" ca="1" si="4"/>
        <v>0</v>
      </c>
      <c r="Q35" s="18"/>
    </row>
    <row r="36" spans="2:19" ht="47.25" customHeight="1" x14ac:dyDescent="0.25">
      <c r="B36" s="22"/>
      <c r="C36">
        <v>8</v>
      </c>
      <c r="D36" s="41" t="s">
        <v>43</v>
      </c>
      <c r="E36" s="39">
        <v>112</v>
      </c>
      <c r="F36" s="70">
        <f t="shared" si="1"/>
        <v>6.016006875436429E-3</v>
      </c>
      <c r="G36" s="39">
        <v>2213</v>
      </c>
      <c r="H36" s="39">
        <f t="shared" si="0"/>
        <v>19.758928571428573</v>
      </c>
      <c r="I36" s="39">
        <f t="shared" si="2"/>
        <v>1541462.4751600111</v>
      </c>
      <c r="J36" s="39">
        <f t="shared" si="3"/>
        <v>13763.05781392867</v>
      </c>
      <c r="K36" s="39">
        <f ca="1">INDEX(OFFSET(town_establishments[42. Wholesale trade],,C36-$C$29),MATCH($M$3,town_establishments[Municipality],0),)</f>
        <v>0</v>
      </c>
      <c r="L36" s="40">
        <f t="shared" ca="1" si="4"/>
        <v>0</v>
      </c>
      <c r="Q36" s="18"/>
    </row>
    <row r="37" spans="2:19" ht="47.25" customHeight="1" x14ac:dyDescent="0.25">
      <c r="B37" s="22"/>
      <c r="C37">
        <v>9</v>
      </c>
      <c r="D37" s="41" t="s">
        <v>44</v>
      </c>
      <c r="E37" s="39">
        <v>1580</v>
      </c>
      <c r="F37" s="70">
        <f t="shared" si="1"/>
        <v>8.4868668421335336E-2</v>
      </c>
      <c r="G37" s="39">
        <v>9665</v>
      </c>
      <c r="H37" s="39">
        <f t="shared" si="0"/>
        <v>6.1170886075949369</v>
      </c>
      <c r="I37" s="39">
        <f t="shared" si="2"/>
        <v>477215.27570432739</v>
      </c>
      <c r="J37" s="39">
        <f t="shared" si="3"/>
        <v>302.034984622992</v>
      </c>
      <c r="K37" s="39">
        <f ca="1">INDEX(OFFSET(town_establishments[42. Wholesale trade],,C37-$C$29),MATCH($M$3,town_establishments[Municipality],0),)</f>
        <v>0</v>
      </c>
      <c r="L37" s="40">
        <f t="shared" ca="1" si="4"/>
        <v>0</v>
      </c>
      <c r="Q37" s="18"/>
    </row>
    <row r="38" spans="2:19" ht="47.25" customHeight="1" x14ac:dyDescent="0.25">
      <c r="B38" s="22"/>
      <c r="C38">
        <v>10</v>
      </c>
      <c r="D38" s="38" t="s">
        <v>45</v>
      </c>
      <c r="E38" s="39">
        <v>422</v>
      </c>
      <c r="F38" s="70">
        <f t="shared" si="1"/>
        <v>2.2667454477090832E-2</v>
      </c>
      <c r="G38" s="39">
        <v>10349</v>
      </c>
      <c r="H38" s="39">
        <f t="shared" si="0"/>
        <v>24.523696682464454</v>
      </c>
      <c r="I38" s="39">
        <f t="shared" si="2"/>
        <v>1913178.5436426576</v>
      </c>
      <c r="J38" s="39">
        <f t="shared" si="3"/>
        <v>4533.5984446508473</v>
      </c>
      <c r="K38" s="39">
        <f ca="1">INDEX(OFFSET(town_establishments[42. Wholesale trade],,C38-$C$29),MATCH($M$3,town_establishments[Municipality],0),)</f>
        <v>0</v>
      </c>
      <c r="L38" s="40">
        <f t="shared" ca="1" si="4"/>
        <v>0</v>
      </c>
      <c r="Q38" s="18"/>
    </row>
    <row r="39" spans="2:19" ht="47.25" customHeight="1" x14ac:dyDescent="0.25">
      <c r="B39" s="22"/>
      <c r="C39">
        <v>11</v>
      </c>
      <c r="D39" s="41" t="s">
        <v>46</v>
      </c>
      <c r="E39" s="39">
        <v>1888</v>
      </c>
      <c r="F39" s="70">
        <f t="shared" si="1"/>
        <v>0.10141268732878551</v>
      </c>
      <c r="G39" s="39">
        <v>49518</v>
      </c>
      <c r="H39" s="39">
        <f t="shared" si="0"/>
        <v>26.227754237288135</v>
      </c>
      <c r="I39" s="39">
        <f t="shared" si="2"/>
        <v>2046117.9774170117</v>
      </c>
      <c r="J39" s="39">
        <f t="shared" si="3"/>
        <v>1083.7489287166375</v>
      </c>
      <c r="K39" s="39">
        <f ca="1">INDEX(OFFSET(town_establishments[42. Wholesale trade],,C39-$C$29),MATCH($M$3,town_establishments[Municipality],0),)</f>
        <v>0</v>
      </c>
      <c r="L39" s="40">
        <f t="shared" ca="1" si="4"/>
        <v>0</v>
      </c>
      <c r="Q39" s="18"/>
    </row>
    <row r="40" spans="2:19" ht="47.25" customHeight="1" x14ac:dyDescent="0.25">
      <c r="B40" s="22"/>
      <c r="C40">
        <v>12</v>
      </c>
      <c r="D40" s="41" t="s">
        <v>47</v>
      </c>
      <c r="E40" s="39">
        <v>412</v>
      </c>
      <c r="F40" s="70">
        <f t="shared" si="1"/>
        <v>2.2130311006069721E-2</v>
      </c>
      <c r="G40" s="39">
        <v>3869</v>
      </c>
      <c r="H40" s="39">
        <f t="shared" si="0"/>
        <v>9.3907766990291268</v>
      </c>
      <c r="I40" s="39">
        <f t="shared" si="2"/>
        <v>732607.02582284878</v>
      </c>
      <c r="J40" s="39">
        <f t="shared" si="3"/>
        <v>1778.1723927739049</v>
      </c>
      <c r="K40" s="39">
        <f ca="1">INDEX(OFFSET(town_establishments[42. Wholesale trade],,C40-$C$29),MATCH($M$3,town_establishments[Municipality],0),)</f>
        <v>0</v>
      </c>
      <c r="L40" s="40">
        <f t="shared" ca="1" si="4"/>
        <v>0</v>
      </c>
      <c r="Q40" s="18"/>
    </row>
    <row r="41" spans="2:19" ht="47.25" customHeight="1" x14ac:dyDescent="0.25">
      <c r="B41" s="22"/>
      <c r="C41">
        <v>13</v>
      </c>
      <c r="D41" s="38" t="s">
        <v>48</v>
      </c>
      <c r="E41" s="39">
        <v>1807</v>
      </c>
      <c r="F41" s="70">
        <f t="shared" si="1"/>
        <v>9.706182521351453E-2</v>
      </c>
      <c r="G41" s="39">
        <v>33991</v>
      </c>
      <c r="H41" s="39">
        <f t="shared" si="0"/>
        <v>18.810736026563365</v>
      </c>
      <c r="I41" s="39">
        <f t="shared" si="2"/>
        <v>1467490.6896022826</v>
      </c>
      <c r="J41" s="39">
        <f t="shared" si="3"/>
        <v>812.11438273507611</v>
      </c>
      <c r="K41" s="39">
        <f ca="1">INDEX(OFFSET(town_establishments[42. Wholesale trade],,C41-$C$29),MATCH($M$3,town_establishments[Municipality],0),)</f>
        <v>0</v>
      </c>
      <c r="L41" s="40">
        <f t="shared" ca="1" si="4"/>
        <v>0</v>
      </c>
      <c r="Q41" s="18"/>
    </row>
    <row r="42" spans="2:19" ht="47.25" customHeight="1" x14ac:dyDescent="0.25">
      <c r="B42" s="22"/>
      <c r="C42">
        <v>14</v>
      </c>
      <c r="D42" s="41" t="s">
        <v>49</v>
      </c>
      <c r="E42" s="39">
        <v>1982</v>
      </c>
      <c r="F42" s="70">
        <f t="shared" si="1"/>
        <v>0.10646183595638395</v>
      </c>
      <c r="G42" s="39">
        <v>8756</v>
      </c>
      <c r="H42" s="39">
        <f t="shared" si="0"/>
        <v>4.4177598385469219</v>
      </c>
      <c r="I42" s="39">
        <f t="shared" si="2"/>
        <v>344644.75089180813</v>
      </c>
      <c r="J42" s="39">
        <f t="shared" si="3"/>
        <v>173.88736170121501</v>
      </c>
      <c r="K42" s="39">
        <f ca="1">INDEX(OFFSET(town_establishments[42. Wholesale trade],,C42-$C$29),MATCH($M$3,town_establishments[Municipality],0),)</f>
        <v>0</v>
      </c>
      <c r="L42" s="40">
        <f t="shared" ca="1" si="4"/>
        <v>0</v>
      </c>
      <c r="Q42" s="18"/>
    </row>
    <row r="43" spans="2:19" ht="33" customHeight="1" x14ac:dyDescent="0.25">
      <c r="B43" s="22"/>
      <c r="D43" s="42"/>
      <c r="E43" s="45">
        <f>SUM(E29:E42)</f>
        <v>18617</v>
      </c>
      <c r="F43" s="45"/>
      <c r="G43" s="45">
        <f>SUM(G29:G42)</f>
        <v>201453</v>
      </c>
      <c r="H43" s="43"/>
      <c r="I43" s="44">
        <v>13000000</v>
      </c>
      <c r="J43" s="43"/>
      <c r="K43" s="45">
        <f ca="1">SUM(K29:K42)</f>
        <v>1</v>
      </c>
      <c r="L43" s="46">
        <f ca="1">SUMPRODUCT(J29:J42,L29:L42)</f>
        <v>295.29602737736008</v>
      </c>
      <c r="M43" s="103" t="s">
        <v>356</v>
      </c>
      <c r="N43" s="104"/>
      <c r="O43" s="104"/>
      <c r="P43" s="104"/>
      <c r="Q43" s="104"/>
      <c r="R43" s="104"/>
      <c r="S43" s="104"/>
    </row>
    <row r="44" spans="2:19" ht="22.5" customHeight="1" x14ac:dyDescent="0.25">
      <c r="B44" s="22"/>
    </row>
    <row r="45" spans="2:19" ht="37.5" customHeight="1" x14ac:dyDescent="0.25">
      <c r="B45" s="21">
        <f ca="1">B24*B26</f>
        <v>295.29602737736008</v>
      </c>
      <c r="C45" s="93" t="s">
        <v>62</v>
      </c>
      <c r="D45" s="94"/>
      <c r="E45" s="94"/>
      <c r="F45" s="94"/>
      <c r="G45" s="94"/>
      <c r="H45" s="94"/>
      <c r="I45" s="94"/>
      <c r="J45" s="94"/>
      <c r="K45" s="94"/>
      <c r="L45" s="94"/>
      <c r="M45" s="94"/>
      <c r="N45" s="94"/>
      <c r="O45" s="127">
        <f ca="1">B45/regional_com_heat_mmbtu</f>
        <v>9.9999999999999992E-2</v>
      </c>
    </row>
    <row r="54" spans="4:4" x14ac:dyDescent="0.25">
      <c r="D54" s="18"/>
    </row>
  </sheetData>
  <mergeCells count="20">
    <mergeCell ref="M43:S43"/>
    <mergeCell ref="C45:N45"/>
    <mergeCell ref="E17:N17"/>
    <mergeCell ref="E18:N18"/>
    <mergeCell ref="E19:N19"/>
    <mergeCell ref="C20:N20"/>
    <mergeCell ref="C24:N24"/>
    <mergeCell ref="C26:N26"/>
    <mergeCell ref="E12:F12"/>
    <mergeCell ref="G12:N12"/>
    <mergeCell ref="C13:N13"/>
    <mergeCell ref="E14:N14"/>
    <mergeCell ref="E15:N15"/>
    <mergeCell ref="E16:N16"/>
    <mergeCell ref="B3:L3"/>
    <mergeCell ref="M3:N3"/>
    <mergeCell ref="B4:N4"/>
    <mergeCell ref="B5:M5"/>
    <mergeCell ref="C7:N7"/>
    <mergeCell ref="C11:N11"/>
  </mergeCells>
  <dataValidations count="1">
    <dataValidation type="list" allowBlank="1" showInputMessage="1" showErrorMessage="1" sqref="M3:N3">
      <formula1>INDIRECT("town_population[Municipality]")</formula1>
    </dataValidation>
  </dataValidations>
  <hyperlinks>
    <hyperlink ref="E12" r:id="rId1" display="Census data"/>
    <hyperlink ref="E25" r:id="rId2" display="Vermont Dept of Labor website"/>
  </hyperlinks>
  <pageMargins left="0.7" right="0.7" top="0.75" bottom="0.75" header="0.3" footer="0.3"/>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autoPageBreaks="0"/>
  </sheetPr>
  <dimension ref="A1:S54"/>
  <sheetViews>
    <sheetView zoomScale="70" zoomScaleNormal="70" workbookViewId="0">
      <selection activeCell="B4" sqref="B4:N4"/>
    </sheetView>
  </sheetViews>
  <sheetFormatPr defaultRowHeight="15" x14ac:dyDescent="0.25"/>
  <cols>
    <col min="1" max="1" width="2.5703125" style="22" customWidth="1"/>
    <col min="2" max="12" width="15.140625" customWidth="1"/>
    <col min="13" max="14" width="14.5703125" customWidth="1"/>
    <col min="15" max="15" width="11.85546875" customWidth="1"/>
  </cols>
  <sheetData>
    <row r="1" spans="1:15" ht="21" x14ac:dyDescent="0.35">
      <c r="A1" s="19"/>
      <c r="B1" s="20" t="s">
        <v>53</v>
      </c>
    </row>
    <row r="2" spans="1:15" x14ac:dyDescent="0.25">
      <c r="A2" s="19"/>
      <c r="B2" s="4"/>
    </row>
    <row r="3" spans="1:15" ht="24.75" customHeight="1" x14ac:dyDescent="0.25">
      <c r="A3" s="19"/>
      <c r="B3" s="86" t="s">
        <v>382</v>
      </c>
      <c r="C3" s="87"/>
      <c r="D3" s="87"/>
      <c r="E3" s="87"/>
      <c r="F3" s="87"/>
      <c r="G3" s="87"/>
      <c r="H3" s="87"/>
      <c r="I3" s="87"/>
      <c r="J3" s="87"/>
      <c r="K3" s="87"/>
      <c r="L3" s="110"/>
      <c r="M3" s="107" t="s">
        <v>264</v>
      </c>
      <c r="N3" s="107"/>
    </row>
    <row r="4" spans="1:15" ht="24.75" customHeight="1" x14ac:dyDescent="0.25">
      <c r="A4" s="19"/>
      <c r="B4" s="88" t="s">
        <v>383</v>
      </c>
      <c r="C4" s="89"/>
      <c r="D4" s="89"/>
      <c r="E4" s="89"/>
      <c r="F4" s="89"/>
      <c r="G4" s="89"/>
      <c r="H4" s="89"/>
      <c r="I4" s="89"/>
      <c r="J4" s="89"/>
      <c r="K4" s="89"/>
      <c r="L4" s="89"/>
      <c r="M4" s="89"/>
      <c r="N4" s="90"/>
    </row>
    <row r="5" spans="1:15" ht="24.75" customHeight="1" x14ac:dyDescent="0.25">
      <c r="A5" s="19"/>
      <c r="B5" s="91" t="s">
        <v>381</v>
      </c>
      <c r="C5" s="92"/>
      <c r="D5" s="92"/>
      <c r="E5" s="92"/>
      <c r="F5" s="92"/>
      <c r="G5" s="92"/>
      <c r="H5" s="92"/>
      <c r="I5" s="92"/>
      <c r="J5" s="92"/>
      <c r="K5" s="92"/>
      <c r="L5" s="92"/>
      <c r="M5" s="111"/>
      <c r="N5" s="76" t="s">
        <v>372</v>
      </c>
    </row>
    <row r="6" spans="1:15" x14ac:dyDescent="0.25">
      <c r="A6" s="19"/>
    </row>
    <row r="7" spans="1:15" ht="42.75" customHeight="1" x14ac:dyDescent="0.25">
      <c r="A7" s="19"/>
      <c r="B7" s="21">
        <f ca="1">SUM(B20,B45)</f>
        <v>71355.296027377364</v>
      </c>
      <c r="C7" s="93" t="s">
        <v>391</v>
      </c>
      <c r="D7" s="94"/>
      <c r="E7" s="94"/>
      <c r="F7" s="94"/>
      <c r="G7" s="94"/>
      <c r="H7" s="94"/>
      <c r="I7" s="94"/>
      <c r="J7" s="94"/>
      <c r="K7" s="94"/>
      <c r="L7" s="94"/>
      <c r="M7" s="94"/>
      <c r="N7" s="94"/>
    </row>
    <row r="8" spans="1:15" x14ac:dyDescent="0.25">
      <c r="A8" s="19"/>
      <c r="B8" s="22"/>
    </row>
    <row r="9" spans="1:15" ht="18.75" x14ac:dyDescent="0.3">
      <c r="B9" s="22"/>
      <c r="C9" s="2" t="s">
        <v>20</v>
      </c>
    </row>
    <row r="10" spans="1:15" x14ac:dyDescent="0.25">
      <c r="B10" s="22"/>
      <c r="C10" s="5"/>
    </row>
    <row r="11" spans="1:15" ht="42.75" customHeight="1" x14ac:dyDescent="0.25">
      <c r="A11" s="22">
        <v>1</v>
      </c>
      <c r="B11" s="23">
        <v>646</v>
      </c>
      <c r="C11" s="95" t="s">
        <v>69</v>
      </c>
      <c r="D11" s="94"/>
      <c r="E11" s="94"/>
      <c r="F11" s="94"/>
      <c r="G11" s="94"/>
      <c r="H11" s="94"/>
      <c r="I11" s="94"/>
      <c r="J11" s="94"/>
      <c r="K11" s="94"/>
      <c r="L11" s="94"/>
      <c r="M11" s="94"/>
      <c r="N11" s="94"/>
      <c r="O11" s="28">
        <f>B11/regional_res_bldgs</f>
        <v>0.1</v>
      </c>
    </row>
    <row r="12" spans="1:15" ht="42.75" customHeight="1" x14ac:dyDescent="0.25">
      <c r="B12" s="19"/>
      <c r="C12" s="24"/>
      <c r="D12" s="59" t="s">
        <v>21</v>
      </c>
      <c r="E12" s="100" t="s">
        <v>3</v>
      </c>
      <c r="F12" s="100"/>
      <c r="G12" s="97" t="s">
        <v>22</v>
      </c>
      <c r="H12" s="97"/>
      <c r="I12" s="97"/>
      <c r="J12" s="97"/>
      <c r="K12" s="97"/>
      <c r="L12" s="97"/>
      <c r="M12" s="97"/>
      <c r="N12" s="97"/>
    </row>
    <row r="13" spans="1:15" ht="52.5" customHeight="1" x14ac:dyDescent="0.25">
      <c r="A13" s="22">
        <v>2</v>
      </c>
      <c r="B13" s="23">
        <v>110</v>
      </c>
      <c r="C13" s="101" t="s">
        <v>68</v>
      </c>
      <c r="D13" s="102"/>
      <c r="E13" s="102"/>
      <c r="F13" s="102"/>
      <c r="G13" s="102"/>
      <c r="H13" s="102"/>
      <c r="I13" s="102"/>
      <c r="J13" s="102"/>
      <c r="K13" s="102"/>
      <c r="L13" s="102"/>
      <c r="M13" s="102"/>
      <c r="N13" s="102"/>
      <c r="O13" s="62">
        <f>B13*O11</f>
        <v>11</v>
      </c>
    </row>
    <row r="14" spans="1:15" ht="42.75" customHeight="1" x14ac:dyDescent="0.25">
      <c r="B14" s="22"/>
      <c r="C14" s="25"/>
      <c r="D14" s="26" t="s">
        <v>23</v>
      </c>
      <c r="E14" s="102" t="s">
        <v>24</v>
      </c>
      <c r="F14" s="102"/>
      <c r="G14" s="102"/>
      <c r="H14" s="102"/>
      <c r="I14" s="102"/>
      <c r="J14" s="102"/>
      <c r="K14" s="102"/>
      <c r="L14" s="102"/>
      <c r="M14" s="102"/>
      <c r="N14" s="102"/>
    </row>
    <row r="15" spans="1:15" ht="42.75" customHeight="1" x14ac:dyDescent="0.25">
      <c r="B15" s="19"/>
      <c r="C15" s="27"/>
      <c r="D15" s="28">
        <v>0.26</v>
      </c>
      <c r="E15" s="102" t="s">
        <v>25</v>
      </c>
      <c r="F15" s="102"/>
      <c r="G15" s="102"/>
      <c r="H15" s="102"/>
      <c r="I15" s="102"/>
      <c r="J15" s="102"/>
      <c r="K15" s="102"/>
      <c r="L15" s="102"/>
      <c r="M15" s="102"/>
      <c r="N15" s="102"/>
    </row>
    <row r="16" spans="1:15" ht="42.75" customHeight="1" x14ac:dyDescent="0.25">
      <c r="B16" s="19"/>
      <c r="C16" s="27"/>
      <c r="D16" s="28">
        <v>0.5</v>
      </c>
      <c r="E16" s="102" t="s">
        <v>26</v>
      </c>
      <c r="F16" s="102"/>
      <c r="G16" s="102"/>
      <c r="H16" s="102"/>
      <c r="I16" s="102"/>
      <c r="J16" s="102"/>
      <c r="K16" s="102"/>
      <c r="L16" s="102"/>
      <c r="M16" s="102"/>
      <c r="N16" s="102"/>
    </row>
    <row r="17" spans="1:17" ht="42.75" customHeight="1" x14ac:dyDescent="0.25">
      <c r="B17" s="19"/>
      <c r="C17" s="27"/>
      <c r="D17" s="28">
        <v>0.2</v>
      </c>
      <c r="E17" s="102" t="s">
        <v>27</v>
      </c>
      <c r="F17" s="102"/>
      <c r="G17" s="102"/>
      <c r="H17" s="102"/>
      <c r="I17" s="102"/>
      <c r="J17" s="102"/>
      <c r="K17" s="102"/>
      <c r="L17" s="102"/>
      <c r="M17" s="102"/>
      <c r="N17" s="102"/>
    </row>
    <row r="18" spans="1:17" ht="42.75" customHeight="1" x14ac:dyDescent="0.25">
      <c r="B18" s="19"/>
      <c r="C18" s="27"/>
      <c r="D18" s="29">
        <v>2.2999999999999998</v>
      </c>
      <c r="E18" s="102" t="s">
        <v>28</v>
      </c>
      <c r="F18" s="102"/>
      <c r="G18" s="102"/>
      <c r="H18" s="102"/>
      <c r="I18" s="102"/>
      <c r="J18" s="102"/>
      <c r="K18" s="102"/>
      <c r="L18" s="102"/>
      <c r="M18" s="102"/>
      <c r="N18" s="102"/>
    </row>
    <row r="19" spans="1:17" ht="42.75" customHeight="1" x14ac:dyDescent="0.25">
      <c r="B19" s="19"/>
      <c r="C19" s="27"/>
      <c r="D19" s="28">
        <f>(20000*1.25)/257000</f>
        <v>9.727626459143969E-2</v>
      </c>
      <c r="E19" s="102" t="s">
        <v>29</v>
      </c>
      <c r="F19" s="102"/>
      <c r="G19" s="102"/>
      <c r="H19" s="102"/>
      <c r="I19" s="102"/>
      <c r="J19" s="102"/>
      <c r="K19" s="102"/>
      <c r="L19" s="102"/>
      <c r="M19" s="102"/>
      <c r="N19" s="102"/>
    </row>
    <row r="20" spans="1:17" ht="42.75" customHeight="1" x14ac:dyDescent="0.25">
      <c r="B20" s="21">
        <f>B11*B13</f>
        <v>71060</v>
      </c>
      <c r="C20" s="93" t="s">
        <v>61</v>
      </c>
      <c r="D20" s="94"/>
      <c r="E20" s="94"/>
      <c r="F20" s="94"/>
      <c r="G20" s="94"/>
      <c r="H20" s="94"/>
      <c r="I20" s="94"/>
      <c r="J20" s="94"/>
      <c r="K20" s="94"/>
      <c r="L20" s="94"/>
      <c r="M20" s="94"/>
      <c r="N20" s="94"/>
      <c r="O20" s="127">
        <f>B20/regional_res_heat_mmbtu</f>
        <v>0.1</v>
      </c>
    </row>
    <row r="21" spans="1:17" x14ac:dyDescent="0.25">
      <c r="B21" s="19"/>
      <c r="C21" s="24"/>
      <c r="D21" s="24"/>
      <c r="E21" s="24"/>
      <c r="F21" s="24"/>
      <c r="G21" s="24"/>
      <c r="H21" s="24"/>
    </row>
    <row r="22" spans="1:17" ht="18.75" x14ac:dyDescent="0.3">
      <c r="B22" s="22"/>
      <c r="C22" s="2" t="s">
        <v>30</v>
      </c>
    </row>
    <row r="23" spans="1:17" ht="15.75" x14ac:dyDescent="0.25">
      <c r="B23" s="22"/>
      <c r="C23" s="30"/>
    </row>
    <row r="24" spans="1:17" ht="44.25" customHeight="1" x14ac:dyDescent="0.25">
      <c r="A24" s="22">
        <v>1</v>
      </c>
      <c r="B24" s="23">
        <f ca="1">K43</f>
        <v>1</v>
      </c>
      <c r="C24" s="95" t="s">
        <v>373</v>
      </c>
      <c r="D24" s="94"/>
      <c r="E24" s="94"/>
      <c r="F24" s="94"/>
      <c r="G24" s="94"/>
      <c r="H24" s="94"/>
      <c r="I24" s="94"/>
      <c r="J24" s="94"/>
      <c r="K24" s="94"/>
      <c r="L24" s="94"/>
      <c r="M24" s="94"/>
      <c r="N24" s="94"/>
      <c r="O24" s="109">
        <f ca="1">B24/regional_com_bldgs</f>
        <v>0.1</v>
      </c>
    </row>
    <row r="25" spans="1:17" s="16" customFormat="1" ht="32.25" customHeight="1" x14ac:dyDescent="0.25">
      <c r="A25" s="22"/>
      <c r="B25" s="22"/>
      <c r="D25" s="16" t="s">
        <v>2</v>
      </c>
      <c r="E25" s="31" t="s">
        <v>31</v>
      </c>
      <c r="G25" s="16" t="s">
        <v>32</v>
      </c>
    </row>
    <row r="26" spans="1:17" ht="99.75" customHeight="1" x14ac:dyDescent="0.25">
      <c r="A26" s="22">
        <v>2</v>
      </c>
      <c r="B26" s="23">
        <f ca="1">L43</f>
        <v>295.29602737736008</v>
      </c>
      <c r="C26" s="105" t="s">
        <v>392</v>
      </c>
      <c r="D26" s="106"/>
      <c r="E26" s="106"/>
      <c r="F26" s="106"/>
      <c r="G26" s="106"/>
      <c r="H26" s="106"/>
      <c r="I26" s="106"/>
      <c r="J26" s="106"/>
      <c r="K26" s="106"/>
      <c r="L26" s="106"/>
      <c r="M26" s="106"/>
      <c r="N26" s="106"/>
      <c r="O26" s="108">
        <f ca="1">B26*O24</f>
        <v>29.52960273773601</v>
      </c>
    </row>
    <row r="27" spans="1:17" x14ac:dyDescent="0.25">
      <c r="B27" s="22"/>
    </row>
    <row r="28" spans="1:17" ht="54" customHeight="1" x14ac:dyDescent="0.25">
      <c r="B28" s="22"/>
      <c r="D28" s="32" t="s">
        <v>33</v>
      </c>
      <c r="E28" s="33" t="s">
        <v>34</v>
      </c>
      <c r="F28" s="33" t="s">
        <v>350</v>
      </c>
      <c r="G28" s="33" t="s">
        <v>35</v>
      </c>
      <c r="H28" s="33" t="s">
        <v>351</v>
      </c>
      <c r="I28" s="33" t="s">
        <v>352</v>
      </c>
      <c r="J28" s="33" t="s">
        <v>353</v>
      </c>
      <c r="K28" s="33" t="s">
        <v>354</v>
      </c>
      <c r="L28" s="34" t="s">
        <v>355</v>
      </c>
      <c r="N28" s="68"/>
    </row>
    <row r="29" spans="1:17" ht="47.25" customHeight="1" x14ac:dyDescent="0.25">
      <c r="B29" s="22"/>
      <c r="C29">
        <v>1</v>
      </c>
      <c r="D29" s="35" t="s">
        <v>36</v>
      </c>
      <c r="E29" s="36">
        <v>1418</v>
      </c>
      <c r="F29" s="69">
        <f>E29/$E$43</f>
        <v>7.6166944190793368E-2</v>
      </c>
      <c r="G29" s="36">
        <v>9210</v>
      </c>
      <c r="H29" s="36">
        <f t="shared" ref="H29:H42" si="0">G29/E29</f>
        <v>6.4950634696755998</v>
      </c>
      <c r="I29" s="36">
        <f>H29/SUM($H$29:$H$42)*$I$43</f>
        <v>506702.40423687408</v>
      </c>
      <c r="J29" s="36">
        <f>I29/E29</f>
        <v>357.33596913742883</v>
      </c>
      <c r="K29" s="36">
        <f ca="1">INDEX(OFFSET(town_establishments[42. Wholesale trade],,C29-$C$29),MATCH($M$3,town_establishments[Municipality],0),)</f>
        <v>0</v>
      </c>
      <c r="L29" s="37">
        <f ca="1">IF(K29="","",K29/$K$43)</f>
        <v>0</v>
      </c>
      <c r="Q29" s="18"/>
    </row>
    <row r="30" spans="1:17" ht="47.25" customHeight="1" x14ac:dyDescent="0.25">
      <c r="B30" s="22"/>
      <c r="C30">
        <v>2</v>
      </c>
      <c r="D30" s="38" t="s">
        <v>37</v>
      </c>
      <c r="E30" s="39">
        <v>3134</v>
      </c>
      <c r="F30" s="70">
        <f t="shared" ref="F30:F42" si="1">E30/$E$43</f>
        <v>0.1683407638180158</v>
      </c>
      <c r="G30" s="39">
        <v>37178</v>
      </c>
      <c r="H30" s="39">
        <f t="shared" si="0"/>
        <v>11.862795149968091</v>
      </c>
      <c r="I30" s="39">
        <f t="shared" ref="I30:I42" si="2">H30/SUM($H$29:$H$42)*$I$43</f>
        <v>925457.74980064656</v>
      </c>
      <c r="J30" s="39">
        <f t="shared" ref="J30:J42" si="3">I30/E30</f>
        <v>295.29602737736008</v>
      </c>
      <c r="K30" s="39">
        <f ca="1">INDEX(OFFSET(town_establishments[42. Wholesale trade],,C30-$C$29),MATCH($M$3,town_establishments[Municipality],0),)</f>
        <v>1</v>
      </c>
      <c r="L30" s="40">
        <f t="shared" ref="L30:L42" ca="1" si="4">IF(K30="","",K30/$K$43)</f>
        <v>1</v>
      </c>
      <c r="Q30" s="18"/>
    </row>
    <row r="31" spans="1:17" ht="47.25" customHeight="1" x14ac:dyDescent="0.25">
      <c r="B31" s="22"/>
      <c r="C31">
        <v>3</v>
      </c>
      <c r="D31" s="38" t="s">
        <v>38</v>
      </c>
      <c r="E31" s="39">
        <v>549</v>
      </c>
      <c r="F31" s="70">
        <f t="shared" si="1"/>
        <v>2.9489176559058923E-2</v>
      </c>
      <c r="G31" s="39">
        <v>6436</v>
      </c>
      <c r="H31" s="39">
        <f t="shared" si="0"/>
        <v>11.723132969034609</v>
      </c>
      <c r="I31" s="39">
        <f t="shared" si="2"/>
        <v>914562.21918876551</v>
      </c>
      <c r="J31" s="39">
        <f t="shared" si="3"/>
        <v>1665.8692517099553</v>
      </c>
      <c r="K31" s="39">
        <f ca="1">INDEX(OFFSET(town_establishments[42. Wholesale trade],,C31-$C$29),MATCH($M$3,town_establishments[Municipality],0),)</f>
        <v>0</v>
      </c>
      <c r="L31" s="40">
        <f t="shared" ca="1" si="4"/>
        <v>0</v>
      </c>
      <c r="Q31" s="18"/>
    </row>
    <row r="32" spans="1:17" ht="47.25" customHeight="1" x14ac:dyDescent="0.25">
      <c r="B32" s="22"/>
      <c r="C32">
        <v>4</v>
      </c>
      <c r="D32" s="38" t="s">
        <v>39</v>
      </c>
      <c r="E32" s="39">
        <v>483</v>
      </c>
      <c r="F32" s="70">
        <f t="shared" si="1"/>
        <v>2.5944029650319601E-2</v>
      </c>
      <c r="G32" s="39">
        <v>4689</v>
      </c>
      <c r="H32" s="39">
        <f t="shared" si="0"/>
        <v>9.70807453416149</v>
      </c>
      <c r="I32" s="39">
        <f t="shared" si="2"/>
        <v>757360.52925993747</v>
      </c>
      <c r="J32" s="39">
        <f t="shared" si="3"/>
        <v>1568.0342220702639</v>
      </c>
      <c r="K32" s="39">
        <f ca="1">INDEX(OFFSET(town_establishments[42. Wholesale trade],,C32-$C$29),MATCH($M$3,town_establishments[Municipality],0),)</f>
        <v>0</v>
      </c>
      <c r="L32" s="40">
        <f t="shared" ca="1" si="4"/>
        <v>0</v>
      </c>
      <c r="Q32" s="18"/>
    </row>
    <row r="33" spans="2:19" ht="47.25" customHeight="1" x14ac:dyDescent="0.25">
      <c r="B33" s="22"/>
      <c r="C33">
        <v>5</v>
      </c>
      <c r="D33" s="41" t="s">
        <v>40</v>
      </c>
      <c r="E33" s="39">
        <v>944</v>
      </c>
      <c r="F33" s="70">
        <f t="shared" si="1"/>
        <v>5.0706343664392757E-2</v>
      </c>
      <c r="G33" s="39">
        <v>8692</v>
      </c>
      <c r="H33" s="39">
        <f t="shared" si="0"/>
        <v>9.2076271186440675</v>
      </c>
      <c r="I33" s="39">
        <f t="shared" si="2"/>
        <v>718318.89251216396</v>
      </c>
      <c r="J33" s="39">
        <f t="shared" si="3"/>
        <v>760.93103020356352</v>
      </c>
      <c r="K33" s="39">
        <f ca="1">INDEX(OFFSET(town_establishments[42. Wholesale trade],,C33-$C$29),MATCH($M$3,town_establishments[Municipality],0),)</f>
        <v>0</v>
      </c>
      <c r="L33" s="40">
        <f t="shared" ca="1" si="4"/>
        <v>0</v>
      </c>
      <c r="Q33" s="18"/>
    </row>
    <row r="34" spans="2:19" ht="47.25" customHeight="1" x14ac:dyDescent="0.25">
      <c r="B34" s="22"/>
      <c r="C34">
        <v>6</v>
      </c>
      <c r="D34" s="38" t="s">
        <v>41</v>
      </c>
      <c r="E34" s="39">
        <v>716</v>
      </c>
      <c r="F34" s="70">
        <f t="shared" si="1"/>
        <v>3.8459472525111456E-2</v>
      </c>
      <c r="G34" s="39">
        <v>2837</v>
      </c>
      <c r="H34" s="39">
        <f t="shared" si="0"/>
        <v>3.9622905027932962</v>
      </c>
      <c r="I34" s="39">
        <f t="shared" si="2"/>
        <v>309112.00997864484</v>
      </c>
      <c r="J34" s="39">
        <f t="shared" si="3"/>
        <v>431.72068432771624</v>
      </c>
      <c r="K34" s="39">
        <f ca="1">INDEX(OFFSET(town_establishments[42. Wholesale trade],,C34-$C$29),MATCH($M$3,town_establishments[Municipality],0),)</f>
        <v>0</v>
      </c>
      <c r="L34" s="40">
        <f t="shared" ca="1" si="4"/>
        <v>0</v>
      </c>
      <c r="Q34" s="18"/>
    </row>
    <row r="35" spans="2:19" ht="47.25" customHeight="1" x14ac:dyDescent="0.25">
      <c r="B35" s="22"/>
      <c r="C35">
        <v>7</v>
      </c>
      <c r="D35" s="41" t="s">
        <v>42</v>
      </c>
      <c r="E35" s="39">
        <v>3170</v>
      </c>
      <c r="F35" s="70">
        <f t="shared" si="1"/>
        <v>0.1702744803136918</v>
      </c>
      <c r="G35" s="39">
        <v>14050</v>
      </c>
      <c r="H35" s="39">
        <f t="shared" si="0"/>
        <v>4.4321766561514195</v>
      </c>
      <c r="I35" s="39">
        <f t="shared" si="2"/>
        <v>345769.45678201987</v>
      </c>
      <c r="J35" s="39">
        <f t="shared" si="3"/>
        <v>109.07553841704097</v>
      </c>
      <c r="K35" s="39">
        <f ca="1">INDEX(OFFSET(town_establishments[42. Wholesale trade],,C35-$C$29),MATCH($M$3,town_establishments[Municipality],0),)</f>
        <v>0</v>
      </c>
      <c r="L35" s="40">
        <f t="shared" ca="1" si="4"/>
        <v>0</v>
      </c>
      <c r="Q35" s="18"/>
    </row>
    <row r="36" spans="2:19" ht="47.25" customHeight="1" x14ac:dyDescent="0.25">
      <c r="B36" s="22"/>
      <c r="C36">
        <v>8</v>
      </c>
      <c r="D36" s="41" t="s">
        <v>43</v>
      </c>
      <c r="E36" s="39">
        <v>112</v>
      </c>
      <c r="F36" s="70">
        <f t="shared" si="1"/>
        <v>6.016006875436429E-3</v>
      </c>
      <c r="G36" s="39">
        <v>2213</v>
      </c>
      <c r="H36" s="39">
        <f t="shared" si="0"/>
        <v>19.758928571428573</v>
      </c>
      <c r="I36" s="39">
        <f t="shared" si="2"/>
        <v>1541462.4751600111</v>
      </c>
      <c r="J36" s="39">
        <f t="shared" si="3"/>
        <v>13763.05781392867</v>
      </c>
      <c r="K36" s="39">
        <f ca="1">INDEX(OFFSET(town_establishments[42. Wholesale trade],,C36-$C$29),MATCH($M$3,town_establishments[Municipality],0),)</f>
        <v>0</v>
      </c>
      <c r="L36" s="40">
        <f t="shared" ca="1" si="4"/>
        <v>0</v>
      </c>
      <c r="Q36" s="18"/>
    </row>
    <row r="37" spans="2:19" ht="47.25" customHeight="1" x14ac:dyDescent="0.25">
      <c r="B37" s="22"/>
      <c r="C37">
        <v>9</v>
      </c>
      <c r="D37" s="41" t="s">
        <v>44</v>
      </c>
      <c r="E37" s="39">
        <v>1580</v>
      </c>
      <c r="F37" s="70">
        <f t="shared" si="1"/>
        <v>8.4868668421335336E-2</v>
      </c>
      <c r="G37" s="39">
        <v>9665</v>
      </c>
      <c r="H37" s="39">
        <f t="shared" si="0"/>
        <v>6.1170886075949369</v>
      </c>
      <c r="I37" s="39">
        <f t="shared" si="2"/>
        <v>477215.27570432739</v>
      </c>
      <c r="J37" s="39">
        <f t="shared" si="3"/>
        <v>302.034984622992</v>
      </c>
      <c r="K37" s="39">
        <f ca="1">INDEX(OFFSET(town_establishments[42. Wholesale trade],,C37-$C$29),MATCH($M$3,town_establishments[Municipality],0),)</f>
        <v>0</v>
      </c>
      <c r="L37" s="40">
        <f t="shared" ca="1" si="4"/>
        <v>0</v>
      </c>
      <c r="Q37" s="18"/>
    </row>
    <row r="38" spans="2:19" ht="47.25" customHeight="1" x14ac:dyDescent="0.25">
      <c r="B38" s="22"/>
      <c r="C38">
        <v>10</v>
      </c>
      <c r="D38" s="38" t="s">
        <v>45</v>
      </c>
      <c r="E38" s="39">
        <v>422</v>
      </c>
      <c r="F38" s="70">
        <f t="shared" si="1"/>
        <v>2.2667454477090832E-2</v>
      </c>
      <c r="G38" s="39">
        <v>10349</v>
      </c>
      <c r="H38" s="39">
        <f t="shared" si="0"/>
        <v>24.523696682464454</v>
      </c>
      <c r="I38" s="39">
        <f t="shared" si="2"/>
        <v>1913178.5436426576</v>
      </c>
      <c r="J38" s="39">
        <f t="shared" si="3"/>
        <v>4533.5984446508473</v>
      </c>
      <c r="K38" s="39">
        <f ca="1">INDEX(OFFSET(town_establishments[42. Wholesale trade],,C38-$C$29),MATCH($M$3,town_establishments[Municipality],0),)</f>
        <v>0</v>
      </c>
      <c r="L38" s="40">
        <f t="shared" ca="1" si="4"/>
        <v>0</v>
      </c>
      <c r="Q38" s="18"/>
    </row>
    <row r="39" spans="2:19" ht="47.25" customHeight="1" x14ac:dyDescent="0.25">
      <c r="B39" s="22"/>
      <c r="C39">
        <v>11</v>
      </c>
      <c r="D39" s="41" t="s">
        <v>46</v>
      </c>
      <c r="E39" s="39">
        <v>1888</v>
      </c>
      <c r="F39" s="70">
        <f t="shared" si="1"/>
        <v>0.10141268732878551</v>
      </c>
      <c r="G39" s="39">
        <v>49518</v>
      </c>
      <c r="H39" s="39">
        <f t="shared" si="0"/>
        <v>26.227754237288135</v>
      </c>
      <c r="I39" s="39">
        <f t="shared" si="2"/>
        <v>2046117.9774170117</v>
      </c>
      <c r="J39" s="39">
        <f t="shared" si="3"/>
        <v>1083.7489287166375</v>
      </c>
      <c r="K39" s="39">
        <f ca="1">INDEX(OFFSET(town_establishments[42. Wholesale trade],,C39-$C$29),MATCH($M$3,town_establishments[Municipality],0),)</f>
        <v>0</v>
      </c>
      <c r="L39" s="40">
        <f t="shared" ca="1" si="4"/>
        <v>0</v>
      </c>
      <c r="Q39" s="18"/>
    </row>
    <row r="40" spans="2:19" ht="47.25" customHeight="1" x14ac:dyDescent="0.25">
      <c r="B40" s="22"/>
      <c r="C40">
        <v>12</v>
      </c>
      <c r="D40" s="41" t="s">
        <v>47</v>
      </c>
      <c r="E40" s="39">
        <v>412</v>
      </c>
      <c r="F40" s="70">
        <f t="shared" si="1"/>
        <v>2.2130311006069721E-2</v>
      </c>
      <c r="G40" s="39">
        <v>3869</v>
      </c>
      <c r="H40" s="39">
        <f t="shared" si="0"/>
        <v>9.3907766990291268</v>
      </c>
      <c r="I40" s="39">
        <f t="shared" si="2"/>
        <v>732607.02582284878</v>
      </c>
      <c r="J40" s="39">
        <f t="shared" si="3"/>
        <v>1778.1723927739049</v>
      </c>
      <c r="K40" s="39">
        <f ca="1">INDEX(OFFSET(town_establishments[42. Wholesale trade],,C40-$C$29),MATCH($M$3,town_establishments[Municipality],0),)</f>
        <v>0</v>
      </c>
      <c r="L40" s="40">
        <f t="shared" ca="1" si="4"/>
        <v>0</v>
      </c>
      <c r="Q40" s="18"/>
    </row>
    <row r="41" spans="2:19" ht="47.25" customHeight="1" x14ac:dyDescent="0.25">
      <c r="B41" s="22"/>
      <c r="C41">
        <v>13</v>
      </c>
      <c r="D41" s="38" t="s">
        <v>48</v>
      </c>
      <c r="E41" s="39">
        <v>1807</v>
      </c>
      <c r="F41" s="70">
        <f t="shared" si="1"/>
        <v>9.706182521351453E-2</v>
      </c>
      <c r="G41" s="39">
        <v>33991</v>
      </c>
      <c r="H41" s="39">
        <f t="shared" si="0"/>
        <v>18.810736026563365</v>
      </c>
      <c r="I41" s="39">
        <f t="shared" si="2"/>
        <v>1467490.6896022826</v>
      </c>
      <c r="J41" s="39">
        <f t="shared" si="3"/>
        <v>812.11438273507611</v>
      </c>
      <c r="K41" s="39">
        <f ca="1">INDEX(OFFSET(town_establishments[42. Wholesale trade],,C41-$C$29),MATCH($M$3,town_establishments[Municipality],0),)</f>
        <v>0</v>
      </c>
      <c r="L41" s="40">
        <f t="shared" ca="1" si="4"/>
        <v>0</v>
      </c>
      <c r="Q41" s="18"/>
    </row>
    <row r="42" spans="2:19" ht="47.25" customHeight="1" x14ac:dyDescent="0.25">
      <c r="B42" s="22"/>
      <c r="C42">
        <v>14</v>
      </c>
      <c r="D42" s="41" t="s">
        <v>49</v>
      </c>
      <c r="E42" s="39">
        <v>1982</v>
      </c>
      <c r="F42" s="70">
        <f t="shared" si="1"/>
        <v>0.10646183595638395</v>
      </c>
      <c r="G42" s="39">
        <v>8756</v>
      </c>
      <c r="H42" s="39">
        <f t="shared" si="0"/>
        <v>4.4177598385469219</v>
      </c>
      <c r="I42" s="39">
        <f t="shared" si="2"/>
        <v>344644.75089180813</v>
      </c>
      <c r="J42" s="39">
        <f t="shared" si="3"/>
        <v>173.88736170121501</v>
      </c>
      <c r="K42" s="39">
        <f ca="1">INDEX(OFFSET(town_establishments[42. Wholesale trade],,C42-$C$29),MATCH($M$3,town_establishments[Municipality],0),)</f>
        <v>0</v>
      </c>
      <c r="L42" s="40">
        <f t="shared" ca="1" si="4"/>
        <v>0</v>
      </c>
      <c r="Q42" s="18"/>
    </row>
    <row r="43" spans="2:19" ht="33" customHeight="1" x14ac:dyDescent="0.25">
      <c r="B43" s="22"/>
      <c r="D43" s="42"/>
      <c r="E43" s="45">
        <f>SUM(E29:E42)</f>
        <v>18617</v>
      </c>
      <c r="F43" s="45"/>
      <c r="G43" s="45">
        <f>SUM(G29:G42)</f>
        <v>201453</v>
      </c>
      <c r="H43" s="43"/>
      <c r="I43" s="44">
        <v>13000000</v>
      </c>
      <c r="J43" s="43"/>
      <c r="K43" s="45">
        <f ca="1">SUM(K29:K42)</f>
        <v>1</v>
      </c>
      <c r="L43" s="46">
        <f ca="1">SUMPRODUCT(J29:J42,L29:L42)</f>
        <v>295.29602737736008</v>
      </c>
      <c r="M43" s="103" t="s">
        <v>356</v>
      </c>
      <c r="N43" s="104"/>
      <c r="O43" s="104"/>
      <c r="P43" s="104"/>
      <c r="Q43" s="104"/>
      <c r="R43" s="104"/>
      <c r="S43" s="104"/>
    </row>
    <row r="44" spans="2:19" ht="22.5" customHeight="1" x14ac:dyDescent="0.25">
      <c r="B44" s="22"/>
    </row>
    <row r="45" spans="2:19" ht="37.5" customHeight="1" x14ac:dyDescent="0.25">
      <c r="B45" s="21">
        <f ca="1">B24*B26</f>
        <v>295.29602737736008</v>
      </c>
      <c r="C45" s="93" t="s">
        <v>62</v>
      </c>
      <c r="D45" s="94"/>
      <c r="E45" s="94"/>
      <c r="F45" s="94"/>
      <c r="G45" s="94"/>
      <c r="H45" s="94"/>
      <c r="I45" s="94"/>
      <c r="J45" s="94"/>
      <c r="K45" s="94"/>
      <c r="L45" s="94"/>
      <c r="M45" s="94"/>
      <c r="N45" s="94"/>
      <c r="O45" s="127">
        <f ca="1">B45/regional_com_heat_mmbtu</f>
        <v>9.9999999999999992E-2</v>
      </c>
    </row>
    <row r="54" spans="4:4" x14ac:dyDescent="0.25">
      <c r="D54" s="18"/>
    </row>
  </sheetData>
  <mergeCells count="20">
    <mergeCell ref="M43:S43"/>
    <mergeCell ref="C45:N45"/>
    <mergeCell ref="E17:N17"/>
    <mergeCell ref="E18:N18"/>
    <mergeCell ref="E19:N19"/>
    <mergeCell ref="C20:N20"/>
    <mergeCell ref="C24:N24"/>
    <mergeCell ref="C26:N26"/>
    <mergeCell ref="E12:F12"/>
    <mergeCell ref="G12:N12"/>
    <mergeCell ref="C13:N13"/>
    <mergeCell ref="E14:N14"/>
    <mergeCell ref="E15:N15"/>
    <mergeCell ref="E16:N16"/>
    <mergeCell ref="B3:L3"/>
    <mergeCell ref="M3:N3"/>
    <mergeCell ref="B4:N4"/>
    <mergeCell ref="B5:M5"/>
    <mergeCell ref="C7:N7"/>
    <mergeCell ref="C11:N11"/>
  </mergeCells>
  <dataValidations count="1">
    <dataValidation type="list" allowBlank="1" showInputMessage="1" showErrorMessage="1" sqref="M3:N3">
      <formula1>INDIRECT("town_population[Municipality]")</formula1>
    </dataValidation>
  </dataValidations>
  <hyperlinks>
    <hyperlink ref="E12" r:id="rId1" display="Census data"/>
    <hyperlink ref="E25" r:id="rId2" display="Vermont Dept of Labor website"/>
  </hyperlinks>
  <pageMargins left="0.7" right="0.7" top="0.75" bottom="0.75" header="0.3" footer="0.3"/>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autoPageBreaks="0"/>
  </sheetPr>
  <dimension ref="A1:S54"/>
  <sheetViews>
    <sheetView zoomScale="70" zoomScaleNormal="70" workbookViewId="0">
      <selection activeCell="B4" sqref="B4:N4"/>
    </sheetView>
  </sheetViews>
  <sheetFormatPr defaultRowHeight="15" x14ac:dyDescent="0.25"/>
  <cols>
    <col min="1" max="1" width="2.5703125" style="22" customWidth="1"/>
    <col min="2" max="12" width="15.140625" customWidth="1"/>
    <col min="13" max="14" width="14.5703125" customWidth="1"/>
    <col min="15" max="15" width="11.85546875" customWidth="1"/>
  </cols>
  <sheetData>
    <row r="1" spans="1:15" ht="21" x14ac:dyDescent="0.35">
      <c r="A1" s="19"/>
      <c r="B1" s="20" t="s">
        <v>53</v>
      </c>
    </row>
    <row r="2" spans="1:15" x14ac:dyDescent="0.25">
      <c r="A2" s="19"/>
      <c r="B2" s="4"/>
    </row>
    <row r="3" spans="1:15" ht="24.75" customHeight="1" x14ac:dyDescent="0.25">
      <c r="A3" s="19"/>
      <c r="B3" s="86" t="s">
        <v>382</v>
      </c>
      <c r="C3" s="87"/>
      <c r="D3" s="87"/>
      <c r="E3" s="87"/>
      <c r="F3" s="87"/>
      <c r="G3" s="87"/>
      <c r="H3" s="87"/>
      <c r="I3" s="87"/>
      <c r="J3" s="87"/>
      <c r="K3" s="87"/>
      <c r="L3" s="110"/>
      <c r="M3" s="107" t="s">
        <v>264</v>
      </c>
      <c r="N3" s="107"/>
    </row>
    <row r="4" spans="1:15" ht="24.75" customHeight="1" x14ac:dyDescent="0.25">
      <c r="A4" s="19"/>
      <c r="B4" s="88" t="s">
        <v>383</v>
      </c>
      <c r="C4" s="89"/>
      <c r="D4" s="89"/>
      <c r="E4" s="89"/>
      <c r="F4" s="89"/>
      <c r="G4" s="89"/>
      <c r="H4" s="89"/>
      <c r="I4" s="89"/>
      <c r="J4" s="89"/>
      <c r="K4" s="89"/>
      <c r="L4" s="89"/>
      <c r="M4" s="89"/>
      <c r="N4" s="90"/>
    </row>
    <row r="5" spans="1:15" ht="24.75" customHeight="1" x14ac:dyDescent="0.25">
      <c r="A5" s="19"/>
      <c r="B5" s="91" t="s">
        <v>381</v>
      </c>
      <c r="C5" s="92"/>
      <c r="D5" s="92"/>
      <c r="E5" s="92"/>
      <c r="F5" s="92"/>
      <c r="G5" s="92"/>
      <c r="H5" s="92"/>
      <c r="I5" s="92"/>
      <c r="J5" s="92"/>
      <c r="K5" s="92"/>
      <c r="L5" s="92"/>
      <c r="M5" s="111"/>
      <c r="N5" s="76" t="s">
        <v>372</v>
      </c>
    </row>
    <row r="6" spans="1:15" x14ac:dyDescent="0.25">
      <c r="A6" s="19"/>
    </row>
    <row r="7" spans="1:15" ht="42.75" customHeight="1" x14ac:dyDescent="0.25">
      <c r="A7" s="19"/>
      <c r="B7" s="21">
        <f ca="1">SUM(B20,B45)</f>
        <v>71355.296027377364</v>
      </c>
      <c r="C7" s="93" t="s">
        <v>391</v>
      </c>
      <c r="D7" s="94"/>
      <c r="E7" s="94"/>
      <c r="F7" s="94"/>
      <c r="G7" s="94"/>
      <c r="H7" s="94"/>
      <c r="I7" s="94"/>
      <c r="J7" s="94"/>
      <c r="K7" s="94"/>
      <c r="L7" s="94"/>
      <c r="M7" s="94"/>
      <c r="N7" s="94"/>
    </row>
    <row r="8" spans="1:15" x14ac:dyDescent="0.25">
      <c r="A8" s="19"/>
      <c r="B8" s="22"/>
    </row>
    <row r="9" spans="1:15" ht="18.75" x14ac:dyDescent="0.3">
      <c r="B9" s="22"/>
      <c r="C9" s="2" t="s">
        <v>20</v>
      </c>
    </row>
    <row r="10" spans="1:15" x14ac:dyDescent="0.25">
      <c r="B10" s="22"/>
      <c r="C10" s="5"/>
    </row>
    <row r="11" spans="1:15" ht="42.75" customHeight="1" x14ac:dyDescent="0.25">
      <c r="A11" s="22">
        <v>1</v>
      </c>
      <c r="B11" s="23">
        <v>646</v>
      </c>
      <c r="C11" s="95" t="s">
        <v>69</v>
      </c>
      <c r="D11" s="94"/>
      <c r="E11" s="94"/>
      <c r="F11" s="94"/>
      <c r="G11" s="94"/>
      <c r="H11" s="94"/>
      <c r="I11" s="94"/>
      <c r="J11" s="94"/>
      <c r="K11" s="94"/>
      <c r="L11" s="94"/>
      <c r="M11" s="94"/>
      <c r="N11" s="94"/>
      <c r="O11" s="28">
        <f>B11/regional_res_bldgs</f>
        <v>0.1</v>
      </c>
    </row>
    <row r="12" spans="1:15" ht="42.75" customHeight="1" x14ac:dyDescent="0.25">
      <c r="B12" s="19"/>
      <c r="C12" s="24"/>
      <c r="D12" s="59" t="s">
        <v>21</v>
      </c>
      <c r="E12" s="100" t="s">
        <v>3</v>
      </c>
      <c r="F12" s="100"/>
      <c r="G12" s="97" t="s">
        <v>22</v>
      </c>
      <c r="H12" s="97"/>
      <c r="I12" s="97"/>
      <c r="J12" s="97"/>
      <c r="K12" s="97"/>
      <c r="L12" s="97"/>
      <c r="M12" s="97"/>
      <c r="N12" s="97"/>
    </row>
    <row r="13" spans="1:15" ht="52.5" customHeight="1" x14ac:dyDescent="0.25">
      <c r="A13" s="22">
        <v>2</v>
      </c>
      <c r="B13" s="23">
        <v>110</v>
      </c>
      <c r="C13" s="101" t="s">
        <v>68</v>
      </c>
      <c r="D13" s="102"/>
      <c r="E13" s="102"/>
      <c r="F13" s="102"/>
      <c r="G13" s="102"/>
      <c r="H13" s="102"/>
      <c r="I13" s="102"/>
      <c r="J13" s="102"/>
      <c r="K13" s="102"/>
      <c r="L13" s="102"/>
      <c r="M13" s="102"/>
      <c r="N13" s="102"/>
      <c r="O13" s="62">
        <f>B13*O11</f>
        <v>11</v>
      </c>
    </row>
    <row r="14" spans="1:15" ht="42.75" customHeight="1" x14ac:dyDescent="0.25">
      <c r="B14" s="22"/>
      <c r="C14" s="25"/>
      <c r="D14" s="26" t="s">
        <v>23</v>
      </c>
      <c r="E14" s="102" t="s">
        <v>24</v>
      </c>
      <c r="F14" s="102"/>
      <c r="G14" s="102"/>
      <c r="H14" s="102"/>
      <c r="I14" s="102"/>
      <c r="J14" s="102"/>
      <c r="K14" s="102"/>
      <c r="L14" s="102"/>
      <c r="M14" s="102"/>
      <c r="N14" s="102"/>
    </row>
    <row r="15" spans="1:15" ht="42.75" customHeight="1" x14ac:dyDescent="0.25">
      <c r="B15" s="19"/>
      <c r="C15" s="27"/>
      <c r="D15" s="28">
        <v>0.26</v>
      </c>
      <c r="E15" s="102" t="s">
        <v>25</v>
      </c>
      <c r="F15" s="102"/>
      <c r="G15" s="102"/>
      <c r="H15" s="102"/>
      <c r="I15" s="102"/>
      <c r="J15" s="102"/>
      <c r="K15" s="102"/>
      <c r="L15" s="102"/>
      <c r="M15" s="102"/>
      <c r="N15" s="102"/>
    </row>
    <row r="16" spans="1:15" ht="42.75" customHeight="1" x14ac:dyDescent="0.25">
      <c r="B16" s="19"/>
      <c r="C16" s="27"/>
      <c r="D16" s="28">
        <v>0.5</v>
      </c>
      <c r="E16" s="102" t="s">
        <v>26</v>
      </c>
      <c r="F16" s="102"/>
      <c r="G16" s="102"/>
      <c r="H16" s="102"/>
      <c r="I16" s="102"/>
      <c r="J16" s="102"/>
      <c r="K16" s="102"/>
      <c r="L16" s="102"/>
      <c r="M16" s="102"/>
      <c r="N16" s="102"/>
    </row>
    <row r="17" spans="1:17" ht="42.75" customHeight="1" x14ac:dyDescent="0.25">
      <c r="B17" s="19"/>
      <c r="C17" s="27"/>
      <c r="D17" s="28">
        <v>0.2</v>
      </c>
      <c r="E17" s="102" t="s">
        <v>27</v>
      </c>
      <c r="F17" s="102"/>
      <c r="G17" s="102"/>
      <c r="H17" s="102"/>
      <c r="I17" s="102"/>
      <c r="J17" s="102"/>
      <c r="K17" s="102"/>
      <c r="L17" s="102"/>
      <c r="M17" s="102"/>
      <c r="N17" s="102"/>
    </row>
    <row r="18" spans="1:17" ht="42.75" customHeight="1" x14ac:dyDescent="0.25">
      <c r="B18" s="19"/>
      <c r="C18" s="27"/>
      <c r="D18" s="29">
        <v>2.2999999999999998</v>
      </c>
      <c r="E18" s="102" t="s">
        <v>28</v>
      </c>
      <c r="F18" s="102"/>
      <c r="G18" s="102"/>
      <c r="H18" s="102"/>
      <c r="I18" s="102"/>
      <c r="J18" s="102"/>
      <c r="K18" s="102"/>
      <c r="L18" s="102"/>
      <c r="M18" s="102"/>
      <c r="N18" s="102"/>
    </row>
    <row r="19" spans="1:17" ht="42.75" customHeight="1" x14ac:dyDescent="0.25">
      <c r="B19" s="19"/>
      <c r="C19" s="27"/>
      <c r="D19" s="28">
        <f>(20000*1.25)/257000</f>
        <v>9.727626459143969E-2</v>
      </c>
      <c r="E19" s="102" t="s">
        <v>29</v>
      </c>
      <c r="F19" s="102"/>
      <c r="G19" s="102"/>
      <c r="H19" s="102"/>
      <c r="I19" s="102"/>
      <c r="J19" s="102"/>
      <c r="K19" s="102"/>
      <c r="L19" s="102"/>
      <c r="M19" s="102"/>
      <c r="N19" s="102"/>
    </row>
    <row r="20" spans="1:17" ht="42.75" customHeight="1" x14ac:dyDescent="0.25">
      <c r="B20" s="21">
        <f>B11*B13</f>
        <v>71060</v>
      </c>
      <c r="C20" s="93" t="s">
        <v>61</v>
      </c>
      <c r="D20" s="94"/>
      <c r="E20" s="94"/>
      <c r="F20" s="94"/>
      <c r="G20" s="94"/>
      <c r="H20" s="94"/>
      <c r="I20" s="94"/>
      <c r="J20" s="94"/>
      <c r="K20" s="94"/>
      <c r="L20" s="94"/>
      <c r="M20" s="94"/>
      <c r="N20" s="94"/>
      <c r="O20" s="127">
        <f>B20/regional_res_heat_mmbtu</f>
        <v>0.1</v>
      </c>
    </row>
    <row r="21" spans="1:17" x14ac:dyDescent="0.25">
      <c r="B21" s="19"/>
      <c r="C21" s="24"/>
      <c r="D21" s="24"/>
      <c r="E21" s="24"/>
      <c r="F21" s="24"/>
      <c r="G21" s="24"/>
      <c r="H21" s="24"/>
    </row>
    <row r="22" spans="1:17" ht="18.75" x14ac:dyDescent="0.3">
      <c r="B22" s="22"/>
      <c r="C22" s="2" t="s">
        <v>30</v>
      </c>
    </row>
    <row r="23" spans="1:17" ht="15.75" x14ac:dyDescent="0.25">
      <c r="B23" s="22"/>
      <c r="C23" s="30"/>
    </row>
    <row r="24" spans="1:17" ht="44.25" customHeight="1" x14ac:dyDescent="0.25">
      <c r="A24" s="22">
        <v>1</v>
      </c>
      <c r="B24" s="23">
        <f ca="1">K43</f>
        <v>1</v>
      </c>
      <c r="C24" s="95" t="s">
        <v>373</v>
      </c>
      <c r="D24" s="94"/>
      <c r="E24" s="94"/>
      <c r="F24" s="94"/>
      <c r="G24" s="94"/>
      <c r="H24" s="94"/>
      <c r="I24" s="94"/>
      <c r="J24" s="94"/>
      <c r="K24" s="94"/>
      <c r="L24" s="94"/>
      <c r="M24" s="94"/>
      <c r="N24" s="94"/>
      <c r="O24" s="109">
        <f ca="1">B24/regional_com_bldgs</f>
        <v>0.1</v>
      </c>
    </row>
    <row r="25" spans="1:17" s="16" customFormat="1" ht="32.25" customHeight="1" x14ac:dyDescent="0.25">
      <c r="A25" s="22"/>
      <c r="B25" s="22"/>
      <c r="D25" s="16" t="s">
        <v>2</v>
      </c>
      <c r="E25" s="31" t="s">
        <v>31</v>
      </c>
      <c r="G25" s="16" t="s">
        <v>32</v>
      </c>
    </row>
    <row r="26" spans="1:17" ht="99.75" customHeight="1" x14ac:dyDescent="0.25">
      <c r="A26" s="22">
        <v>2</v>
      </c>
      <c r="B26" s="23">
        <f ca="1">L43</f>
        <v>295.29602737736008</v>
      </c>
      <c r="C26" s="105" t="s">
        <v>392</v>
      </c>
      <c r="D26" s="106"/>
      <c r="E26" s="106"/>
      <c r="F26" s="106"/>
      <c r="G26" s="106"/>
      <c r="H26" s="106"/>
      <c r="I26" s="106"/>
      <c r="J26" s="106"/>
      <c r="K26" s="106"/>
      <c r="L26" s="106"/>
      <c r="M26" s="106"/>
      <c r="N26" s="106"/>
      <c r="O26" s="108">
        <f ca="1">B26*O24</f>
        <v>29.52960273773601</v>
      </c>
    </row>
    <row r="27" spans="1:17" x14ac:dyDescent="0.25">
      <c r="B27" s="22"/>
    </row>
    <row r="28" spans="1:17" ht="54" customHeight="1" x14ac:dyDescent="0.25">
      <c r="B28" s="22"/>
      <c r="D28" s="32" t="s">
        <v>33</v>
      </c>
      <c r="E28" s="33" t="s">
        <v>34</v>
      </c>
      <c r="F28" s="33" t="s">
        <v>350</v>
      </c>
      <c r="G28" s="33" t="s">
        <v>35</v>
      </c>
      <c r="H28" s="33" t="s">
        <v>351</v>
      </c>
      <c r="I28" s="33" t="s">
        <v>352</v>
      </c>
      <c r="J28" s="33" t="s">
        <v>353</v>
      </c>
      <c r="K28" s="33" t="s">
        <v>354</v>
      </c>
      <c r="L28" s="34" t="s">
        <v>355</v>
      </c>
      <c r="N28" s="68"/>
    </row>
    <row r="29" spans="1:17" ht="47.25" customHeight="1" x14ac:dyDescent="0.25">
      <c r="B29" s="22"/>
      <c r="C29">
        <v>1</v>
      </c>
      <c r="D29" s="35" t="s">
        <v>36</v>
      </c>
      <c r="E29" s="36">
        <v>1418</v>
      </c>
      <c r="F29" s="69">
        <f>E29/$E$43</f>
        <v>7.6166944190793368E-2</v>
      </c>
      <c r="G29" s="36">
        <v>9210</v>
      </c>
      <c r="H29" s="36">
        <f t="shared" ref="H29:H42" si="0">G29/E29</f>
        <v>6.4950634696755998</v>
      </c>
      <c r="I29" s="36">
        <f>H29/SUM($H$29:$H$42)*$I$43</f>
        <v>506702.40423687408</v>
      </c>
      <c r="J29" s="36">
        <f>I29/E29</f>
        <v>357.33596913742883</v>
      </c>
      <c r="K29" s="36">
        <f ca="1">INDEX(OFFSET(town_establishments[42. Wholesale trade],,C29-$C$29),MATCH($M$3,town_establishments[Municipality],0),)</f>
        <v>0</v>
      </c>
      <c r="L29" s="37">
        <f ca="1">IF(K29="","",K29/$K$43)</f>
        <v>0</v>
      </c>
      <c r="Q29" s="18"/>
    </row>
    <row r="30" spans="1:17" ht="47.25" customHeight="1" x14ac:dyDescent="0.25">
      <c r="B30" s="22"/>
      <c r="C30">
        <v>2</v>
      </c>
      <c r="D30" s="38" t="s">
        <v>37</v>
      </c>
      <c r="E30" s="39">
        <v>3134</v>
      </c>
      <c r="F30" s="70">
        <f t="shared" ref="F30:F42" si="1">E30/$E$43</f>
        <v>0.1683407638180158</v>
      </c>
      <c r="G30" s="39">
        <v>37178</v>
      </c>
      <c r="H30" s="39">
        <f t="shared" si="0"/>
        <v>11.862795149968091</v>
      </c>
      <c r="I30" s="39">
        <f t="shared" ref="I30:I42" si="2">H30/SUM($H$29:$H$42)*$I$43</f>
        <v>925457.74980064656</v>
      </c>
      <c r="J30" s="39">
        <f t="shared" ref="J30:J42" si="3">I30/E30</f>
        <v>295.29602737736008</v>
      </c>
      <c r="K30" s="39">
        <f ca="1">INDEX(OFFSET(town_establishments[42. Wholesale trade],,C30-$C$29),MATCH($M$3,town_establishments[Municipality],0),)</f>
        <v>1</v>
      </c>
      <c r="L30" s="40">
        <f t="shared" ref="L30:L42" ca="1" si="4">IF(K30="","",K30/$K$43)</f>
        <v>1</v>
      </c>
      <c r="Q30" s="18"/>
    </row>
    <row r="31" spans="1:17" ht="47.25" customHeight="1" x14ac:dyDescent="0.25">
      <c r="B31" s="22"/>
      <c r="C31">
        <v>3</v>
      </c>
      <c r="D31" s="38" t="s">
        <v>38</v>
      </c>
      <c r="E31" s="39">
        <v>549</v>
      </c>
      <c r="F31" s="70">
        <f t="shared" si="1"/>
        <v>2.9489176559058923E-2</v>
      </c>
      <c r="G31" s="39">
        <v>6436</v>
      </c>
      <c r="H31" s="39">
        <f t="shared" si="0"/>
        <v>11.723132969034609</v>
      </c>
      <c r="I31" s="39">
        <f t="shared" si="2"/>
        <v>914562.21918876551</v>
      </c>
      <c r="J31" s="39">
        <f t="shared" si="3"/>
        <v>1665.8692517099553</v>
      </c>
      <c r="K31" s="39">
        <f ca="1">INDEX(OFFSET(town_establishments[42. Wholesale trade],,C31-$C$29),MATCH($M$3,town_establishments[Municipality],0),)</f>
        <v>0</v>
      </c>
      <c r="L31" s="40">
        <f t="shared" ca="1" si="4"/>
        <v>0</v>
      </c>
      <c r="Q31" s="18"/>
    </row>
    <row r="32" spans="1:17" ht="47.25" customHeight="1" x14ac:dyDescent="0.25">
      <c r="B32" s="22"/>
      <c r="C32">
        <v>4</v>
      </c>
      <c r="D32" s="38" t="s">
        <v>39</v>
      </c>
      <c r="E32" s="39">
        <v>483</v>
      </c>
      <c r="F32" s="70">
        <f t="shared" si="1"/>
        <v>2.5944029650319601E-2</v>
      </c>
      <c r="G32" s="39">
        <v>4689</v>
      </c>
      <c r="H32" s="39">
        <f t="shared" si="0"/>
        <v>9.70807453416149</v>
      </c>
      <c r="I32" s="39">
        <f t="shared" si="2"/>
        <v>757360.52925993747</v>
      </c>
      <c r="J32" s="39">
        <f t="shared" si="3"/>
        <v>1568.0342220702639</v>
      </c>
      <c r="K32" s="39">
        <f ca="1">INDEX(OFFSET(town_establishments[42. Wholesale trade],,C32-$C$29),MATCH($M$3,town_establishments[Municipality],0),)</f>
        <v>0</v>
      </c>
      <c r="L32" s="40">
        <f t="shared" ca="1" si="4"/>
        <v>0</v>
      </c>
      <c r="Q32" s="18"/>
    </row>
    <row r="33" spans="2:19" ht="47.25" customHeight="1" x14ac:dyDescent="0.25">
      <c r="B33" s="22"/>
      <c r="C33">
        <v>5</v>
      </c>
      <c r="D33" s="41" t="s">
        <v>40</v>
      </c>
      <c r="E33" s="39">
        <v>944</v>
      </c>
      <c r="F33" s="70">
        <f t="shared" si="1"/>
        <v>5.0706343664392757E-2</v>
      </c>
      <c r="G33" s="39">
        <v>8692</v>
      </c>
      <c r="H33" s="39">
        <f t="shared" si="0"/>
        <v>9.2076271186440675</v>
      </c>
      <c r="I33" s="39">
        <f t="shared" si="2"/>
        <v>718318.89251216396</v>
      </c>
      <c r="J33" s="39">
        <f t="shared" si="3"/>
        <v>760.93103020356352</v>
      </c>
      <c r="K33" s="39">
        <f ca="1">INDEX(OFFSET(town_establishments[42. Wholesale trade],,C33-$C$29),MATCH($M$3,town_establishments[Municipality],0),)</f>
        <v>0</v>
      </c>
      <c r="L33" s="40">
        <f t="shared" ca="1" si="4"/>
        <v>0</v>
      </c>
      <c r="Q33" s="18"/>
    </row>
    <row r="34" spans="2:19" ht="47.25" customHeight="1" x14ac:dyDescent="0.25">
      <c r="B34" s="22"/>
      <c r="C34">
        <v>6</v>
      </c>
      <c r="D34" s="38" t="s">
        <v>41</v>
      </c>
      <c r="E34" s="39">
        <v>716</v>
      </c>
      <c r="F34" s="70">
        <f t="shared" si="1"/>
        <v>3.8459472525111456E-2</v>
      </c>
      <c r="G34" s="39">
        <v>2837</v>
      </c>
      <c r="H34" s="39">
        <f t="shared" si="0"/>
        <v>3.9622905027932962</v>
      </c>
      <c r="I34" s="39">
        <f t="shared" si="2"/>
        <v>309112.00997864484</v>
      </c>
      <c r="J34" s="39">
        <f t="shared" si="3"/>
        <v>431.72068432771624</v>
      </c>
      <c r="K34" s="39">
        <f ca="1">INDEX(OFFSET(town_establishments[42. Wholesale trade],,C34-$C$29),MATCH($M$3,town_establishments[Municipality],0),)</f>
        <v>0</v>
      </c>
      <c r="L34" s="40">
        <f t="shared" ca="1" si="4"/>
        <v>0</v>
      </c>
      <c r="Q34" s="18"/>
    </row>
    <row r="35" spans="2:19" ht="47.25" customHeight="1" x14ac:dyDescent="0.25">
      <c r="B35" s="22"/>
      <c r="C35">
        <v>7</v>
      </c>
      <c r="D35" s="41" t="s">
        <v>42</v>
      </c>
      <c r="E35" s="39">
        <v>3170</v>
      </c>
      <c r="F35" s="70">
        <f t="shared" si="1"/>
        <v>0.1702744803136918</v>
      </c>
      <c r="G35" s="39">
        <v>14050</v>
      </c>
      <c r="H35" s="39">
        <f t="shared" si="0"/>
        <v>4.4321766561514195</v>
      </c>
      <c r="I35" s="39">
        <f t="shared" si="2"/>
        <v>345769.45678201987</v>
      </c>
      <c r="J35" s="39">
        <f t="shared" si="3"/>
        <v>109.07553841704097</v>
      </c>
      <c r="K35" s="39">
        <f ca="1">INDEX(OFFSET(town_establishments[42. Wholesale trade],,C35-$C$29),MATCH($M$3,town_establishments[Municipality],0),)</f>
        <v>0</v>
      </c>
      <c r="L35" s="40">
        <f t="shared" ca="1" si="4"/>
        <v>0</v>
      </c>
      <c r="Q35" s="18"/>
    </row>
    <row r="36" spans="2:19" ht="47.25" customHeight="1" x14ac:dyDescent="0.25">
      <c r="B36" s="22"/>
      <c r="C36">
        <v>8</v>
      </c>
      <c r="D36" s="41" t="s">
        <v>43</v>
      </c>
      <c r="E36" s="39">
        <v>112</v>
      </c>
      <c r="F36" s="70">
        <f t="shared" si="1"/>
        <v>6.016006875436429E-3</v>
      </c>
      <c r="G36" s="39">
        <v>2213</v>
      </c>
      <c r="H36" s="39">
        <f t="shared" si="0"/>
        <v>19.758928571428573</v>
      </c>
      <c r="I36" s="39">
        <f t="shared" si="2"/>
        <v>1541462.4751600111</v>
      </c>
      <c r="J36" s="39">
        <f t="shared" si="3"/>
        <v>13763.05781392867</v>
      </c>
      <c r="K36" s="39">
        <f ca="1">INDEX(OFFSET(town_establishments[42. Wholesale trade],,C36-$C$29),MATCH($M$3,town_establishments[Municipality],0),)</f>
        <v>0</v>
      </c>
      <c r="L36" s="40">
        <f t="shared" ca="1" si="4"/>
        <v>0</v>
      </c>
      <c r="Q36" s="18"/>
    </row>
    <row r="37" spans="2:19" ht="47.25" customHeight="1" x14ac:dyDescent="0.25">
      <c r="B37" s="22"/>
      <c r="C37">
        <v>9</v>
      </c>
      <c r="D37" s="41" t="s">
        <v>44</v>
      </c>
      <c r="E37" s="39">
        <v>1580</v>
      </c>
      <c r="F37" s="70">
        <f t="shared" si="1"/>
        <v>8.4868668421335336E-2</v>
      </c>
      <c r="G37" s="39">
        <v>9665</v>
      </c>
      <c r="H37" s="39">
        <f t="shared" si="0"/>
        <v>6.1170886075949369</v>
      </c>
      <c r="I37" s="39">
        <f t="shared" si="2"/>
        <v>477215.27570432739</v>
      </c>
      <c r="J37" s="39">
        <f t="shared" si="3"/>
        <v>302.034984622992</v>
      </c>
      <c r="K37" s="39">
        <f ca="1">INDEX(OFFSET(town_establishments[42. Wholesale trade],,C37-$C$29),MATCH($M$3,town_establishments[Municipality],0),)</f>
        <v>0</v>
      </c>
      <c r="L37" s="40">
        <f t="shared" ca="1" si="4"/>
        <v>0</v>
      </c>
      <c r="Q37" s="18"/>
    </row>
    <row r="38" spans="2:19" ht="47.25" customHeight="1" x14ac:dyDescent="0.25">
      <c r="B38" s="22"/>
      <c r="C38">
        <v>10</v>
      </c>
      <c r="D38" s="38" t="s">
        <v>45</v>
      </c>
      <c r="E38" s="39">
        <v>422</v>
      </c>
      <c r="F38" s="70">
        <f t="shared" si="1"/>
        <v>2.2667454477090832E-2</v>
      </c>
      <c r="G38" s="39">
        <v>10349</v>
      </c>
      <c r="H38" s="39">
        <f t="shared" si="0"/>
        <v>24.523696682464454</v>
      </c>
      <c r="I38" s="39">
        <f t="shared" si="2"/>
        <v>1913178.5436426576</v>
      </c>
      <c r="J38" s="39">
        <f t="shared" si="3"/>
        <v>4533.5984446508473</v>
      </c>
      <c r="K38" s="39">
        <f ca="1">INDEX(OFFSET(town_establishments[42. Wholesale trade],,C38-$C$29),MATCH($M$3,town_establishments[Municipality],0),)</f>
        <v>0</v>
      </c>
      <c r="L38" s="40">
        <f t="shared" ca="1" si="4"/>
        <v>0</v>
      </c>
      <c r="Q38" s="18"/>
    </row>
    <row r="39" spans="2:19" ht="47.25" customHeight="1" x14ac:dyDescent="0.25">
      <c r="B39" s="22"/>
      <c r="C39">
        <v>11</v>
      </c>
      <c r="D39" s="41" t="s">
        <v>46</v>
      </c>
      <c r="E39" s="39">
        <v>1888</v>
      </c>
      <c r="F39" s="70">
        <f t="shared" si="1"/>
        <v>0.10141268732878551</v>
      </c>
      <c r="G39" s="39">
        <v>49518</v>
      </c>
      <c r="H39" s="39">
        <f t="shared" si="0"/>
        <v>26.227754237288135</v>
      </c>
      <c r="I39" s="39">
        <f t="shared" si="2"/>
        <v>2046117.9774170117</v>
      </c>
      <c r="J39" s="39">
        <f t="shared" si="3"/>
        <v>1083.7489287166375</v>
      </c>
      <c r="K39" s="39">
        <f ca="1">INDEX(OFFSET(town_establishments[42. Wholesale trade],,C39-$C$29),MATCH($M$3,town_establishments[Municipality],0),)</f>
        <v>0</v>
      </c>
      <c r="L39" s="40">
        <f t="shared" ca="1" si="4"/>
        <v>0</v>
      </c>
      <c r="Q39" s="18"/>
    </row>
    <row r="40" spans="2:19" ht="47.25" customHeight="1" x14ac:dyDescent="0.25">
      <c r="B40" s="22"/>
      <c r="C40">
        <v>12</v>
      </c>
      <c r="D40" s="41" t="s">
        <v>47</v>
      </c>
      <c r="E40" s="39">
        <v>412</v>
      </c>
      <c r="F40" s="70">
        <f t="shared" si="1"/>
        <v>2.2130311006069721E-2</v>
      </c>
      <c r="G40" s="39">
        <v>3869</v>
      </c>
      <c r="H40" s="39">
        <f t="shared" si="0"/>
        <v>9.3907766990291268</v>
      </c>
      <c r="I40" s="39">
        <f t="shared" si="2"/>
        <v>732607.02582284878</v>
      </c>
      <c r="J40" s="39">
        <f t="shared" si="3"/>
        <v>1778.1723927739049</v>
      </c>
      <c r="K40" s="39">
        <f ca="1">INDEX(OFFSET(town_establishments[42. Wholesale trade],,C40-$C$29),MATCH($M$3,town_establishments[Municipality],0),)</f>
        <v>0</v>
      </c>
      <c r="L40" s="40">
        <f t="shared" ca="1" si="4"/>
        <v>0</v>
      </c>
      <c r="Q40" s="18"/>
    </row>
    <row r="41" spans="2:19" ht="47.25" customHeight="1" x14ac:dyDescent="0.25">
      <c r="B41" s="22"/>
      <c r="C41">
        <v>13</v>
      </c>
      <c r="D41" s="38" t="s">
        <v>48</v>
      </c>
      <c r="E41" s="39">
        <v>1807</v>
      </c>
      <c r="F41" s="70">
        <f t="shared" si="1"/>
        <v>9.706182521351453E-2</v>
      </c>
      <c r="G41" s="39">
        <v>33991</v>
      </c>
      <c r="H41" s="39">
        <f t="shared" si="0"/>
        <v>18.810736026563365</v>
      </c>
      <c r="I41" s="39">
        <f t="shared" si="2"/>
        <v>1467490.6896022826</v>
      </c>
      <c r="J41" s="39">
        <f t="shared" si="3"/>
        <v>812.11438273507611</v>
      </c>
      <c r="K41" s="39">
        <f ca="1">INDEX(OFFSET(town_establishments[42. Wholesale trade],,C41-$C$29),MATCH($M$3,town_establishments[Municipality],0),)</f>
        <v>0</v>
      </c>
      <c r="L41" s="40">
        <f t="shared" ca="1" si="4"/>
        <v>0</v>
      </c>
      <c r="Q41" s="18"/>
    </row>
    <row r="42" spans="2:19" ht="47.25" customHeight="1" x14ac:dyDescent="0.25">
      <c r="B42" s="22"/>
      <c r="C42">
        <v>14</v>
      </c>
      <c r="D42" s="41" t="s">
        <v>49</v>
      </c>
      <c r="E42" s="39">
        <v>1982</v>
      </c>
      <c r="F42" s="70">
        <f t="shared" si="1"/>
        <v>0.10646183595638395</v>
      </c>
      <c r="G42" s="39">
        <v>8756</v>
      </c>
      <c r="H42" s="39">
        <f t="shared" si="0"/>
        <v>4.4177598385469219</v>
      </c>
      <c r="I42" s="39">
        <f t="shared" si="2"/>
        <v>344644.75089180813</v>
      </c>
      <c r="J42" s="39">
        <f t="shared" si="3"/>
        <v>173.88736170121501</v>
      </c>
      <c r="K42" s="39">
        <f ca="1">INDEX(OFFSET(town_establishments[42. Wholesale trade],,C42-$C$29),MATCH($M$3,town_establishments[Municipality],0),)</f>
        <v>0</v>
      </c>
      <c r="L42" s="40">
        <f t="shared" ca="1" si="4"/>
        <v>0</v>
      </c>
      <c r="Q42" s="18"/>
    </row>
    <row r="43" spans="2:19" ht="33" customHeight="1" x14ac:dyDescent="0.25">
      <c r="B43" s="22"/>
      <c r="D43" s="42"/>
      <c r="E43" s="45">
        <f>SUM(E29:E42)</f>
        <v>18617</v>
      </c>
      <c r="F43" s="45"/>
      <c r="G43" s="45">
        <f>SUM(G29:G42)</f>
        <v>201453</v>
      </c>
      <c r="H43" s="43"/>
      <c r="I43" s="44">
        <v>13000000</v>
      </c>
      <c r="J43" s="43"/>
      <c r="K43" s="45">
        <f ca="1">SUM(K29:K42)</f>
        <v>1</v>
      </c>
      <c r="L43" s="46">
        <f ca="1">SUMPRODUCT(J29:J42,L29:L42)</f>
        <v>295.29602737736008</v>
      </c>
      <c r="M43" s="103" t="s">
        <v>356</v>
      </c>
      <c r="N43" s="104"/>
      <c r="O43" s="104"/>
      <c r="P43" s="104"/>
      <c r="Q43" s="104"/>
      <c r="R43" s="104"/>
      <c r="S43" s="104"/>
    </row>
    <row r="44" spans="2:19" ht="22.5" customHeight="1" x14ac:dyDescent="0.25">
      <c r="B44" s="22"/>
    </row>
    <row r="45" spans="2:19" ht="37.5" customHeight="1" x14ac:dyDescent="0.25">
      <c r="B45" s="21">
        <f ca="1">B24*B26</f>
        <v>295.29602737736008</v>
      </c>
      <c r="C45" s="93" t="s">
        <v>62</v>
      </c>
      <c r="D45" s="94"/>
      <c r="E45" s="94"/>
      <c r="F45" s="94"/>
      <c r="G45" s="94"/>
      <c r="H45" s="94"/>
      <c r="I45" s="94"/>
      <c r="J45" s="94"/>
      <c r="K45" s="94"/>
      <c r="L45" s="94"/>
      <c r="M45" s="94"/>
      <c r="N45" s="94"/>
      <c r="O45" s="127">
        <f ca="1">B45/regional_com_heat_mmbtu</f>
        <v>9.9999999999999992E-2</v>
      </c>
    </row>
    <row r="54" spans="4:4" x14ac:dyDescent="0.25">
      <c r="D54" s="18"/>
    </row>
  </sheetData>
  <mergeCells count="20">
    <mergeCell ref="M43:S43"/>
    <mergeCell ref="C45:N45"/>
    <mergeCell ref="E17:N17"/>
    <mergeCell ref="E18:N18"/>
    <mergeCell ref="E19:N19"/>
    <mergeCell ref="C20:N20"/>
    <mergeCell ref="C24:N24"/>
    <mergeCell ref="C26:N26"/>
    <mergeCell ref="E12:F12"/>
    <mergeCell ref="G12:N12"/>
    <mergeCell ref="C13:N13"/>
    <mergeCell ref="E14:N14"/>
    <mergeCell ref="E15:N15"/>
    <mergeCell ref="E16:N16"/>
    <mergeCell ref="B3:L3"/>
    <mergeCell ref="M3:N3"/>
    <mergeCell ref="B4:N4"/>
    <mergeCell ref="B5:M5"/>
    <mergeCell ref="C7:N7"/>
    <mergeCell ref="C11:N11"/>
  </mergeCells>
  <dataValidations count="1">
    <dataValidation type="list" allowBlank="1" showInputMessage="1" showErrorMessage="1" sqref="M3:N3">
      <formula1>INDIRECT("town_population[Municipality]")</formula1>
    </dataValidation>
  </dataValidations>
  <hyperlinks>
    <hyperlink ref="E12" r:id="rId1" display="Census data"/>
    <hyperlink ref="E25" r:id="rId2" display="Vermont Dept of Labor website"/>
  </hyperlinks>
  <pageMargins left="0.7" right="0.7" top="0.75" bottom="0.75" header="0.3" footer="0.3"/>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K250"/>
  <sheetViews>
    <sheetView zoomScale="70" zoomScaleNormal="70" workbookViewId="0">
      <selection activeCell="C11" sqref="C11:N11"/>
    </sheetView>
  </sheetViews>
  <sheetFormatPr defaultRowHeight="15" x14ac:dyDescent="0.25"/>
  <cols>
    <col min="1" max="1" width="19.140625" customWidth="1"/>
    <col min="2" max="2" width="52.7109375" bestFit="1" customWidth="1"/>
    <col min="3" max="34" width="19.140625" customWidth="1"/>
    <col min="36" max="36" width="56" bestFit="1" customWidth="1"/>
    <col min="37" max="37" width="36.5703125" customWidth="1"/>
  </cols>
  <sheetData>
    <row r="1" spans="1:37" x14ac:dyDescent="0.25">
      <c r="C1" t="s">
        <v>70</v>
      </c>
      <c r="R1" t="s">
        <v>71</v>
      </c>
    </row>
    <row r="2" spans="1:37" ht="39" customHeight="1" x14ac:dyDescent="0.25">
      <c r="A2" s="66" t="s">
        <v>72</v>
      </c>
      <c r="B2" s="66" t="s">
        <v>73</v>
      </c>
      <c r="C2" s="66" t="s">
        <v>36</v>
      </c>
      <c r="D2" s="66" t="s">
        <v>37</v>
      </c>
      <c r="E2" s="66" t="s">
        <v>38</v>
      </c>
      <c r="F2" s="66" t="s">
        <v>39</v>
      </c>
      <c r="G2" s="66" t="s">
        <v>40</v>
      </c>
      <c r="H2" s="66" t="s">
        <v>41</v>
      </c>
      <c r="I2" s="66" t="s">
        <v>42</v>
      </c>
      <c r="J2" s="66" t="s">
        <v>43</v>
      </c>
      <c r="K2" s="66" t="s">
        <v>44</v>
      </c>
      <c r="L2" s="66" t="s">
        <v>45</v>
      </c>
      <c r="M2" s="66" t="s">
        <v>46</v>
      </c>
      <c r="N2" s="66" t="s">
        <v>47</v>
      </c>
      <c r="O2" s="66" t="s">
        <v>48</v>
      </c>
      <c r="P2" s="66" t="s">
        <v>49</v>
      </c>
      <c r="Q2" s="66" t="s">
        <v>74</v>
      </c>
      <c r="R2" s="66" t="s">
        <v>75</v>
      </c>
      <c r="S2" s="66" t="s">
        <v>76</v>
      </c>
      <c r="T2" s="66" t="s">
        <v>77</v>
      </c>
      <c r="U2" s="66" t="s">
        <v>78</v>
      </c>
      <c r="V2" s="66" t="s">
        <v>79</v>
      </c>
      <c r="W2" s="66" t="s">
        <v>80</v>
      </c>
      <c r="X2" s="66" t="s">
        <v>81</v>
      </c>
      <c r="Y2" s="66" t="s">
        <v>82</v>
      </c>
      <c r="Z2" s="66" t="s">
        <v>83</v>
      </c>
      <c r="AA2" s="66" t="s">
        <v>84</v>
      </c>
      <c r="AB2" s="66" t="s">
        <v>85</v>
      </c>
      <c r="AC2" s="66" t="s">
        <v>86</v>
      </c>
      <c r="AD2" s="66" t="s">
        <v>87</v>
      </c>
      <c r="AE2" s="66" t="s">
        <v>88</v>
      </c>
      <c r="AF2" s="66" t="s">
        <v>89</v>
      </c>
      <c r="AG2" s="66" t="s">
        <v>90</v>
      </c>
      <c r="AH2" s="66" t="s">
        <v>91</v>
      </c>
      <c r="AJ2" t="s">
        <v>73</v>
      </c>
      <c r="AK2" t="s">
        <v>89</v>
      </c>
    </row>
    <row r="3" spans="1:37" x14ac:dyDescent="0.25">
      <c r="A3" t="s">
        <v>92</v>
      </c>
      <c r="B3" t="str">
        <f>INDEX([1]!town_population[Regional Planning Commission],MATCH(town_establishments[[#This Row],[Municipality]],[1]!town_population[Municipality],0))</f>
        <v>Addison County Regional Planning Commission</v>
      </c>
      <c r="C3">
        <v>4</v>
      </c>
      <c r="D3">
        <v>5</v>
      </c>
      <c r="F3">
        <v>1</v>
      </c>
      <c r="I3">
        <v>4</v>
      </c>
      <c r="K3">
        <v>2</v>
      </c>
      <c r="L3">
        <v>1</v>
      </c>
      <c r="M3">
        <v>1</v>
      </c>
      <c r="N3">
        <v>1</v>
      </c>
      <c r="O3">
        <v>3</v>
      </c>
      <c r="P3">
        <v>5</v>
      </c>
      <c r="Q3">
        <f t="shared" ref="Q3:Q66" si="0">SUM(C3:P3)</f>
        <v>27</v>
      </c>
      <c r="R3" s="67">
        <f t="shared" ref="R3:R66" si="1">IF($Q3&lt;&gt;0,C3/$Q3,0)</f>
        <v>0.14814814814814814</v>
      </c>
      <c r="S3" s="67">
        <f t="shared" ref="S3:S66" si="2">IF($Q3&lt;&gt;0,D3/$Q3,0)</f>
        <v>0.18518518518518517</v>
      </c>
      <c r="T3" s="67">
        <f t="shared" ref="T3:T66" si="3">IF($Q3&lt;&gt;0,E3/$Q3,0)</f>
        <v>0</v>
      </c>
      <c r="U3" s="67">
        <f t="shared" ref="U3:U66" si="4">IF($Q3&lt;&gt;0,F3/$Q3,0)</f>
        <v>3.7037037037037035E-2</v>
      </c>
      <c r="V3" s="67">
        <f t="shared" ref="V3:V66" si="5">IF($Q3&lt;&gt;0,G3/$Q3,0)</f>
        <v>0</v>
      </c>
      <c r="W3" s="67">
        <f t="shared" ref="W3:W66" si="6">IF($Q3&lt;&gt;0,H3/$Q3,0)</f>
        <v>0</v>
      </c>
      <c r="X3" s="67">
        <f t="shared" ref="X3:X66" si="7">IF($Q3&lt;&gt;0,I3/$Q3,0)</f>
        <v>0.14814814814814814</v>
      </c>
      <c r="Y3" s="67">
        <f t="shared" ref="Y3:Y66" si="8">IF($Q3&lt;&gt;0,J3/$Q3,0)</f>
        <v>0</v>
      </c>
      <c r="Z3" s="67">
        <f t="shared" ref="Z3:Z66" si="9">IF($Q3&lt;&gt;0,K3/$Q3,0)</f>
        <v>7.407407407407407E-2</v>
      </c>
      <c r="AA3" s="67">
        <f t="shared" ref="AA3:AA66" si="10">IF($Q3&lt;&gt;0,L3/$Q3,0)</f>
        <v>3.7037037037037035E-2</v>
      </c>
      <c r="AB3" s="67">
        <f t="shared" ref="AB3:AB66" si="11">IF($Q3&lt;&gt;0,M3/$Q3,0)</f>
        <v>3.7037037037037035E-2</v>
      </c>
      <c r="AC3" s="67">
        <f t="shared" ref="AC3:AC66" si="12">IF($Q3&lt;&gt;0,N3/$Q3,0)</f>
        <v>3.7037037037037035E-2</v>
      </c>
      <c r="AD3" s="67">
        <f t="shared" ref="AD3:AD66" si="13">IF($Q3&lt;&gt;0,O3/$Q3,0)</f>
        <v>0.1111111111111111</v>
      </c>
      <c r="AE3" s="67">
        <f t="shared" ref="AE3:AE66" si="14">IF($Q3&lt;&gt;0,P3/$Q3,0)</f>
        <v>0.18518518518518517</v>
      </c>
      <c r="AF3" s="67">
        <f t="shared" ref="AF3:AF66" si="15">Q3/Q$250</f>
        <v>1.4179182858943388E-3</v>
      </c>
      <c r="AG3" s="67">
        <f>town_establishments[[#This Row],[share of state establishments]]/($AF$250-$AF$249)</f>
        <v>1.4666739095007876E-3</v>
      </c>
      <c r="AH3" s="67">
        <f>town_establishments[[#This Row],[share of state establishments (no residual)]]/(INDEX(regional_establishments[share of state establishments],MATCH(town_establishments[[#This Row],[Regional Planning Commission]],regional_establishments[Regional Planning Commission],0)))</f>
        <v>2.8846153846153848E-2</v>
      </c>
      <c r="AJ3" t="s">
        <v>93</v>
      </c>
      <c r="AK3" s="18">
        <f>SUMIF(town_establishments[Regional Planning Commission],AJ3,town_establishments[share of state establishments (no residual)])</f>
        <v>5.0844695529360634E-2</v>
      </c>
    </row>
    <row r="4" spans="1:37" x14ac:dyDescent="0.25">
      <c r="A4" t="s">
        <v>94</v>
      </c>
      <c r="B4" t="str">
        <f>INDEX([1]!town_population[Regional Planning Commission],MATCH(town_establishments[[#This Row],[Municipality]],[1]!town_population[Municipality],0))</f>
        <v>Addison County Regional Planning Commission</v>
      </c>
      <c r="C4">
        <v>3</v>
      </c>
      <c r="D4">
        <v>4</v>
      </c>
      <c r="E4">
        <v>3</v>
      </c>
      <c r="G4">
        <v>2</v>
      </c>
      <c r="I4">
        <v>7</v>
      </c>
      <c r="K4">
        <v>3</v>
      </c>
      <c r="L4">
        <v>1</v>
      </c>
      <c r="M4">
        <v>1</v>
      </c>
      <c r="Q4">
        <f t="shared" si="0"/>
        <v>24</v>
      </c>
      <c r="R4" s="67">
        <f t="shared" si="1"/>
        <v>0.125</v>
      </c>
      <c r="S4" s="67">
        <f t="shared" si="2"/>
        <v>0.16666666666666666</v>
      </c>
      <c r="T4" s="67">
        <f t="shared" si="3"/>
        <v>0.125</v>
      </c>
      <c r="U4" s="67">
        <f t="shared" si="4"/>
        <v>0</v>
      </c>
      <c r="V4" s="67">
        <f t="shared" si="5"/>
        <v>8.3333333333333329E-2</v>
      </c>
      <c r="W4" s="67">
        <f t="shared" si="6"/>
        <v>0</v>
      </c>
      <c r="X4" s="67">
        <f t="shared" si="7"/>
        <v>0.29166666666666669</v>
      </c>
      <c r="Y4" s="67">
        <f t="shared" si="8"/>
        <v>0</v>
      </c>
      <c r="Z4" s="67">
        <f t="shared" si="9"/>
        <v>0.125</v>
      </c>
      <c r="AA4" s="67">
        <f t="shared" si="10"/>
        <v>4.1666666666666664E-2</v>
      </c>
      <c r="AB4" s="67">
        <f t="shared" si="11"/>
        <v>4.1666666666666664E-2</v>
      </c>
      <c r="AC4" s="67">
        <f t="shared" si="12"/>
        <v>0</v>
      </c>
      <c r="AD4" s="67">
        <f t="shared" si="13"/>
        <v>0</v>
      </c>
      <c r="AE4" s="67">
        <f t="shared" si="14"/>
        <v>0</v>
      </c>
      <c r="AF4" s="67">
        <f t="shared" si="15"/>
        <v>1.2603718096838568E-3</v>
      </c>
      <c r="AG4" s="67">
        <f>town_establishments[[#This Row],[share of state establishments]]/($AF$250-$AF$249)</f>
        <v>1.3037101417784779E-3</v>
      </c>
      <c r="AH4" s="67">
        <f>town_establishments[[#This Row],[share of state establishments (no residual)]]/(INDEX(regional_establishments[share of state establishments],MATCH(town_establishments[[#This Row],[Regional Planning Commission]],regional_establishments[Regional Planning Commission],0)))</f>
        <v>2.5641025641025644E-2</v>
      </c>
      <c r="AJ4" t="s">
        <v>95</v>
      </c>
      <c r="AK4" s="18">
        <f>SUMIF(town_establishments[Regional Planning Commission],AJ4,town_establishments[share of state establishments (no residual)])</f>
        <v>6.2306480525829773E-2</v>
      </c>
    </row>
    <row r="5" spans="1:37" x14ac:dyDescent="0.25">
      <c r="A5" t="s">
        <v>96</v>
      </c>
      <c r="B5" t="str">
        <f>INDEX([1]!town_population[Regional Planning Commission],MATCH(town_establishments[[#This Row],[Municipality]],[1]!town_population[Municipality],0))</f>
        <v>Addison County Regional Planning Commission</v>
      </c>
      <c r="C5">
        <v>3</v>
      </c>
      <c r="D5">
        <v>18</v>
      </c>
      <c r="E5">
        <v>3</v>
      </c>
      <c r="F5">
        <v>2</v>
      </c>
      <c r="G5">
        <v>7</v>
      </c>
      <c r="H5">
        <v>1</v>
      </c>
      <c r="I5">
        <v>30</v>
      </c>
      <c r="K5">
        <v>12</v>
      </c>
      <c r="L5">
        <v>2</v>
      </c>
      <c r="M5">
        <v>13</v>
      </c>
      <c r="N5">
        <v>2</v>
      </c>
      <c r="O5">
        <v>10</v>
      </c>
      <c r="P5">
        <v>12</v>
      </c>
      <c r="Q5">
        <f t="shared" si="0"/>
        <v>115</v>
      </c>
      <c r="R5" s="67">
        <f t="shared" si="1"/>
        <v>2.6086956521739129E-2</v>
      </c>
      <c r="S5" s="67">
        <f t="shared" si="2"/>
        <v>0.15652173913043479</v>
      </c>
      <c r="T5" s="67">
        <f t="shared" si="3"/>
        <v>2.6086956521739129E-2</v>
      </c>
      <c r="U5" s="67">
        <f t="shared" si="4"/>
        <v>1.7391304347826087E-2</v>
      </c>
      <c r="V5" s="67">
        <f t="shared" si="5"/>
        <v>6.0869565217391307E-2</v>
      </c>
      <c r="W5" s="67">
        <f t="shared" si="6"/>
        <v>8.6956521739130436E-3</v>
      </c>
      <c r="X5" s="67">
        <f t="shared" si="7"/>
        <v>0.2608695652173913</v>
      </c>
      <c r="Y5" s="67">
        <f t="shared" si="8"/>
        <v>0</v>
      </c>
      <c r="Z5" s="67">
        <f t="shared" si="9"/>
        <v>0.10434782608695652</v>
      </c>
      <c r="AA5" s="67">
        <f t="shared" si="10"/>
        <v>1.7391304347826087E-2</v>
      </c>
      <c r="AB5" s="67">
        <f t="shared" si="11"/>
        <v>0.11304347826086956</v>
      </c>
      <c r="AC5" s="67">
        <f t="shared" si="12"/>
        <v>1.7391304347826087E-2</v>
      </c>
      <c r="AD5" s="67">
        <f t="shared" si="13"/>
        <v>8.6956521739130432E-2</v>
      </c>
      <c r="AE5" s="67">
        <f t="shared" si="14"/>
        <v>0.10434782608695652</v>
      </c>
      <c r="AF5" s="67">
        <f t="shared" si="15"/>
        <v>6.0392815880684798E-3</v>
      </c>
      <c r="AG5" s="67">
        <f>town_establishments[[#This Row],[share of state establishments]]/($AF$250-$AF$249)</f>
        <v>6.2469444293552058E-3</v>
      </c>
      <c r="AH5" s="67">
        <f>town_establishments[[#This Row],[share of state establishments (no residual)]]/(INDEX(regional_establishments[share of state establishments],MATCH(town_establishments[[#This Row],[Regional Planning Commission]],regional_establishments[Regional Planning Commission],0)))</f>
        <v>0.12286324786324786</v>
      </c>
      <c r="AJ5" t="s">
        <v>97</v>
      </c>
      <c r="AK5" s="18">
        <f>SUMIF(town_establishments[Regional Planning Commission],AJ5,town_establishments[share of state establishments (no residual)])</f>
        <v>0.11021782823618882</v>
      </c>
    </row>
    <row r="6" spans="1:37" x14ac:dyDescent="0.25">
      <c r="A6" t="s">
        <v>98</v>
      </c>
      <c r="B6" t="str">
        <f>INDEX([1]!town_population[Regional Planning Commission],MATCH(town_establishments[[#This Row],[Municipality]],[1]!town_population[Municipality],0))</f>
        <v>Addison County Regional Planning Commission</v>
      </c>
      <c r="C6">
        <v>3</v>
      </c>
      <c r="D6">
        <v>3</v>
      </c>
      <c r="E6">
        <v>1</v>
      </c>
      <c r="F6">
        <v>1</v>
      </c>
      <c r="G6">
        <v>3</v>
      </c>
      <c r="I6">
        <v>6</v>
      </c>
      <c r="K6">
        <v>3</v>
      </c>
      <c r="L6">
        <v>1</v>
      </c>
      <c r="N6">
        <v>1</v>
      </c>
      <c r="P6">
        <v>4</v>
      </c>
      <c r="Q6">
        <f t="shared" si="0"/>
        <v>26</v>
      </c>
      <c r="R6" s="67">
        <f t="shared" si="1"/>
        <v>0.11538461538461539</v>
      </c>
      <c r="S6" s="67">
        <f t="shared" si="2"/>
        <v>0.11538461538461539</v>
      </c>
      <c r="T6" s="67">
        <f t="shared" si="3"/>
        <v>3.8461538461538464E-2</v>
      </c>
      <c r="U6" s="67">
        <f t="shared" si="4"/>
        <v>3.8461538461538464E-2</v>
      </c>
      <c r="V6" s="67">
        <f t="shared" si="5"/>
        <v>0.11538461538461539</v>
      </c>
      <c r="W6" s="67">
        <f t="shared" si="6"/>
        <v>0</v>
      </c>
      <c r="X6" s="67">
        <f t="shared" si="7"/>
        <v>0.23076923076923078</v>
      </c>
      <c r="Y6" s="67">
        <f t="shared" si="8"/>
        <v>0</v>
      </c>
      <c r="Z6" s="67">
        <f t="shared" si="9"/>
        <v>0.11538461538461539</v>
      </c>
      <c r="AA6" s="67">
        <f t="shared" si="10"/>
        <v>3.8461538461538464E-2</v>
      </c>
      <c r="AB6" s="67">
        <f t="shared" si="11"/>
        <v>0</v>
      </c>
      <c r="AC6" s="67">
        <f t="shared" si="12"/>
        <v>3.8461538461538464E-2</v>
      </c>
      <c r="AD6" s="67">
        <f t="shared" si="13"/>
        <v>0</v>
      </c>
      <c r="AE6" s="67">
        <f t="shared" si="14"/>
        <v>0.15384615384615385</v>
      </c>
      <c r="AF6" s="67">
        <f t="shared" si="15"/>
        <v>1.3654027938241782E-3</v>
      </c>
      <c r="AG6" s="67">
        <f>town_establishments[[#This Row],[share of state establishments]]/($AF$250-$AF$249)</f>
        <v>1.4123526535933511E-3</v>
      </c>
      <c r="AH6" s="67">
        <f>town_establishments[[#This Row],[share of state establishments (no residual)]]/(INDEX(regional_establishments[share of state establishments],MATCH(town_establishments[[#This Row],[Regional Planning Commission]],regional_establishments[Regional Planning Commission],0)))</f>
        <v>2.777777777777778E-2</v>
      </c>
      <c r="AJ6" t="s">
        <v>99</v>
      </c>
      <c r="AK6" s="18">
        <f>SUMIF(town_establishments[Regional Planning Commission],AJ6,town_establishments[share of state establishments (no residual)])</f>
        <v>0.29436688576239878</v>
      </c>
    </row>
    <row r="7" spans="1:37" x14ac:dyDescent="0.25">
      <c r="A7" t="s">
        <v>100</v>
      </c>
      <c r="B7" t="str">
        <f>INDEX([1]!town_population[Regional Planning Commission],MATCH(town_establishments[[#This Row],[Municipality]],[1]!town_population[Municipality],0))</f>
        <v>Addison County Regional Planning Commission</v>
      </c>
      <c r="C7">
        <v>2</v>
      </c>
      <c r="D7">
        <v>12</v>
      </c>
      <c r="E7">
        <v>3</v>
      </c>
      <c r="F7">
        <v>0</v>
      </c>
      <c r="I7">
        <v>10</v>
      </c>
      <c r="K7">
        <v>6</v>
      </c>
      <c r="L7">
        <v>1</v>
      </c>
      <c r="M7">
        <v>1</v>
      </c>
      <c r="N7">
        <v>2</v>
      </c>
      <c r="O7">
        <v>4</v>
      </c>
      <c r="P7">
        <v>3</v>
      </c>
      <c r="Q7">
        <f t="shared" si="0"/>
        <v>44</v>
      </c>
      <c r="R7" s="67">
        <f t="shared" si="1"/>
        <v>4.5454545454545456E-2</v>
      </c>
      <c r="S7" s="67">
        <f t="shared" si="2"/>
        <v>0.27272727272727271</v>
      </c>
      <c r="T7" s="67">
        <f t="shared" si="3"/>
        <v>6.8181818181818177E-2</v>
      </c>
      <c r="U7" s="67">
        <f t="shared" si="4"/>
        <v>0</v>
      </c>
      <c r="V7" s="67">
        <f t="shared" si="5"/>
        <v>0</v>
      </c>
      <c r="W7" s="67">
        <f t="shared" si="6"/>
        <v>0</v>
      </c>
      <c r="X7" s="67">
        <f t="shared" si="7"/>
        <v>0.22727272727272727</v>
      </c>
      <c r="Y7" s="67">
        <f t="shared" si="8"/>
        <v>0</v>
      </c>
      <c r="Z7" s="67">
        <f t="shared" si="9"/>
        <v>0.13636363636363635</v>
      </c>
      <c r="AA7" s="67">
        <f t="shared" si="10"/>
        <v>2.2727272727272728E-2</v>
      </c>
      <c r="AB7" s="67">
        <f t="shared" si="11"/>
        <v>2.2727272727272728E-2</v>
      </c>
      <c r="AC7" s="67">
        <f t="shared" si="12"/>
        <v>4.5454545454545456E-2</v>
      </c>
      <c r="AD7" s="67">
        <f t="shared" si="13"/>
        <v>9.0909090909090912E-2</v>
      </c>
      <c r="AE7" s="67">
        <f t="shared" si="14"/>
        <v>6.8181818181818177E-2</v>
      </c>
      <c r="AF7" s="67">
        <f t="shared" si="15"/>
        <v>2.3106816510870707E-3</v>
      </c>
      <c r="AG7" s="67">
        <f>town_establishments[[#This Row],[share of state establishments]]/($AF$250-$AF$249)</f>
        <v>2.3901352599272094E-3</v>
      </c>
      <c r="AH7" s="67">
        <f>town_establishments[[#This Row],[share of state establishments (no residual)]]/(INDEX(regional_establishments[share of state establishments],MATCH(town_establishments[[#This Row],[Regional Planning Commission]],regional_establishments[Regional Planning Commission],0)))</f>
        <v>4.7008547008547008E-2</v>
      </c>
      <c r="AJ7" t="s">
        <v>101</v>
      </c>
      <c r="AK7" s="18">
        <f>SUMIF(town_establishments[Regional Planning Commission],AJ7,town_establishments[share of state establishments (no residual)])</f>
        <v>4.4326144820468254E-2</v>
      </c>
    </row>
    <row r="8" spans="1:37" x14ac:dyDescent="0.25">
      <c r="A8" t="s">
        <v>102</v>
      </c>
      <c r="B8" t="str">
        <f>INDEX([1]!town_population[Regional Planning Commission],MATCH(town_establishments[[#This Row],[Municipality]],[1]!town_population[Municipality],0))</f>
        <v>Addison County Regional Planning Commission</v>
      </c>
      <c r="H8">
        <v>1</v>
      </c>
      <c r="M8">
        <v>0</v>
      </c>
      <c r="O8">
        <v>1</v>
      </c>
      <c r="Q8">
        <f t="shared" si="0"/>
        <v>2</v>
      </c>
      <c r="R8" s="67">
        <f t="shared" si="1"/>
        <v>0</v>
      </c>
      <c r="S8" s="67">
        <f t="shared" si="2"/>
        <v>0</v>
      </c>
      <c r="T8" s="67">
        <f t="shared" si="3"/>
        <v>0</v>
      </c>
      <c r="U8" s="67">
        <f t="shared" si="4"/>
        <v>0</v>
      </c>
      <c r="V8" s="67">
        <f t="shared" si="5"/>
        <v>0</v>
      </c>
      <c r="W8" s="67">
        <f t="shared" si="6"/>
        <v>0.5</v>
      </c>
      <c r="X8" s="67">
        <f t="shared" si="7"/>
        <v>0</v>
      </c>
      <c r="Y8" s="67">
        <f t="shared" si="8"/>
        <v>0</v>
      </c>
      <c r="Z8" s="67">
        <f t="shared" si="9"/>
        <v>0</v>
      </c>
      <c r="AA8" s="67">
        <f t="shared" si="10"/>
        <v>0</v>
      </c>
      <c r="AB8" s="67">
        <f t="shared" si="11"/>
        <v>0</v>
      </c>
      <c r="AC8" s="67">
        <f t="shared" si="12"/>
        <v>0</v>
      </c>
      <c r="AD8" s="67">
        <f t="shared" si="13"/>
        <v>0.5</v>
      </c>
      <c r="AE8" s="67">
        <f t="shared" si="14"/>
        <v>0</v>
      </c>
      <c r="AF8" s="67">
        <f t="shared" si="15"/>
        <v>1.0503098414032139E-4</v>
      </c>
      <c r="AG8" s="67">
        <f>town_establishments[[#This Row],[share of state establishments]]/($AF$250-$AF$249)</f>
        <v>1.0864251181487315E-4</v>
      </c>
      <c r="AH8" s="67">
        <f>town_establishments[[#This Row],[share of state establishments (no residual)]]/(INDEX(regional_establishments[share of state establishments],MATCH(town_establishments[[#This Row],[Regional Planning Commission]],regional_establishments[Regional Planning Commission],0)))</f>
        <v>2.136752136752137E-3</v>
      </c>
      <c r="AJ8" t="s">
        <v>103</v>
      </c>
      <c r="AK8" s="18">
        <f>SUMIF(town_establishments[Regional Planning Commission],AJ8,town_establishments[share of state establishments (no residual)])</f>
        <v>7.9254712368949973E-2</v>
      </c>
    </row>
    <row r="9" spans="1:37" x14ac:dyDescent="0.25">
      <c r="A9" t="s">
        <v>104</v>
      </c>
      <c r="B9" t="str">
        <f>INDEX([1]!town_population[Regional Planning Commission],MATCH(town_establishments[[#This Row],[Municipality]],[1]!town_population[Municipality],0))</f>
        <v>Addison County Regional Planning Commission</v>
      </c>
      <c r="C9">
        <v>2</v>
      </c>
      <c r="D9">
        <v>1</v>
      </c>
      <c r="I9">
        <v>1</v>
      </c>
      <c r="K9">
        <v>2</v>
      </c>
      <c r="L9">
        <v>1</v>
      </c>
      <c r="M9">
        <v>1</v>
      </c>
      <c r="O9">
        <v>0</v>
      </c>
      <c r="P9">
        <v>1</v>
      </c>
      <c r="Q9">
        <f t="shared" si="0"/>
        <v>9</v>
      </c>
      <c r="R9" s="67">
        <f t="shared" si="1"/>
        <v>0.22222222222222221</v>
      </c>
      <c r="S9" s="67">
        <f t="shared" si="2"/>
        <v>0.1111111111111111</v>
      </c>
      <c r="T9" s="67">
        <f t="shared" si="3"/>
        <v>0</v>
      </c>
      <c r="U9" s="67">
        <f t="shared" si="4"/>
        <v>0</v>
      </c>
      <c r="V9" s="67">
        <f t="shared" si="5"/>
        <v>0</v>
      </c>
      <c r="W9" s="67">
        <f t="shared" si="6"/>
        <v>0</v>
      </c>
      <c r="X9" s="67">
        <f t="shared" si="7"/>
        <v>0.1111111111111111</v>
      </c>
      <c r="Y9" s="67">
        <f t="shared" si="8"/>
        <v>0</v>
      </c>
      <c r="Z9" s="67">
        <f t="shared" si="9"/>
        <v>0.22222222222222221</v>
      </c>
      <c r="AA9" s="67">
        <f t="shared" si="10"/>
        <v>0.1111111111111111</v>
      </c>
      <c r="AB9" s="67">
        <f t="shared" si="11"/>
        <v>0.1111111111111111</v>
      </c>
      <c r="AC9" s="67">
        <f t="shared" si="12"/>
        <v>0</v>
      </c>
      <c r="AD9" s="67">
        <f t="shared" si="13"/>
        <v>0</v>
      </c>
      <c r="AE9" s="67">
        <f t="shared" si="14"/>
        <v>0.1111111111111111</v>
      </c>
      <c r="AF9" s="67">
        <f t="shared" si="15"/>
        <v>4.7263942863144627E-4</v>
      </c>
      <c r="AG9" s="67">
        <f>town_establishments[[#This Row],[share of state establishments]]/($AF$250-$AF$249)</f>
        <v>4.8889130316692926E-4</v>
      </c>
      <c r="AH9" s="67">
        <f>town_establishments[[#This Row],[share of state establishments (no residual)]]/(INDEX(regional_establishments[share of state establishments],MATCH(town_establishments[[#This Row],[Regional Planning Commission]],regional_establishments[Regional Planning Commission],0)))</f>
        <v>9.6153846153846177E-3</v>
      </c>
      <c r="AJ9" t="s">
        <v>105</v>
      </c>
      <c r="AK9" s="18">
        <f>SUMIF(town_establishments[Regional Planning Commission],AJ9,town_establishments[share of state establishments (no residual)])</f>
        <v>5.5516323537400179E-2</v>
      </c>
    </row>
    <row r="10" spans="1:37" x14ac:dyDescent="0.25">
      <c r="A10" t="s">
        <v>106</v>
      </c>
      <c r="B10" t="str">
        <f>INDEX([1]!town_population[Regional Planning Commission],MATCH(town_establishments[[#This Row],[Municipality]],[1]!town_population[Municipality],0))</f>
        <v>Addison County Regional Planning Commission</v>
      </c>
      <c r="C10">
        <v>1</v>
      </c>
      <c r="D10">
        <v>1</v>
      </c>
      <c r="G10">
        <v>1</v>
      </c>
      <c r="H10">
        <v>2</v>
      </c>
      <c r="I10">
        <v>7</v>
      </c>
      <c r="K10">
        <v>3</v>
      </c>
      <c r="L10">
        <v>3</v>
      </c>
      <c r="N10">
        <v>1</v>
      </c>
      <c r="O10">
        <v>1</v>
      </c>
      <c r="P10">
        <v>3</v>
      </c>
      <c r="Q10">
        <f t="shared" si="0"/>
        <v>23</v>
      </c>
      <c r="R10" s="67">
        <f t="shared" si="1"/>
        <v>4.3478260869565216E-2</v>
      </c>
      <c r="S10" s="67">
        <f t="shared" si="2"/>
        <v>4.3478260869565216E-2</v>
      </c>
      <c r="T10" s="67">
        <f t="shared" si="3"/>
        <v>0</v>
      </c>
      <c r="U10" s="67">
        <f t="shared" si="4"/>
        <v>0</v>
      </c>
      <c r="V10" s="67">
        <f t="shared" si="5"/>
        <v>4.3478260869565216E-2</v>
      </c>
      <c r="W10" s="67">
        <f t="shared" si="6"/>
        <v>8.6956521739130432E-2</v>
      </c>
      <c r="X10" s="67">
        <f t="shared" si="7"/>
        <v>0.30434782608695654</v>
      </c>
      <c r="Y10" s="67">
        <f t="shared" si="8"/>
        <v>0</v>
      </c>
      <c r="Z10" s="67">
        <f t="shared" si="9"/>
        <v>0.13043478260869565</v>
      </c>
      <c r="AA10" s="67">
        <f t="shared" si="10"/>
        <v>0.13043478260869565</v>
      </c>
      <c r="AB10" s="67">
        <f t="shared" si="11"/>
        <v>0</v>
      </c>
      <c r="AC10" s="67">
        <f t="shared" si="12"/>
        <v>4.3478260869565216E-2</v>
      </c>
      <c r="AD10" s="67">
        <f t="shared" si="13"/>
        <v>4.3478260869565216E-2</v>
      </c>
      <c r="AE10" s="67">
        <f t="shared" si="14"/>
        <v>0.13043478260869565</v>
      </c>
      <c r="AF10" s="67">
        <f t="shared" si="15"/>
        <v>1.207856317613696E-3</v>
      </c>
      <c r="AG10" s="67">
        <f>town_establishments[[#This Row],[share of state establishments]]/($AF$250-$AF$249)</f>
        <v>1.2493888858710412E-3</v>
      </c>
      <c r="AH10" s="67">
        <f>town_establishments[[#This Row],[share of state establishments (no residual)]]/(INDEX(regional_establishments[share of state establishments],MATCH(town_establishments[[#This Row],[Regional Planning Commission]],regional_establishments[Regional Planning Commission],0)))</f>
        <v>2.4572649572649572E-2</v>
      </c>
      <c r="AJ10" t="s">
        <v>107</v>
      </c>
      <c r="AK10" s="18">
        <f>SUMIF(town_establishments[Regional Planning Commission],AJ10,town_establishments[share of state establishments (no residual)])</f>
        <v>9.6583193003422246E-2</v>
      </c>
    </row>
    <row r="11" spans="1:37" x14ac:dyDescent="0.25">
      <c r="A11" t="s">
        <v>108</v>
      </c>
      <c r="B11" t="str">
        <f>INDEX([1]!town_population[Regional Planning Commission],MATCH(town_establishments[[#This Row],[Municipality]],[1]!town_population[Municipality],0))</f>
        <v>Addison County Regional Planning Commission</v>
      </c>
      <c r="C11">
        <v>12</v>
      </c>
      <c r="D11">
        <v>81</v>
      </c>
      <c r="E11">
        <v>5</v>
      </c>
      <c r="F11">
        <v>8</v>
      </c>
      <c r="G11">
        <v>20</v>
      </c>
      <c r="H11">
        <v>14</v>
      </c>
      <c r="I11">
        <v>50</v>
      </c>
      <c r="J11">
        <v>1</v>
      </c>
      <c r="K11">
        <v>16</v>
      </c>
      <c r="L11">
        <v>9</v>
      </c>
      <c r="M11">
        <v>75</v>
      </c>
      <c r="N11">
        <v>8</v>
      </c>
      <c r="O11">
        <v>29</v>
      </c>
      <c r="P11">
        <v>42</v>
      </c>
      <c r="Q11">
        <f t="shared" si="0"/>
        <v>370</v>
      </c>
      <c r="R11" s="67">
        <f t="shared" si="1"/>
        <v>3.2432432432432434E-2</v>
      </c>
      <c r="S11" s="67">
        <f t="shared" si="2"/>
        <v>0.21891891891891893</v>
      </c>
      <c r="T11" s="67">
        <f t="shared" si="3"/>
        <v>1.3513513513513514E-2</v>
      </c>
      <c r="U11" s="67">
        <f t="shared" si="4"/>
        <v>2.1621621621621623E-2</v>
      </c>
      <c r="V11" s="67">
        <f t="shared" si="5"/>
        <v>5.4054054054054057E-2</v>
      </c>
      <c r="W11" s="67">
        <f t="shared" si="6"/>
        <v>3.783783783783784E-2</v>
      </c>
      <c r="X11" s="67">
        <f t="shared" si="7"/>
        <v>0.13513513513513514</v>
      </c>
      <c r="Y11" s="67">
        <f t="shared" si="8"/>
        <v>2.7027027027027029E-3</v>
      </c>
      <c r="Z11" s="67">
        <f t="shared" si="9"/>
        <v>4.3243243243243246E-2</v>
      </c>
      <c r="AA11" s="67">
        <f t="shared" si="10"/>
        <v>2.4324324324324326E-2</v>
      </c>
      <c r="AB11" s="67">
        <f t="shared" si="11"/>
        <v>0.20270270270270271</v>
      </c>
      <c r="AC11" s="67">
        <f t="shared" si="12"/>
        <v>2.1621621621621623E-2</v>
      </c>
      <c r="AD11" s="67">
        <f t="shared" si="13"/>
        <v>7.8378378378378383E-2</v>
      </c>
      <c r="AE11" s="67">
        <f t="shared" si="14"/>
        <v>0.11351351351351352</v>
      </c>
      <c r="AF11" s="67">
        <f t="shared" si="15"/>
        <v>1.9430732065959459E-2</v>
      </c>
      <c r="AG11" s="67">
        <f>town_establishments[[#This Row],[share of state establishments]]/($AF$250-$AF$249)</f>
        <v>2.0098864685751536E-2</v>
      </c>
      <c r="AH11" s="67">
        <f>town_establishments[[#This Row],[share of state establishments (no residual)]]/(INDEX(regional_establishments[share of state establishments],MATCH(town_establishments[[#This Row],[Regional Planning Commission]],regional_establishments[Regional Planning Commission],0)))</f>
        <v>0.39529914529914539</v>
      </c>
      <c r="AJ11" t="s">
        <v>109</v>
      </c>
      <c r="AK11" s="18">
        <f>SUMIF(town_establishments[Regional Planning Commission],AJ11,town_establishments[share of state establishments (no residual)])</f>
        <v>3.4222391221685036E-2</v>
      </c>
    </row>
    <row r="12" spans="1:37" x14ac:dyDescent="0.25">
      <c r="A12" t="s">
        <v>110</v>
      </c>
      <c r="B12" t="str">
        <f>INDEX([1]!town_population[Regional Planning Commission],MATCH(town_establishments[[#This Row],[Municipality]],[1]!town_population[Municipality],0))</f>
        <v>Addison County Regional Planning Commission</v>
      </c>
      <c r="D12">
        <v>1</v>
      </c>
      <c r="E12">
        <v>1</v>
      </c>
      <c r="H12">
        <v>1</v>
      </c>
      <c r="I12">
        <v>4</v>
      </c>
      <c r="K12">
        <v>2</v>
      </c>
      <c r="L12">
        <v>1</v>
      </c>
      <c r="M12">
        <v>1</v>
      </c>
      <c r="P12">
        <v>1</v>
      </c>
      <c r="Q12">
        <f t="shared" si="0"/>
        <v>12</v>
      </c>
      <c r="R12" s="67">
        <f t="shared" si="1"/>
        <v>0</v>
      </c>
      <c r="S12" s="67">
        <f t="shared" si="2"/>
        <v>8.3333333333333329E-2</v>
      </c>
      <c r="T12" s="67">
        <f t="shared" si="3"/>
        <v>8.3333333333333329E-2</v>
      </c>
      <c r="U12" s="67">
        <f t="shared" si="4"/>
        <v>0</v>
      </c>
      <c r="V12" s="67">
        <f t="shared" si="5"/>
        <v>0</v>
      </c>
      <c r="W12" s="67">
        <f t="shared" si="6"/>
        <v>8.3333333333333329E-2</v>
      </c>
      <c r="X12" s="67">
        <f t="shared" si="7"/>
        <v>0.33333333333333331</v>
      </c>
      <c r="Y12" s="67">
        <f t="shared" si="8"/>
        <v>0</v>
      </c>
      <c r="Z12" s="67">
        <f t="shared" si="9"/>
        <v>0.16666666666666666</v>
      </c>
      <c r="AA12" s="67">
        <f t="shared" si="10"/>
        <v>8.3333333333333329E-2</v>
      </c>
      <c r="AB12" s="67">
        <f t="shared" si="11"/>
        <v>8.3333333333333329E-2</v>
      </c>
      <c r="AC12" s="67">
        <f t="shared" si="12"/>
        <v>0</v>
      </c>
      <c r="AD12" s="67">
        <f t="shared" si="13"/>
        <v>0</v>
      </c>
      <c r="AE12" s="67">
        <f t="shared" si="14"/>
        <v>8.3333333333333329E-2</v>
      </c>
      <c r="AF12" s="67">
        <f t="shared" si="15"/>
        <v>6.3018590484192839E-4</v>
      </c>
      <c r="AG12" s="67">
        <f>town_establishments[[#This Row],[share of state establishments]]/($AF$250-$AF$249)</f>
        <v>6.5185507088923894E-4</v>
      </c>
      <c r="AH12" s="67">
        <f>town_establishments[[#This Row],[share of state establishments (no residual)]]/(INDEX(regional_establishments[share of state establishments],MATCH(town_establishments[[#This Row],[Regional Planning Commission]],regional_establishments[Regional Planning Commission],0)))</f>
        <v>1.2820512820512822E-2</v>
      </c>
      <c r="AJ12" t="s">
        <v>111</v>
      </c>
      <c r="AK12" s="18">
        <f>SUMIF(town_establishments[Regional Planning Commission],AJ12,town_establishments[share of state establishments (no residual)])</f>
        <v>8.8000434570047248E-2</v>
      </c>
    </row>
    <row r="13" spans="1:37" x14ac:dyDescent="0.25">
      <c r="A13" t="s">
        <v>112</v>
      </c>
      <c r="B13" t="str">
        <f>INDEX([1]!town_population[Regional Planning Commission],MATCH(town_establishments[[#This Row],[Municipality]],[1]!town_population[Municipality],0))</f>
        <v>Addison County Regional Planning Commission</v>
      </c>
      <c r="C13">
        <v>1</v>
      </c>
      <c r="D13">
        <v>3</v>
      </c>
      <c r="E13">
        <v>1</v>
      </c>
      <c r="G13">
        <v>2</v>
      </c>
      <c r="I13">
        <v>10</v>
      </c>
      <c r="K13">
        <v>4</v>
      </c>
      <c r="L13">
        <v>2</v>
      </c>
      <c r="M13">
        <v>3</v>
      </c>
      <c r="N13">
        <v>1</v>
      </c>
      <c r="O13">
        <v>5</v>
      </c>
      <c r="P13">
        <v>3</v>
      </c>
      <c r="Q13">
        <f t="shared" si="0"/>
        <v>35</v>
      </c>
      <c r="R13" s="67">
        <f t="shared" si="1"/>
        <v>2.8571428571428571E-2</v>
      </c>
      <c r="S13" s="67">
        <f t="shared" si="2"/>
        <v>8.5714285714285715E-2</v>
      </c>
      <c r="T13" s="67">
        <f t="shared" si="3"/>
        <v>2.8571428571428571E-2</v>
      </c>
      <c r="U13" s="67">
        <f t="shared" si="4"/>
        <v>0</v>
      </c>
      <c r="V13" s="67">
        <f t="shared" si="5"/>
        <v>5.7142857142857141E-2</v>
      </c>
      <c r="W13" s="67">
        <f t="shared" si="6"/>
        <v>0</v>
      </c>
      <c r="X13" s="67">
        <f t="shared" si="7"/>
        <v>0.2857142857142857</v>
      </c>
      <c r="Y13" s="67">
        <f t="shared" si="8"/>
        <v>0</v>
      </c>
      <c r="Z13" s="67">
        <f t="shared" si="9"/>
        <v>0.11428571428571428</v>
      </c>
      <c r="AA13" s="67">
        <f t="shared" si="10"/>
        <v>5.7142857142857141E-2</v>
      </c>
      <c r="AB13" s="67">
        <f t="shared" si="11"/>
        <v>8.5714285714285715E-2</v>
      </c>
      <c r="AC13" s="67">
        <f t="shared" si="12"/>
        <v>2.8571428571428571E-2</v>
      </c>
      <c r="AD13" s="67">
        <f t="shared" si="13"/>
        <v>0.14285714285714285</v>
      </c>
      <c r="AE13" s="67">
        <f t="shared" si="14"/>
        <v>8.5714285714285715E-2</v>
      </c>
      <c r="AF13" s="67">
        <f t="shared" si="15"/>
        <v>1.8380422224556245E-3</v>
      </c>
      <c r="AG13" s="67">
        <f>town_establishments[[#This Row],[share of state establishments]]/($AF$250-$AF$249)</f>
        <v>1.9012439567602803E-3</v>
      </c>
      <c r="AH13" s="67">
        <f>town_establishments[[#This Row],[share of state establishments (no residual)]]/(INDEX(regional_establishments[share of state establishments],MATCH(town_establishments[[#This Row],[Regional Planning Commission]],regional_establishments[Regional Planning Commission],0)))</f>
        <v>3.7393162393162399E-2</v>
      </c>
      <c r="AJ13" t="s">
        <v>113</v>
      </c>
      <c r="AK13" s="18">
        <f>SUMIF(town_establishments[Regional Planning Commission],AJ13,town_establishments[share of state establishments (no residual)])</f>
        <v>8.4360910424249008E-2</v>
      </c>
    </row>
    <row r="14" spans="1:37" x14ac:dyDescent="0.25">
      <c r="A14" t="s">
        <v>114</v>
      </c>
      <c r="B14" t="str">
        <f>INDEX([1]!town_population[Regional Planning Commission],MATCH(town_establishments[[#This Row],[Municipality]],[1]!town_population[Municipality],0))</f>
        <v>Addison County Regional Planning Commission</v>
      </c>
      <c r="D14">
        <v>2</v>
      </c>
      <c r="E14">
        <v>2</v>
      </c>
      <c r="G14">
        <v>2</v>
      </c>
      <c r="I14">
        <v>1</v>
      </c>
      <c r="K14">
        <v>1</v>
      </c>
      <c r="L14">
        <v>1</v>
      </c>
      <c r="N14">
        <v>1</v>
      </c>
      <c r="O14">
        <v>1</v>
      </c>
      <c r="Q14">
        <f t="shared" si="0"/>
        <v>11</v>
      </c>
      <c r="R14" s="67">
        <f t="shared" si="1"/>
        <v>0</v>
      </c>
      <c r="S14" s="67">
        <f t="shared" si="2"/>
        <v>0.18181818181818182</v>
      </c>
      <c r="T14" s="67">
        <f t="shared" si="3"/>
        <v>0.18181818181818182</v>
      </c>
      <c r="U14" s="67">
        <f t="shared" si="4"/>
        <v>0</v>
      </c>
      <c r="V14" s="67">
        <f t="shared" si="5"/>
        <v>0.18181818181818182</v>
      </c>
      <c r="W14" s="67">
        <f t="shared" si="6"/>
        <v>0</v>
      </c>
      <c r="X14" s="67">
        <f t="shared" si="7"/>
        <v>9.0909090909090912E-2</v>
      </c>
      <c r="Y14" s="67">
        <f t="shared" si="8"/>
        <v>0</v>
      </c>
      <c r="Z14" s="67">
        <f t="shared" si="9"/>
        <v>9.0909090909090912E-2</v>
      </c>
      <c r="AA14" s="67">
        <f t="shared" si="10"/>
        <v>9.0909090909090912E-2</v>
      </c>
      <c r="AB14" s="67">
        <f t="shared" si="11"/>
        <v>0</v>
      </c>
      <c r="AC14" s="67">
        <f t="shared" si="12"/>
        <v>9.0909090909090912E-2</v>
      </c>
      <c r="AD14" s="67">
        <f t="shared" si="13"/>
        <v>9.0909090909090912E-2</v>
      </c>
      <c r="AE14" s="67">
        <f t="shared" si="14"/>
        <v>0</v>
      </c>
      <c r="AF14" s="67">
        <f t="shared" si="15"/>
        <v>5.7767041277176768E-4</v>
      </c>
      <c r="AG14" s="67">
        <f>town_establishments[[#This Row],[share of state establishments]]/($AF$250-$AF$249)</f>
        <v>5.9753381498180234E-4</v>
      </c>
      <c r="AH14" s="67">
        <f>town_establishments[[#This Row],[share of state establishments (no residual)]]/(INDEX(regional_establishments[share of state establishments],MATCH(town_establishments[[#This Row],[Regional Planning Commission]],regional_establishments[Regional Planning Commission],0)))</f>
        <v>1.1752136752136752E-2</v>
      </c>
    </row>
    <row r="15" spans="1:37" x14ac:dyDescent="0.25">
      <c r="A15" t="s">
        <v>115</v>
      </c>
      <c r="B15" t="str">
        <f>INDEX([1]!town_population[Regional Planning Commission],MATCH(town_establishments[[#This Row],[Municipality]],[1]!town_population[Municipality],0))</f>
        <v>Addison County Regional Planning Commission</v>
      </c>
      <c r="K15">
        <v>2</v>
      </c>
      <c r="Q15">
        <f t="shared" si="0"/>
        <v>2</v>
      </c>
      <c r="R15" s="67">
        <f t="shared" si="1"/>
        <v>0</v>
      </c>
      <c r="S15" s="67">
        <f t="shared" si="2"/>
        <v>0</v>
      </c>
      <c r="T15" s="67">
        <f t="shared" si="3"/>
        <v>0</v>
      </c>
      <c r="U15" s="67">
        <f t="shared" si="4"/>
        <v>0</v>
      </c>
      <c r="V15" s="67">
        <f t="shared" si="5"/>
        <v>0</v>
      </c>
      <c r="W15" s="67">
        <f t="shared" si="6"/>
        <v>0</v>
      </c>
      <c r="X15" s="67">
        <f t="shared" si="7"/>
        <v>0</v>
      </c>
      <c r="Y15" s="67">
        <f t="shared" si="8"/>
        <v>0</v>
      </c>
      <c r="Z15" s="67">
        <f t="shared" si="9"/>
        <v>1</v>
      </c>
      <c r="AA15" s="67">
        <f t="shared" si="10"/>
        <v>0</v>
      </c>
      <c r="AB15" s="67">
        <f t="shared" si="11"/>
        <v>0</v>
      </c>
      <c r="AC15" s="67">
        <f t="shared" si="12"/>
        <v>0</v>
      </c>
      <c r="AD15" s="67">
        <f t="shared" si="13"/>
        <v>0</v>
      </c>
      <c r="AE15" s="67">
        <f t="shared" si="14"/>
        <v>0</v>
      </c>
      <c r="AF15" s="67">
        <f t="shared" si="15"/>
        <v>1.0503098414032139E-4</v>
      </c>
      <c r="AG15" s="67">
        <f>town_establishments[[#This Row],[share of state establishments]]/($AF$250-$AF$249)</f>
        <v>1.0864251181487315E-4</v>
      </c>
      <c r="AH15" s="67">
        <f>town_establishments[[#This Row],[share of state establishments (no residual)]]/(INDEX(regional_establishments[share of state establishments],MATCH(town_establishments[[#This Row],[Regional Planning Commission]],regional_establishments[Regional Planning Commission],0)))</f>
        <v>2.136752136752137E-3</v>
      </c>
    </row>
    <row r="16" spans="1:37" x14ac:dyDescent="0.25">
      <c r="A16" t="s">
        <v>116</v>
      </c>
      <c r="B16" t="str">
        <f>INDEX([1]!town_population[Regional Planning Commission],MATCH(town_establishments[[#This Row],[Municipality]],[1]!town_population[Municipality],0))</f>
        <v>Addison County Regional Planning Commission</v>
      </c>
      <c r="C16">
        <v>1</v>
      </c>
      <c r="D16">
        <v>1</v>
      </c>
      <c r="K16">
        <v>1</v>
      </c>
      <c r="L16">
        <v>2</v>
      </c>
      <c r="M16">
        <v>2</v>
      </c>
      <c r="O16">
        <v>1</v>
      </c>
      <c r="P16">
        <v>4</v>
      </c>
      <c r="Q16">
        <f t="shared" si="0"/>
        <v>12</v>
      </c>
      <c r="R16" s="67">
        <f t="shared" si="1"/>
        <v>8.3333333333333329E-2</v>
      </c>
      <c r="S16" s="67">
        <f t="shared" si="2"/>
        <v>8.3333333333333329E-2</v>
      </c>
      <c r="T16" s="67">
        <f t="shared" si="3"/>
        <v>0</v>
      </c>
      <c r="U16" s="67">
        <f t="shared" si="4"/>
        <v>0</v>
      </c>
      <c r="V16" s="67">
        <f t="shared" si="5"/>
        <v>0</v>
      </c>
      <c r="W16" s="67">
        <f t="shared" si="6"/>
        <v>0</v>
      </c>
      <c r="X16" s="67">
        <f t="shared" si="7"/>
        <v>0</v>
      </c>
      <c r="Y16" s="67">
        <f t="shared" si="8"/>
        <v>0</v>
      </c>
      <c r="Z16" s="67">
        <f t="shared" si="9"/>
        <v>8.3333333333333329E-2</v>
      </c>
      <c r="AA16" s="67">
        <f t="shared" si="10"/>
        <v>0.16666666666666666</v>
      </c>
      <c r="AB16" s="67">
        <f t="shared" si="11"/>
        <v>0.16666666666666666</v>
      </c>
      <c r="AC16" s="67">
        <f t="shared" si="12"/>
        <v>0</v>
      </c>
      <c r="AD16" s="67">
        <f t="shared" si="13"/>
        <v>8.3333333333333329E-2</v>
      </c>
      <c r="AE16" s="67">
        <f t="shared" si="14"/>
        <v>0.33333333333333331</v>
      </c>
      <c r="AF16" s="67">
        <f t="shared" si="15"/>
        <v>6.3018590484192839E-4</v>
      </c>
      <c r="AG16" s="67">
        <f>town_establishments[[#This Row],[share of state establishments]]/($AF$250-$AF$249)</f>
        <v>6.5185507088923894E-4</v>
      </c>
      <c r="AH16" s="67">
        <f>town_establishments[[#This Row],[share of state establishments (no residual)]]/(INDEX(regional_establishments[share of state establishments],MATCH(town_establishments[[#This Row],[Regional Planning Commission]],regional_establishments[Regional Planning Commission],0)))</f>
        <v>1.2820512820512822E-2</v>
      </c>
    </row>
    <row r="17" spans="1:34" x14ac:dyDescent="0.25">
      <c r="A17" t="s">
        <v>117</v>
      </c>
      <c r="B17" t="str">
        <f>INDEX([1]!town_population[Regional Planning Commission],MATCH(town_establishments[[#This Row],[Municipality]],[1]!town_population[Municipality],0))</f>
        <v>Addison County Regional Planning Commission</v>
      </c>
      <c r="C17">
        <v>1</v>
      </c>
      <c r="E17">
        <v>1</v>
      </c>
      <c r="H17">
        <v>1</v>
      </c>
      <c r="I17">
        <v>2</v>
      </c>
      <c r="K17">
        <v>7</v>
      </c>
      <c r="L17">
        <v>1</v>
      </c>
      <c r="M17">
        <v>2</v>
      </c>
      <c r="O17">
        <v>5</v>
      </c>
      <c r="P17">
        <v>3</v>
      </c>
      <c r="Q17">
        <f t="shared" si="0"/>
        <v>23</v>
      </c>
      <c r="R17" s="67">
        <f t="shared" si="1"/>
        <v>4.3478260869565216E-2</v>
      </c>
      <c r="S17" s="67">
        <f t="shared" si="2"/>
        <v>0</v>
      </c>
      <c r="T17" s="67">
        <f t="shared" si="3"/>
        <v>4.3478260869565216E-2</v>
      </c>
      <c r="U17" s="67">
        <f t="shared" si="4"/>
        <v>0</v>
      </c>
      <c r="V17" s="67">
        <f t="shared" si="5"/>
        <v>0</v>
      </c>
      <c r="W17" s="67">
        <f t="shared" si="6"/>
        <v>4.3478260869565216E-2</v>
      </c>
      <c r="X17" s="67">
        <f t="shared" si="7"/>
        <v>8.6956521739130432E-2</v>
      </c>
      <c r="Y17" s="67">
        <f t="shared" si="8"/>
        <v>0</v>
      </c>
      <c r="Z17" s="67">
        <f t="shared" si="9"/>
        <v>0.30434782608695654</v>
      </c>
      <c r="AA17" s="67">
        <f t="shared" si="10"/>
        <v>4.3478260869565216E-2</v>
      </c>
      <c r="AB17" s="67">
        <f t="shared" si="11"/>
        <v>8.6956521739130432E-2</v>
      </c>
      <c r="AC17" s="67">
        <f t="shared" si="12"/>
        <v>0</v>
      </c>
      <c r="AD17" s="67">
        <f t="shared" si="13"/>
        <v>0.21739130434782608</v>
      </c>
      <c r="AE17" s="67">
        <f t="shared" si="14"/>
        <v>0.13043478260869565</v>
      </c>
      <c r="AF17" s="67">
        <f t="shared" si="15"/>
        <v>1.207856317613696E-3</v>
      </c>
      <c r="AG17" s="67">
        <f>town_establishments[[#This Row],[share of state establishments]]/($AF$250-$AF$249)</f>
        <v>1.2493888858710412E-3</v>
      </c>
      <c r="AH17" s="67">
        <f>town_establishments[[#This Row],[share of state establishments (no residual)]]/(INDEX(regional_establishments[share of state establishments],MATCH(town_establishments[[#This Row],[Regional Planning Commission]],regional_establishments[Regional Planning Commission],0)))</f>
        <v>2.4572649572649572E-2</v>
      </c>
    </row>
    <row r="18" spans="1:34" x14ac:dyDescent="0.25">
      <c r="A18" t="s">
        <v>118</v>
      </c>
      <c r="B18" t="str">
        <f>INDEX([1]!town_population[Regional Planning Commission],MATCH(town_establishments[[#This Row],[Municipality]],[1]!town_population[Municipality],0))</f>
        <v>Addison County Regional Planning Commission</v>
      </c>
      <c r="C18">
        <v>5</v>
      </c>
      <c r="D18">
        <v>4</v>
      </c>
      <c r="E18">
        <v>5</v>
      </c>
      <c r="F18">
        <v>2</v>
      </c>
      <c r="H18">
        <v>2</v>
      </c>
      <c r="I18">
        <v>9</v>
      </c>
      <c r="K18">
        <v>3</v>
      </c>
      <c r="L18">
        <v>1</v>
      </c>
      <c r="M18">
        <v>2</v>
      </c>
      <c r="O18">
        <v>2</v>
      </c>
      <c r="P18">
        <v>3</v>
      </c>
      <c r="Q18">
        <f t="shared" si="0"/>
        <v>38</v>
      </c>
      <c r="R18" s="67">
        <f t="shared" si="1"/>
        <v>0.13157894736842105</v>
      </c>
      <c r="S18" s="67">
        <f t="shared" si="2"/>
        <v>0.10526315789473684</v>
      </c>
      <c r="T18" s="67">
        <f t="shared" si="3"/>
        <v>0.13157894736842105</v>
      </c>
      <c r="U18" s="67">
        <f t="shared" si="4"/>
        <v>5.2631578947368418E-2</v>
      </c>
      <c r="V18" s="67">
        <f t="shared" si="5"/>
        <v>0</v>
      </c>
      <c r="W18" s="67">
        <f t="shared" si="6"/>
        <v>5.2631578947368418E-2</v>
      </c>
      <c r="X18" s="67">
        <f t="shared" si="7"/>
        <v>0.23684210526315788</v>
      </c>
      <c r="Y18" s="67">
        <f t="shared" si="8"/>
        <v>0</v>
      </c>
      <c r="Z18" s="67">
        <f t="shared" si="9"/>
        <v>7.8947368421052627E-2</v>
      </c>
      <c r="AA18" s="67">
        <f t="shared" si="10"/>
        <v>2.6315789473684209E-2</v>
      </c>
      <c r="AB18" s="67">
        <f t="shared" si="11"/>
        <v>5.2631578947368418E-2</v>
      </c>
      <c r="AC18" s="67">
        <f t="shared" si="12"/>
        <v>0</v>
      </c>
      <c r="AD18" s="67">
        <f t="shared" si="13"/>
        <v>5.2631578947368418E-2</v>
      </c>
      <c r="AE18" s="67">
        <f t="shared" si="14"/>
        <v>7.8947368421052627E-2</v>
      </c>
      <c r="AF18" s="67">
        <f t="shared" si="15"/>
        <v>1.9955886986661067E-3</v>
      </c>
      <c r="AG18" s="67">
        <f>town_establishments[[#This Row],[share of state establishments]]/($AF$250-$AF$249)</f>
        <v>2.0642077244825904E-3</v>
      </c>
      <c r="AH18" s="67">
        <f>town_establishments[[#This Row],[share of state establishments (no residual)]]/(INDEX(regional_establishments[share of state establishments],MATCH(town_establishments[[#This Row],[Regional Planning Commission]],regional_establishments[Regional Planning Commission],0)))</f>
        <v>4.0598290598290607E-2</v>
      </c>
    </row>
    <row r="19" spans="1:34" x14ac:dyDescent="0.25">
      <c r="A19" t="s">
        <v>119</v>
      </c>
      <c r="B19" t="str">
        <f>INDEX([1]!town_population[Regional Planning Commission],MATCH(town_establishments[[#This Row],[Municipality]],[1]!town_population[Municipality],0))</f>
        <v>Addison County Regional Planning Commission</v>
      </c>
      <c r="C19">
        <v>7</v>
      </c>
      <c r="E19">
        <v>1</v>
      </c>
      <c r="I19">
        <v>5</v>
      </c>
      <c r="L19">
        <v>1</v>
      </c>
      <c r="M19">
        <v>2</v>
      </c>
      <c r="O19">
        <v>2</v>
      </c>
      <c r="Q19">
        <f t="shared" si="0"/>
        <v>18</v>
      </c>
      <c r="R19" s="67">
        <f t="shared" si="1"/>
        <v>0.3888888888888889</v>
      </c>
      <c r="S19" s="67">
        <f t="shared" si="2"/>
        <v>0</v>
      </c>
      <c r="T19" s="67">
        <f t="shared" si="3"/>
        <v>5.5555555555555552E-2</v>
      </c>
      <c r="U19" s="67">
        <f t="shared" si="4"/>
        <v>0</v>
      </c>
      <c r="V19" s="67">
        <f t="shared" si="5"/>
        <v>0</v>
      </c>
      <c r="W19" s="67">
        <f t="shared" si="6"/>
        <v>0</v>
      </c>
      <c r="X19" s="67">
        <f t="shared" si="7"/>
        <v>0.27777777777777779</v>
      </c>
      <c r="Y19" s="67">
        <f t="shared" si="8"/>
        <v>0</v>
      </c>
      <c r="Z19" s="67">
        <f t="shared" si="9"/>
        <v>0</v>
      </c>
      <c r="AA19" s="67">
        <f t="shared" si="10"/>
        <v>5.5555555555555552E-2</v>
      </c>
      <c r="AB19" s="67">
        <f t="shared" si="11"/>
        <v>0.1111111111111111</v>
      </c>
      <c r="AC19" s="67">
        <f t="shared" si="12"/>
        <v>0</v>
      </c>
      <c r="AD19" s="67">
        <f t="shared" si="13"/>
        <v>0.1111111111111111</v>
      </c>
      <c r="AE19" s="67">
        <f t="shared" si="14"/>
        <v>0</v>
      </c>
      <c r="AF19" s="67">
        <f t="shared" si="15"/>
        <v>9.4527885726289253E-4</v>
      </c>
      <c r="AG19" s="67">
        <f>town_establishments[[#This Row],[share of state establishments]]/($AF$250-$AF$249)</f>
        <v>9.7778260633385851E-4</v>
      </c>
      <c r="AH19" s="67">
        <f>town_establishments[[#This Row],[share of state establishments (no residual)]]/(INDEX(regional_establishments[share of state establishments],MATCH(town_establishments[[#This Row],[Regional Planning Commission]],regional_establishments[Regional Planning Commission],0)))</f>
        <v>1.9230769230769235E-2</v>
      </c>
    </row>
    <row r="20" spans="1:34" x14ac:dyDescent="0.25">
      <c r="A20" t="s">
        <v>120</v>
      </c>
      <c r="B20" t="str">
        <f>INDEX([1]!town_population[Regional Planning Commission],MATCH(town_establishments[[#This Row],[Municipality]],[1]!town_population[Municipality],0))</f>
        <v>Addison County Regional Planning Commission</v>
      </c>
      <c r="C20">
        <v>9</v>
      </c>
      <c r="D20">
        <v>23</v>
      </c>
      <c r="E20">
        <v>2</v>
      </c>
      <c r="F20">
        <v>2</v>
      </c>
      <c r="G20">
        <v>8</v>
      </c>
      <c r="H20">
        <v>7</v>
      </c>
      <c r="I20">
        <v>23</v>
      </c>
      <c r="K20">
        <v>6</v>
      </c>
      <c r="L20">
        <v>3</v>
      </c>
      <c r="M20">
        <v>16</v>
      </c>
      <c r="O20">
        <v>12</v>
      </c>
      <c r="P20">
        <v>11</v>
      </c>
      <c r="Q20">
        <f t="shared" si="0"/>
        <v>122</v>
      </c>
      <c r="R20" s="67">
        <f t="shared" si="1"/>
        <v>7.3770491803278687E-2</v>
      </c>
      <c r="S20" s="67">
        <f t="shared" si="2"/>
        <v>0.18852459016393441</v>
      </c>
      <c r="T20" s="67">
        <f t="shared" si="3"/>
        <v>1.6393442622950821E-2</v>
      </c>
      <c r="U20" s="67">
        <f t="shared" si="4"/>
        <v>1.6393442622950821E-2</v>
      </c>
      <c r="V20" s="67">
        <f t="shared" si="5"/>
        <v>6.5573770491803282E-2</v>
      </c>
      <c r="W20" s="67">
        <f t="shared" si="6"/>
        <v>5.737704918032787E-2</v>
      </c>
      <c r="X20" s="67">
        <f t="shared" si="7"/>
        <v>0.18852459016393441</v>
      </c>
      <c r="Y20" s="67">
        <f t="shared" si="8"/>
        <v>0</v>
      </c>
      <c r="Z20" s="67">
        <f t="shared" si="9"/>
        <v>4.9180327868852458E-2</v>
      </c>
      <c r="AA20" s="67">
        <f t="shared" si="10"/>
        <v>2.4590163934426229E-2</v>
      </c>
      <c r="AB20" s="67">
        <f t="shared" si="11"/>
        <v>0.13114754098360656</v>
      </c>
      <c r="AC20" s="67">
        <f t="shared" si="12"/>
        <v>0</v>
      </c>
      <c r="AD20" s="67">
        <f t="shared" si="13"/>
        <v>9.8360655737704916E-2</v>
      </c>
      <c r="AE20" s="67">
        <f t="shared" si="14"/>
        <v>9.0163934426229511E-2</v>
      </c>
      <c r="AF20" s="67">
        <f t="shared" si="15"/>
        <v>6.4068900325596053E-3</v>
      </c>
      <c r="AG20" s="67">
        <f>town_establishments[[#This Row],[share of state establishments]]/($AF$250-$AF$249)</f>
        <v>6.6271932207072632E-3</v>
      </c>
      <c r="AH20" s="67">
        <f>town_establishments[[#This Row],[share of state establishments (no residual)]]/(INDEX(regional_establishments[share of state establishments],MATCH(town_establishments[[#This Row],[Regional Planning Commission]],regional_establishments[Regional Planning Commission],0)))</f>
        <v>0.13034188034188035</v>
      </c>
    </row>
    <row r="21" spans="1:34" x14ac:dyDescent="0.25">
      <c r="A21" t="s">
        <v>121</v>
      </c>
      <c r="B21" t="str">
        <f>INDEX([1]!town_population[Regional Planning Commission],MATCH(town_establishments[[#This Row],[Municipality]],[1]!town_population[Municipality],0))</f>
        <v>Addison County Regional Planning Commission</v>
      </c>
      <c r="I21">
        <v>4</v>
      </c>
      <c r="P21">
        <v>2</v>
      </c>
      <c r="Q21">
        <f t="shared" si="0"/>
        <v>6</v>
      </c>
      <c r="R21" s="67">
        <f t="shared" si="1"/>
        <v>0</v>
      </c>
      <c r="S21" s="67">
        <f t="shared" si="2"/>
        <v>0</v>
      </c>
      <c r="T21" s="67">
        <f t="shared" si="3"/>
        <v>0</v>
      </c>
      <c r="U21" s="67">
        <f t="shared" si="4"/>
        <v>0</v>
      </c>
      <c r="V21" s="67">
        <f t="shared" si="5"/>
        <v>0</v>
      </c>
      <c r="W21" s="67">
        <f t="shared" si="6"/>
        <v>0</v>
      </c>
      <c r="X21" s="67">
        <f t="shared" si="7"/>
        <v>0.66666666666666663</v>
      </c>
      <c r="Y21" s="67">
        <f t="shared" si="8"/>
        <v>0</v>
      </c>
      <c r="Z21" s="67">
        <f t="shared" si="9"/>
        <v>0</v>
      </c>
      <c r="AA21" s="67">
        <f t="shared" si="10"/>
        <v>0</v>
      </c>
      <c r="AB21" s="67">
        <f t="shared" si="11"/>
        <v>0</v>
      </c>
      <c r="AC21" s="67">
        <f t="shared" si="12"/>
        <v>0</v>
      </c>
      <c r="AD21" s="67">
        <f t="shared" si="13"/>
        <v>0</v>
      </c>
      <c r="AE21" s="67">
        <f t="shared" si="14"/>
        <v>0.33333333333333331</v>
      </c>
      <c r="AF21" s="67">
        <f t="shared" si="15"/>
        <v>3.150929524209642E-4</v>
      </c>
      <c r="AG21" s="67">
        <f>town_establishments[[#This Row],[share of state establishments]]/($AF$250-$AF$249)</f>
        <v>3.2592753544461947E-4</v>
      </c>
      <c r="AH21" s="67">
        <f>town_establishments[[#This Row],[share of state establishments (no residual)]]/(INDEX(regional_establishments[share of state establishments],MATCH(town_establishments[[#This Row],[Regional Planning Commission]],regional_establishments[Regional Planning Commission],0)))</f>
        <v>6.4102564102564109E-3</v>
      </c>
    </row>
    <row r="22" spans="1:34" x14ac:dyDescent="0.25">
      <c r="A22" t="s">
        <v>122</v>
      </c>
      <c r="B22" t="str">
        <f>INDEX([1]!town_population[Regional Planning Commission],MATCH(town_establishments[[#This Row],[Municipality]],[1]!town_population[Municipality],0))</f>
        <v>Addison County Regional Planning Commission</v>
      </c>
      <c r="C22">
        <v>0</v>
      </c>
      <c r="I22">
        <v>1</v>
      </c>
      <c r="K22">
        <v>3</v>
      </c>
      <c r="L22">
        <v>1</v>
      </c>
      <c r="P22">
        <v>4</v>
      </c>
      <c r="Q22">
        <f t="shared" si="0"/>
        <v>9</v>
      </c>
      <c r="R22" s="67">
        <f t="shared" si="1"/>
        <v>0</v>
      </c>
      <c r="S22" s="67">
        <f t="shared" si="2"/>
        <v>0</v>
      </c>
      <c r="T22" s="67">
        <f t="shared" si="3"/>
        <v>0</v>
      </c>
      <c r="U22" s="67">
        <f t="shared" si="4"/>
        <v>0</v>
      </c>
      <c r="V22" s="67">
        <f t="shared" si="5"/>
        <v>0</v>
      </c>
      <c r="W22" s="67">
        <f t="shared" si="6"/>
        <v>0</v>
      </c>
      <c r="X22" s="67">
        <f t="shared" si="7"/>
        <v>0.1111111111111111</v>
      </c>
      <c r="Y22" s="67">
        <f t="shared" si="8"/>
        <v>0</v>
      </c>
      <c r="Z22" s="67">
        <f t="shared" si="9"/>
        <v>0.33333333333333331</v>
      </c>
      <c r="AA22" s="67">
        <f t="shared" si="10"/>
        <v>0.1111111111111111</v>
      </c>
      <c r="AB22" s="67">
        <f t="shared" si="11"/>
        <v>0</v>
      </c>
      <c r="AC22" s="67">
        <f t="shared" si="12"/>
        <v>0</v>
      </c>
      <c r="AD22" s="67">
        <f t="shared" si="13"/>
        <v>0</v>
      </c>
      <c r="AE22" s="67">
        <f t="shared" si="14"/>
        <v>0.44444444444444442</v>
      </c>
      <c r="AF22" s="67">
        <f t="shared" si="15"/>
        <v>4.7263942863144627E-4</v>
      </c>
      <c r="AG22" s="67">
        <f>town_establishments[[#This Row],[share of state establishments]]/($AF$250-$AF$249)</f>
        <v>4.8889130316692926E-4</v>
      </c>
      <c r="AH22" s="67">
        <f>town_establishments[[#This Row],[share of state establishments (no residual)]]/(INDEX(regional_establishments[share of state establishments],MATCH(town_establishments[[#This Row],[Regional Planning Commission]],regional_establishments[Regional Planning Commission],0)))</f>
        <v>9.6153846153846177E-3</v>
      </c>
    </row>
    <row r="23" spans="1:34" x14ac:dyDescent="0.25">
      <c r="A23" t="s">
        <v>123</v>
      </c>
      <c r="B23" t="str">
        <f>INDEX([1]!town_population[Regional Planning Commission],MATCH(town_establishments[[#This Row],[Municipality]],[1]!town_population[Municipality],0))</f>
        <v>Addison County Regional Planning Commission</v>
      </c>
      <c r="C23">
        <v>1</v>
      </c>
      <c r="D23">
        <v>0</v>
      </c>
      <c r="E23">
        <v>1</v>
      </c>
      <c r="G23">
        <v>1</v>
      </c>
      <c r="I23">
        <v>1</v>
      </c>
      <c r="K23">
        <v>1</v>
      </c>
      <c r="L23">
        <v>1</v>
      </c>
      <c r="P23">
        <v>2</v>
      </c>
      <c r="Q23">
        <f t="shared" si="0"/>
        <v>8</v>
      </c>
      <c r="R23" s="67">
        <f t="shared" si="1"/>
        <v>0.125</v>
      </c>
      <c r="S23" s="67">
        <f t="shared" si="2"/>
        <v>0</v>
      </c>
      <c r="T23" s="67">
        <f t="shared" si="3"/>
        <v>0.125</v>
      </c>
      <c r="U23" s="67">
        <f t="shared" si="4"/>
        <v>0</v>
      </c>
      <c r="V23" s="67">
        <f t="shared" si="5"/>
        <v>0.125</v>
      </c>
      <c r="W23" s="67">
        <f t="shared" si="6"/>
        <v>0</v>
      </c>
      <c r="X23" s="67">
        <f t="shared" si="7"/>
        <v>0.125</v>
      </c>
      <c r="Y23" s="67">
        <f t="shared" si="8"/>
        <v>0</v>
      </c>
      <c r="Z23" s="67">
        <f t="shared" si="9"/>
        <v>0.125</v>
      </c>
      <c r="AA23" s="67">
        <f t="shared" si="10"/>
        <v>0.125</v>
      </c>
      <c r="AB23" s="67">
        <f t="shared" si="11"/>
        <v>0</v>
      </c>
      <c r="AC23" s="67">
        <f t="shared" si="12"/>
        <v>0</v>
      </c>
      <c r="AD23" s="67">
        <f t="shared" si="13"/>
        <v>0</v>
      </c>
      <c r="AE23" s="67">
        <f t="shared" si="14"/>
        <v>0.25</v>
      </c>
      <c r="AF23" s="67">
        <f t="shared" si="15"/>
        <v>4.2012393656128556E-4</v>
      </c>
      <c r="AG23" s="67">
        <f>town_establishments[[#This Row],[share of state establishments]]/($AF$250-$AF$249)</f>
        <v>4.3457004725949261E-4</v>
      </c>
      <c r="AH23" s="67">
        <f>town_establishments[[#This Row],[share of state establishments (no residual)]]/(INDEX(regional_establishments[share of state establishments],MATCH(town_establishments[[#This Row],[Regional Planning Commission]],regional_establishments[Regional Planning Commission],0)))</f>
        <v>8.5470085470085479E-3</v>
      </c>
    </row>
    <row r="24" spans="1:34" x14ac:dyDescent="0.25">
      <c r="A24" t="s">
        <v>124</v>
      </c>
      <c r="B24" t="str">
        <f>INDEX([1]!town_population[Regional Planning Commission],MATCH(town_establishments[[#This Row],[Municipality]],[1]!town_population[Municipality],0))</f>
        <v>Bennington County Regional Commission</v>
      </c>
      <c r="C24">
        <v>6</v>
      </c>
      <c r="D24">
        <v>12</v>
      </c>
      <c r="E24">
        <v>3</v>
      </c>
      <c r="F24">
        <v>1</v>
      </c>
      <c r="G24">
        <v>2</v>
      </c>
      <c r="H24">
        <v>5</v>
      </c>
      <c r="I24">
        <v>15</v>
      </c>
      <c r="K24">
        <v>9</v>
      </c>
      <c r="L24">
        <v>2</v>
      </c>
      <c r="M24">
        <v>5</v>
      </c>
      <c r="N24">
        <v>1</v>
      </c>
      <c r="O24">
        <v>10</v>
      </c>
      <c r="P24">
        <v>5</v>
      </c>
      <c r="Q24">
        <f t="shared" si="0"/>
        <v>76</v>
      </c>
      <c r="R24" s="67">
        <f t="shared" si="1"/>
        <v>7.8947368421052627E-2</v>
      </c>
      <c r="S24" s="67">
        <f t="shared" si="2"/>
        <v>0.15789473684210525</v>
      </c>
      <c r="T24" s="67">
        <f t="shared" si="3"/>
        <v>3.9473684210526314E-2</v>
      </c>
      <c r="U24" s="67">
        <f t="shared" si="4"/>
        <v>1.3157894736842105E-2</v>
      </c>
      <c r="V24" s="67">
        <f t="shared" si="5"/>
        <v>2.6315789473684209E-2</v>
      </c>
      <c r="W24" s="67">
        <f t="shared" si="6"/>
        <v>6.5789473684210523E-2</v>
      </c>
      <c r="X24" s="67">
        <f t="shared" si="7"/>
        <v>0.19736842105263158</v>
      </c>
      <c r="Y24" s="67">
        <f t="shared" si="8"/>
        <v>0</v>
      </c>
      <c r="Z24" s="67">
        <f t="shared" si="9"/>
        <v>0.11842105263157894</v>
      </c>
      <c r="AA24" s="67">
        <f t="shared" si="10"/>
        <v>2.6315789473684209E-2</v>
      </c>
      <c r="AB24" s="67">
        <f t="shared" si="11"/>
        <v>6.5789473684210523E-2</v>
      </c>
      <c r="AC24" s="67">
        <f t="shared" si="12"/>
        <v>1.3157894736842105E-2</v>
      </c>
      <c r="AD24" s="67">
        <f t="shared" si="13"/>
        <v>0.13157894736842105</v>
      </c>
      <c r="AE24" s="67">
        <f t="shared" si="14"/>
        <v>6.5789473684210523E-2</v>
      </c>
      <c r="AF24" s="67">
        <f t="shared" si="15"/>
        <v>3.9911773973322134E-3</v>
      </c>
      <c r="AG24" s="67">
        <f>town_establishments[[#This Row],[share of state establishments]]/($AF$250-$AF$249)</f>
        <v>4.1284154489651809E-3</v>
      </c>
      <c r="AH24" s="67">
        <f>town_establishments[[#This Row],[share of state establishments (no residual)]]/(INDEX(regional_establishments[share of state establishments],MATCH(town_establishments[[#This Row],[Regional Planning Commission]],regional_establishments[Regional Planning Commission],0)))</f>
        <v>6.6259808195292064E-2</v>
      </c>
    </row>
    <row r="25" spans="1:34" x14ac:dyDescent="0.25">
      <c r="A25" t="s">
        <v>125</v>
      </c>
      <c r="B25" t="str">
        <f>INDEX([1]!town_population[Regional Planning Commission],MATCH(town_establishments[[#This Row],[Municipality]],[1]!town_population[Municipality],0))</f>
        <v>Bennington County Regional Commission</v>
      </c>
      <c r="C25">
        <v>21</v>
      </c>
      <c r="D25">
        <v>105</v>
      </c>
      <c r="E25">
        <v>11</v>
      </c>
      <c r="F25">
        <v>17</v>
      </c>
      <c r="G25">
        <v>25</v>
      </c>
      <c r="H25">
        <v>14</v>
      </c>
      <c r="I25">
        <v>52</v>
      </c>
      <c r="J25">
        <v>1</v>
      </c>
      <c r="K25">
        <v>37</v>
      </c>
      <c r="L25">
        <v>11</v>
      </c>
      <c r="M25">
        <v>81</v>
      </c>
      <c r="N25">
        <v>10</v>
      </c>
      <c r="O25">
        <v>51</v>
      </c>
      <c r="P25">
        <v>43</v>
      </c>
      <c r="Q25">
        <f t="shared" si="0"/>
        <v>479</v>
      </c>
      <c r="R25" s="67">
        <f t="shared" si="1"/>
        <v>4.3841336116910233E-2</v>
      </c>
      <c r="S25" s="67">
        <f t="shared" si="2"/>
        <v>0.21920668058455114</v>
      </c>
      <c r="T25" s="67">
        <f t="shared" si="3"/>
        <v>2.2964509394572025E-2</v>
      </c>
      <c r="U25" s="67">
        <f t="shared" si="4"/>
        <v>3.5490605427974949E-2</v>
      </c>
      <c r="V25" s="67">
        <f t="shared" si="5"/>
        <v>5.2192066805845511E-2</v>
      </c>
      <c r="W25" s="67">
        <f t="shared" si="6"/>
        <v>2.9227557411273485E-2</v>
      </c>
      <c r="X25" s="67">
        <f t="shared" si="7"/>
        <v>0.10855949895615867</v>
      </c>
      <c r="Y25" s="67">
        <f t="shared" si="8"/>
        <v>2.0876826722338203E-3</v>
      </c>
      <c r="Z25" s="67">
        <f t="shared" si="9"/>
        <v>7.724425887265135E-2</v>
      </c>
      <c r="AA25" s="67">
        <f t="shared" si="10"/>
        <v>2.2964509394572025E-2</v>
      </c>
      <c r="AB25" s="67">
        <f t="shared" si="11"/>
        <v>0.16910229645093947</v>
      </c>
      <c r="AC25" s="67">
        <f t="shared" si="12"/>
        <v>2.0876826722338204E-2</v>
      </c>
      <c r="AD25" s="67">
        <f t="shared" si="13"/>
        <v>0.10647181628392484</v>
      </c>
      <c r="AE25" s="67">
        <f t="shared" si="14"/>
        <v>8.9770354906054284E-2</v>
      </c>
      <c r="AF25" s="67">
        <f t="shared" si="15"/>
        <v>2.5154920701606975E-2</v>
      </c>
      <c r="AG25" s="67">
        <f>town_establishments[[#This Row],[share of state establishments]]/($AF$250-$AF$249)</f>
        <v>2.6019881579662122E-2</v>
      </c>
      <c r="AH25" s="67">
        <f>town_establishments[[#This Row],[share of state establishments (no residual)]]/(INDEX(regional_establishments[share of state establishments],MATCH(town_establishments[[#This Row],[Regional Planning Commission]],regional_establishments[Regional Planning Commission],0)))</f>
        <v>0.4176111595466433</v>
      </c>
    </row>
    <row r="26" spans="1:34" x14ac:dyDescent="0.25">
      <c r="A26" t="s">
        <v>126</v>
      </c>
      <c r="B26" t="str">
        <f>INDEX([1]!town_population[Regional Planning Commission],MATCH(town_establishments[[#This Row],[Municipality]],[1]!town_population[Municipality],0))</f>
        <v>Bennington County Regional Commission</v>
      </c>
      <c r="C26">
        <v>5</v>
      </c>
      <c r="D26">
        <v>5</v>
      </c>
      <c r="E26">
        <v>2</v>
      </c>
      <c r="F26">
        <v>3</v>
      </c>
      <c r="G26">
        <v>6</v>
      </c>
      <c r="H26">
        <v>3</v>
      </c>
      <c r="I26">
        <v>16</v>
      </c>
      <c r="J26">
        <v>1</v>
      </c>
      <c r="K26">
        <v>5</v>
      </c>
      <c r="L26">
        <v>3</v>
      </c>
      <c r="M26">
        <v>3</v>
      </c>
      <c r="N26">
        <v>3</v>
      </c>
      <c r="O26">
        <v>10</v>
      </c>
      <c r="P26">
        <v>7</v>
      </c>
      <c r="Q26">
        <f t="shared" si="0"/>
        <v>72</v>
      </c>
      <c r="R26" s="67">
        <f t="shared" si="1"/>
        <v>6.9444444444444448E-2</v>
      </c>
      <c r="S26" s="67">
        <f t="shared" si="2"/>
        <v>6.9444444444444448E-2</v>
      </c>
      <c r="T26" s="67">
        <f t="shared" si="3"/>
        <v>2.7777777777777776E-2</v>
      </c>
      <c r="U26" s="67">
        <f t="shared" si="4"/>
        <v>4.1666666666666664E-2</v>
      </c>
      <c r="V26" s="67">
        <f t="shared" si="5"/>
        <v>8.3333333333333329E-2</v>
      </c>
      <c r="W26" s="67">
        <f t="shared" si="6"/>
        <v>4.1666666666666664E-2</v>
      </c>
      <c r="X26" s="67">
        <f t="shared" si="7"/>
        <v>0.22222222222222221</v>
      </c>
      <c r="Y26" s="67">
        <f t="shared" si="8"/>
        <v>1.3888888888888888E-2</v>
      </c>
      <c r="Z26" s="67">
        <f t="shared" si="9"/>
        <v>6.9444444444444448E-2</v>
      </c>
      <c r="AA26" s="67">
        <f t="shared" si="10"/>
        <v>4.1666666666666664E-2</v>
      </c>
      <c r="AB26" s="67">
        <f t="shared" si="11"/>
        <v>4.1666666666666664E-2</v>
      </c>
      <c r="AC26" s="67">
        <f t="shared" si="12"/>
        <v>4.1666666666666664E-2</v>
      </c>
      <c r="AD26" s="67">
        <f t="shared" si="13"/>
        <v>0.1388888888888889</v>
      </c>
      <c r="AE26" s="67">
        <f t="shared" si="14"/>
        <v>9.7222222222222224E-2</v>
      </c>
      <c r="AF26" s="67">
        <f t="shared" si="15"/>
        <v>3.7811154290515701E-3</v>
      </c>
      <c r="AG26" s="67">
        <f>town_establishments[[#This Row],[share of state establishments]]/($AF$250-$AF$249)</f>
        <v>3.911130425335434E-3</v>
      </c>
      <c r="AH26" s="67">
        <f>town_establishments[[#This Row],[share of state establishments (no residual)]]/(INDEX(regional_establishments[share of state establishments],MATCH(town_establishments[[#This Row],[Regional Planning Commission]],regional_establishments[Regional Planning Commission],0)))</f>
        <v>6.2772449869224048E-2</v>
      </c>
    </row>
    <row r="27" spans="1:34" x14ac:dyDescent="0.25">
      <c r="A27" t="s">
        <v>127</v>
      </c>
      <c r="B27" t="str">
        <f>INDEX([1]!town_population[Regional Planning Commission],MATCH(town_establishments[[#This Row],[Municipality]],[1]!town_population[Municipality],0))</f>
        <v>Bennington County Regional Commission</v>
      </c>
      <c r="D27">
        <v>1</v>
      </c>
      <c r="G27">
        <v>1</v>
      </c>
      <c r="I27">
        <v>1</v>
      </c>
      <c r="K27">
        <v>1</v>
      </c>
      <c r="O27">
        <v>1</v>
      </c>
      <c r="P27">
        <v>1</v>
      </c>
      <c r="Q27">
        <f t="shared" si="0"/>
        <v>6</v>
      </c>
      <c r="R27" s="67">
        <f t="shared" si="1"/>
        <v>0</v>
      </c>
      <c r="S27" s="67">
        <f t="shared" si="2"/>
        <v>0.16666666666666666</v>
      </c>
      <c r="T27" s="67">
        <f t="shared" si="3"/>
        <v>0</v>
      </c>
      <c r="U27" s="67">
        <f t="shared" si="4"/>
        <v>0</v>
      </c>
      <c r="V27" s="67">
        <f t="shared" si="5"/>
        <v>0.16666666666666666</v>
      </c>
      <c r="W27" s="67">
        <f t="shared" si="6"/>
        <v>0</v>
      </c>
      <c r="X27" s="67">
        <f t="shared" si="7"/>
        <v>0.16666666666666666</v>
      </c>
      <c r="Y27" s="67">
        <f t="shared" si="8"/>
        <v>0</v>
      </c>
      <c r="Z27" s="67">
        <f t="shared" si="9"/>
        <v>0.16666666666666666</v>
      </c>
      <c r="AA27" s="67">
        <f t="shared" si="10"/>
        <v>0</v>
      </c>
      <c r="AB27" s="67">
        <f t="shared" si="11"/>
        <v>0</v>
      </c>
      <c r="AC27" s="67">
        <f t="shared" si="12"/>
        <v>0</v>
      </c>
      <c r="AD27" s="67">
        <f t="shared" si="13"/>
        <v>0.16666666666666666</v>
      </c>
      <c r="AE27" s="67">
        <f t="shared" si="14"/>
        <v>0.16666666666666666</v>
      </c>
      <c r="AF27" s="67">
        <f t="shared" si="15"/>
        <v>3.150929524209642E-4</v>
      </c>
      <c r="AG27" s="67">
        <f>town_establishments[[#This Row],[share of state establishments]]/($AF$250-$AF$249)</f>
        <v>3.2592753544461947E-4</v>
      </c>
      <c r="AH27" s="67">
        <f>town_establishments[[#This Row],[share of state establishments (no residual)]]/(INDEX(regional_establishments[share of state establishments],MATCH(town_establishments[[#This Row],[Regional Planning Commission]],regional_establishments[Regional Planning Commission],0)))</f>
        <v>5.2310374891020037E-3</v>
      </c>
    </row>
    <row r="28" spans="1:34" x14ac:dyDescent="0.25">
      <c r="A28" t="s">
        <v>128</v>
      </c>
      <c r="B28" t="str">
        <f>INDEX([1]!town_population[Regional Planning Commission],MATCH(town_establishments[[#This Row],[Municipality]],[1]!town_population[Municipality],0))</f>
        <v>Bennington County Regional Commission</v>
      </c>
      <c r="C28">
        <v>15</v>
      </c>
      <c r="D28">
        <v>93</v>
      </c>
      <c r="E28">
        <v>4</v>
      </c>
      <c r="F28">
        <v>7</v>
      </c>
      <c r="G28">
        <v>22</v>
      </c>
      <c r="H28">
        <v>18</v>
      </c>
      <c r="I28">
        <v>66</v>
      </c>
      <c r="J28">
        <v>3</v>
      </c>
      <c r="K28">
        <v>21</v>
      </c>
      <c r="L28">
        <v>7</v>
      </c>
      <c r="M28">
        <v>28</v>
      </c>
      <c r="N28">
        <v>13</v>
      </c>
      <c r="O28">
        <v>49</v>
      </c>
      <c r="P28">
        <v>31</v>
      </c>
      <c r="Q28">
        <f t="shared" si="0"/>
        <v>377</v>
      </c>
      <c r="R28" s="67">
        <f t="shared" si="1"/>
        <v>3.9787798408488062E-2</v>
      </c>
      <c r="S28" s="67">
        <f t="shared" si="2"/>
        <v>0.24668435013262599</v>
      </c>
      <c r="T28" s="67">
        <f t="shared" si="3"/>
        <v>1.0610079575596816E-2</v>
      </c>
      <c r="U28" s="67">
        <f t="shared" si="4"/>
        <v>1.8567639257294429E-2</v>
      </c>
      <c r="V28" s="67">
        <f t="shared" si="5"/>
        <v>5.8355437665782495E-2</v>
      </c>
      <c r="W28" s="67">
        <f t="shared" si="6"/>
        <v>4.7745358090185673E-2</v>
      </c>
      <c r="X28" s="67">
        <f t="shared" si="7"/>
        <v>0.17506631299734748</v>
      </c>
      <c r="Y28" s="67">
        <f t="shared" si="8"/>
        <v>7.9575596816976128E-3</v>
      </c>
      <c r="Z28" s="67">
        <f t="shared" si="9"/>
        <v>5.5702917771883291E-2</v>
      </c>
      <c r="AA28" s="67">
        <f t="shared" si="10"/>
        <v>1.8567639257294429E-2</v>
      </c>
      <c r="AB28" s="67">
        <f t="shared" si="11"/>
        <v>7.4270557029177717E-2</v>
      </c>
      <c r="AC28" s="67">
        <f t="shared" si="12"/>
        <v>3.4482758620689655E-2</v>
      </c>
      <c r="AD28" s="67">
        <f t="shared" si="13"/>
        <v>0.129973474801061</v>
      </c>
      <c r="AE28" s="67">
        <f t="shared" si="14"/>
        <v>8.2228116710875335E-2</v>
      </c>
      <c r="AF28" s="67">
        <f t="shared" si="15"/>
        <v>1.9798340510450582E-2</v>
      </c>
      <c r="AG28" s="67">
        <f>town_establishments[[#This Row],[share of state establishments]]/($AF$250-$AF$249)</f>
        <v>2.0479113477103589E-2</v>
      </c>
      <c r="AH28" s="67">
        <f>town_establishments[[#This Row],[share of state establishments (no residual)]]/(INDEX(regional_establishments[share of state establishments],MATCH(town_establishments[[#This Row],[Regional Planning Commission]],regional_establishments[Regional Planning Commission],0)))</f>
        <v>0.32868352223190922</v>
      </c>
    </row>
    <row r="29" spans="1:34" x14ac:dyDescent="0.25">
      <c r="A29" t="s">
        <v>129</v>
      </c>
      <c r="B29" t="str">
        <f>INDEX([1]!town_population[Regional Planning Commission],MATCH(town_establishments[[#This Row],[Municipality]],[1]!town_population[Municipality],0))</f>
        <v>Bennington County Regional Commission</v>
      </c>
      <c r="C29">
        <v>1</v>
      </c>
      <c r="D29">
        <v>3</v>
      </c>
      <c r="E29">
        <v>1</v>
      </c>
      <c r="I29">
        <v>2</v>
      </c>
      <c r="K29">
        <v>2</v>
      </c>
      <c r="N29">
        <v>3</v>
      </c>
      <c r="O29">
        <v>2</v>
      </c>
      <c r="P29">
        <v>2</v>
      </c>
      <c r="Q29">
        <f t="shared" si="0"/>
        <v>16</v>
      </c>
      <c r="R29" s="67">
        <f t="shared" si="1"/>
        <v>6.25E-2</v>
      </c>
      <c r="S29" s="67">
        <f t="shared" si="2"/>
        <v>0.1875</v>
      </c>
      <c r="T29" s="67">
        <f t="shared" si="3"/>
        <v>6.25E-2</v>
      </c>
      <c r="U29" s="67">
        <f t="shared" si="4"/>
        <v>0</v>
      </c>
      <c r="V29" s="67">
        <f t="shared" si="5"/>
        <v>0</v>
      </c>
      <c r="W29" s="67">
        <f t="shared" si="6"/>
        <v>0</v>
      </c>
      <c r="X29" s="67">
        <f t="shared" si="7"/>
        <v>0.125</v>
      </c>
      <c r="Y29" s="67">
        <f t="shared" si="8"/>
        <v>0</v>
      </c>
      <c r="Z29" s="67">
        <f t="shared" si="9"/>
        <v>0.125</v>
      </c>
      <c r="AA29" s="67">
        <f t="shared" si="10"/>
        <v>0</v>
      </c>
      <c r="AB29" s="67">
        <f t="shared" si="11"/>
        <v>0</v>
      </c>
      <c r="AC29" s="67">
        <f t="shared" si="12"/>
        <v>0.1875</v>
      </c>
      <c r="AD29" s="67">
        <f t="shared" si="13"/>
        <v>0.125</v>
      </c>
      <c r="AE29" s="67">
        <f t="shared" si="14"/>
        <v>0.125</v>
      </c>
      <c r="AF29" s="67">
        <f t="shared" si="15"/>
        <v>8.4024787312257112E-4</v>
      </c>
      <c r="AG29" s="67">
        <f>town_establishments[[#This Row],[share of state establishments]]/($AF$250-$AF$249)</f>
        <v>8.6914009451898521E-4</v>
      </c>
      <c r="AH29" s="67">
        <f>town_establishments[[#This Row],[share of state establishments (no residual)]]/(INDEX(regional_establishments[share of state establishments],MATCH(town_establishments[[#This Row],[Regional Planning Commission]],regional_establishments[Regional Planning Commission],0)))</f>
        <v>1.3949433304272009E-2</v>
      </c>
    </row>
    <row r="30" spans="1:34" x14ac:dyDescent="0.25">
      <c r="A30" t="s">
        <v>130</v>
      </c>
      <c r="B30" t="str">
        <f>INDEX([1]!town_population[Regional Planning Commission],MATCH(town_establishments[[#This Row],[Municipality]],[1]!town_population[Municipality],0))</f>
        <v>Bennington County Regional Commission</v>
      </c>
      <c r="C30">
        <v>1</v>
      </c>
      <c r="D30">
        <v>7</v>
      </c>
      <c r="E30">
        <v>2</v>
      </c>
      <c r="F30">
        <v>1</v>
      </c>
      <c r="I30">
        <v>3</v>
      </c>
      <c r="K30">
        <v>6</v>
      </c>
      <c r="L30">
        <v>1</v>
      </c>
      <c r="M30">
        <v>1</v>
      </c>
      <c r="P30">
        <v>2</v>
      </c>
      <c r="Q30">
        <f t="shared" si="0"/>
        <v>24</v>
      </c>
      <c r="R30" s="67">
        <f t="shared" si="1"/>
        <v>4.1666666666666664E-2</v>
      </c>
      <c r="S30" s="67">
        <f t="shared" si="2"/>
        <v>0.29166666666666669</v>
      </c>
      <c r="T30" s="67">
        <f t="shared" si="3"/>
        <v>8.3333333333333329E-2</v>
      </c>
      <c r="U30" s="67">
        <f t="shared" si="4"/>
        <v>4.1666666666666664E-2</v>
      </c>
      <c r="V30" s="67">
        <f t="shared" si="5"/>
        <v>0</v>
      </c>
      <c r="W30" s="67">
        <f t="shared" si="6"/>
        <v>0</v>
      </c>
      <c r="X30" s="67">
        <f t="shared" si="7"/>
        <v>0.125</v>
      </c>
      <c r="Y30" s="67">
        <f t="shared" si="8"/>
        <v>0</v>
      </c>
      <c r="Z30" s="67">
        <f t="shared" si="9"/>
        <v>0.25</v>
      </c>
      <c r="AA30" s="67">
        <f t="shared" si="10"/>
        <v>4.1666666666666664E-2</v>
      </c>
      <c r="AB30" s="67">
        <f t="shared" si="11"/>
        <v>4.1666666666666664E-2</v>
      </c>
      <c r="AC30" s="67">
        <f t="shared" si="12"/>
        <v>0</v>
      </c>
      <c r="AD30" s="67">
        <f t="shared" si="13"/>
        <v>0</v>
      </c>
      <c r="AE30" s="67">
        <f t="shared" si="14"/>
        <v>8.3333333333333329E-2</v>
      </c>
      <c r="AF30" s="67">
        <f t="shared" si="15"/>
        <v>1.2603718096838568E-3</v>
      </c>
      <c r="AG30" s="67">
        <f>town_establishments[[#This Row],[share of state establishments]]/($AF$250-$AF$249)</f>
        <v>1.3037101417784779E-3</v>
      </c>
      <c r="AH30" s="67">
        <f>town_establishments[[#This Row],[share of state establishments (no residual)]]/(INDEX(regional_establishments[share of state establishments],MATCH(town_establishments[[#This Row],[Regional Planning Commission]],regional_establishments[Regional Planning Commission],0)))</f>
        <v>2.0924149956408015E-2</v>
      </c>
    </row>
    <row r="31" spans="1:34" x14ac:dyDescent="0.25">
      <c r="A31" t="s">
        <v>131</v>
      </c>
      <c r="B31" t="str">
        <f>INDEX([1]!town_population[Regional Planning Commission],MATCH(town_establishments[[#This Row],[Municipality]],[1]!town_population[Municipality],0))</f>
        <v>Bennington County Regional Commission</v>
      </c>
      <c r="E31">
        <v>2</v>
      </c>
      <c r="I31">
        <v>3</v>
      </c>
      <c r="K31">
        <v>4</v>
      </c>
      <c r="M31">
        <v>1</v>
      </c>
      <c r="N31">
        <v>1</v>
      </c>
      <c r="P31">
        <v>3</v>
      </c>
      <c r="Q31">
        <f t="shared" si="0"/>
        <v>14</v>
      </c>
      <c r="R31" s="67">
        <f t="shared" si="1"/>
        <v>0</v>
      </c>
      <c r="S31" s="67">
        <f t="shared" si="2"/>
        <v>0</v>
      </c>
      <c r="T31" s="67">
        <f t="shared" si="3"/>
        <v>0.14285714285714285</v>
      </c>
      <c r="U31" s="67">
        <f t="shared" si="4"/>
        <v>0</v>
      </c>
      <c r="V31" s="67">
        <f t="shared" si="5"/>
        <v>0</v>
      </c>
      <c r="W31" s="67">
        <f t="shared" si="6"/>
        <v>0</v>
      </c>
      <c r="X31" s="67">
        <f t="shared" si="7"/>
        <v>0.21428571428571427</v>
      </c>
      <c r="Y31" s="67">
        <f t="shared" si="8"/>
        <v>0</v>
      </c>
      <c r="Z31" s="67">
        <f t="shared" si="9"/>
        <v>0.2857142857142857</v>
      </c>
      <c r="AA31" s="67">
        <f t="shared" si="10"/>
        <v>0</v>
      </c>
      <c r="AB31" s="67">
        <f t="shared" si="11"/>
        <v>7.1428571428571425E-2</v>
      </c>
      <c r="AC31" s="67">
        <f t="shared" si="12"/>
        <v>7.1428571428571425E-2</v>
      </c>
      <c r="AD31" s="67">
        <f t="shared" si="13"/>
        <v>0</v>
      </c>
      <c r="AE31" s="67">
        <f t="shared" si="14"/>
        <v>0.21428571428571427</v>
      </c>
      <c r="AF31" s="67">
        <f t="shared" si="15"/>
        <v>7.3521688898224981E-4</v>
      </c>
      <c r="AG31" s="67">
        <f>town_establishments[[#This Row],[share of state establishments]]/($AF$250-$AF$249)</f>
        <v>7.6049758270411213E-4</v>
      </c>
      <c r="AH31" s="67">
        <f>town_establishments[[#This Row],[share of state establishments (no residual)]]/(INDEX(regional_establishments[share of state establishments],MATCH(town_establishments[[#This Row],[Regional Planning Commission]],regional_establishments[Regional Planning Commission],0)))</f>
        <v>1.220575414123801E-2</v>
      </c>
    </row>
    <row r="32" spans="1:34" x14ac:dyDescent="0.25">
      <c r="A32" t="s">
        <v>132</v>
      </c>
      <c r="B32" t="str">
        <f>INDEX([1]!town_population[Regional Planning Commission],MATCH(town_establishments[[#This Row],[Municipality]],[1]!town_population[Municipality],0))</f>
        <v>Bennington County Regional Commission</v>
      </c>
      <c r="D32">
        <v>1</v>
      </c>
      <c r="I32">
        <v>1</v>
      </c>
      <c r="P32">
        <v>1</v>
      </c>
      <c r="Q32">
        <f t="shared" si="0"/>
        <v>3</v>
      </c>
      <c r="R32" s="67">
        <f t="shared" si="1"/>
        <v>0</v>
      </c>
      <c r="S32" s="67">
        <f t="shared" si="2"/>
        <v>0.33333333333333331</v>
      </c>
      <c r="T32" s="67">
        <f t="shared" si="3"/>
        <v>0</v>
      </c>
      <c r="U32" s="67">
        <f t="shared" si="4"/>
        <v>0</v>
      </c>
      <c r="V32" s="67">
        <f t="shared" si="5"/>
        <v>0</v>
      </c>
      <c r="W32" s="67">
        <f t="shared" si="6"/>
        <v>0</v>
      </c>
      <c r="X32" s="67">
        <f t="shared" si="7"/>
        <v>0.33333333333333331</v>
      </c>
      <c r="Y32" s="67">
        <f t="shared" si="8"/>
        <v>0</v>
      </c>
      <c r="Z32" s="67">
        <f t="shared" si="9"/>
        <v>0</v>
      </c>
      <c r="AA32" s="67">
        <f t="shared" si="10"/>
        <v>0</v>
      </c>
      <c r="AB32" s="67">
        <f t="shared" si="11"/>
        <v>0</v>
      </c>
      <c r="AC32" s="67">
        <f t="shared" si="12"/>
        <v>0</v>
      </c>
      <c r="AD32" s="67">
        <f t="shared" si="13"/>
        <v>0</v>
      </c>
      <c r="AE32" s="67">
        <f t="shared" si="14"/>
        <v>0.33333333333333331</v>
      </c>
      <c r="AF32" s="67">
        <f t="shared" si="15"/>
        <v>1.575464762104821E-4</v>
      </c>
      <c r="AG32" s="67">
        <f>town_establishments[[#This Row],[share of state establishments]]/($AF$250-$AF$249)</f>
        <v>1.6296376772230973E-4</v>
      </c>
      <c r="AH32" s="67">
        <f>town_establishments[[#This Row],[share of state establishments (no residual)]]/(INDEX(regional_establishments[share of state establishments],MATCH(town_establishments[[#This Row],[Regional Planning Commission]],regional_establishments[Regional Planning Commission],0)))</f>
        <v>2.6155187445510019E-3</v>
      </c>
    </row>
    <row r="33" spans="1:34" x14ac:dyDescent="0.25">
      <c r="A33" t="s">
        <v>133</v>
      </c>
      <c r="B33" t="str">
        <f>INDEX([1]!town_population[Regional Planning Commission],MATCH(town_establishments[[#This Row],[Municipality]],[1]!town_population[Municipality],0))</f>
        <v>Bennington County Regional Commission</v>
      </c>
      <c r="C33">
        <v>4</v>
      </c>
      <c r="D33">
        <v>3</v>
      </c>
      <c r="E33">
        <v>1</v>
      </c>
      <c r="G33">
        <v>1</v>
      </c>
      <c r="I33">
        <v>11</v>
      </c>
      <c r="K33">
        <v>6</v>
      </c>
      <c r="L33">
        <v>1</v>
      </c>
      <c r="M33">
        <v>4</v>
      </c>
      <c r="O33">
        <v>2</v>
      </c>
      <c r="P33">
        <v>8</v>
      </c>
      <c r="Q33">
        <f t="shared" si="0"/>
        <v>41</v>
      </c>
      <c r="R33" s="67">
        <f t="shared" si="1"/>
        <v>9.7560975609756101E-2</v>
      </c>
      <c r="S33" s="67">
        <f t="shared" si="2"/>
        <v>7.3170731707317069E-2</v>
      </c>
      <c r="T33" s="67">
        <f t="shared" si="3"/>
        <v>2.4390243902439025E-2</v>
      </c>
      <c r="U33" s="67">
        <f t="shared" si="4"/>
        <v>0</v>
      </c>
      <c r="V33" s="67">
        <f t="shared" si="5"/>
        <v>2.4390243902439025E-2</v>
      </c>
      <c r="W33" s="67">
        <f t="shared" si="6"/>
        <v>0</v>
      </c>
      <c r="X33" s="67">
        <f t="shared" si="7"/>
        <v>0.26829268292682928</v>
      </c>
      <c r="Y33" s="67">
        <f t="shared" si="8"/>
        <v>0</v>
      </c>
      <c r="Z33" s="67">
        <f t="shared" si="9"/>
        <v>0.14634146341463414</v>
      </c>
      <c r="AA33" s="67">
        <f t="shared" si="10"/>
        <v>2.4390243902439025E-2</v>
      </c>
      <c r="AB33" s="67">
        <f t="shared" si="11"/>
        <v>9.7560975609756101E-2</v>
      </c>
      <c r="AC33" s="67">
        <f t="shared" si="12"/>
        <v>0</v>
      </c>
      <c r="AD33" s="67">
        <f t="shared" si="13"/>
        <v>4.878048780487805E-2</v>
      </c>
      <c r="AE33" s="67">
        <f t="shared" si="14"/>
        <v>0.1951219512195122</v>
      </c>
      <c r="AF33" s="67">
        <f t="shared" si="15"/>
        <v>2.1531351748765885E-3</v>
      </c>
      <c r="AG33" s="67">
        <f>town_establishments[[#This Row],[share of state establishments]]/($AF$250-$AF$249)</f>
        <v>2.2271714922048997E-3</v>
      </c>
      <c r="AH33" s="67">
        <f>town_establishments[[#This Row],[share of state establishments (no residual)]]/(INDEX(regional_establishments[share of state establishments],MATCH(town_establishments[[#This Row],[Regional Planning Commission]],regional_establishments[Regional Planning Commission],0)))</f>
        <v>3.5745422842197026E-2</v>
      </c>
    </row>
    <row r="34" spans="1:34" x14ac:dyDescent="0.25">
      <c r="A34" t="s">
        <v>134</v>
      </c>
      <c r="B34" t="str">
        <f>INDEX([1]!town_population[Regional Planning Commission],MATCH(town_establishments[[#This Row],[Municipality]],[1]!town_population[Municipality],0))</f>
        <v>Bennington County Regional Commission</v>
      </c>
      <c r="C34">
        <v>2</v>
      </c>
      <c r="D34">
        <v>2</v>
      </c>
      <c r="E34">
        <v>4</v>
      </c>
      <c r="I34">
        <v>5</v>
      </c>
      <c r="K34">
        <v>2</v>
      </c>
      <c r="L34">
        <v>1</v>
      </c>
      <c r="N34">
        <v>1</v>
      </c>
      <c r="Q34">
        <f t="shared" si="0"/>
        <v>17</v>
      </c>
      <c r="R34" s="67">
        <f t="shared" si="1"/>
        <v>0.11764705882352941</v>
      </c>
      <c r="S34" s="67">
        <f t="shared" si="2"/>
        <v>0.11764705882352941</v>
      </c>
      <c r="T34" s="67">
        <f t="shared" si="3"/>
        <v>0.23529411764705882</v>
      </c>
      <c r="U34" s="67">
        <f t="shared" si="4"/>
        <v>0</v>
      </c>
      <c r="V34" s="67">
        <f t="shared" si="5"/>
        <v>0</v>
      </c>
      <c r="W34" s="67">
        <f t="shared" si="6"/>
        <v>0</v>
      </c>
      <c r="X34" s="67">
        <f t="shared" si="7"/>
        <v>0.29411764705882354</v>
      </c>
      <c r="Y34" s="67">
        <f t="shared" si="8"/>
        <v>0</v>
      </c>
      <c r="Z34" s="67">
        <f t="shared" si="9"/>
        <v>0.11764705882352941</v>
      </c>
      <c r="AA34" s="67">
        <f t="shared" si="10"/>
        <v>5.8823529411764705E-2</v>
      </c>
      <c r="AB34" s="67">
        <f t="shared" si="11"/>
        <v>0</v>
      </c>
      <c r="AC34" s="67">
        <f t="shared" si="12"/>
        <v>5.8823529411764705E-2</v>
      </c>
      <c r="AD34" s="67">
        <f t="shared" si="13"/>
        <v>0</v>
      </c>
      <c r="AE34" s="67">
        <f t="shared" si="14"/>
        <v>0</v>
      </c>
      <c r="AF34" s="67">
        <f t="shared" si="15"/>
        <v>8.9276336519273183E-4</v>
      </c>
      <c r="AG34" s="67">
        <f>town_establishments[[#This Row],[share of state establishments]]/($AF$250-$AF$249)</f>
        <v>9.2346135042642181E-4</v>
      </c>
      <c r="AH34" s="67">
        <f>town_establishments[[#This Row],[share of state establishments (no residual)]]/(INDEX(regional_establishments[share of state establishments],MATCH(town_establishments[[#This Row],[Regional Planning Commission]],regional_establishments[Regional Planning Commission],0)))</f>
        <v>1.482127288578901E-2</v>
      </c>
    </row>
    <row r="35" spans="1:34" x14ac:dyDescent="0.25">
      <c r="A35" t="s">
        <v>135</v>
      </c>
      <c r="B35" t="str">
        <f>INDEX([1]!town_population[Regional Planning Commission],MATCH(town_establishments[[#This Row],[Municipality]],[1]!town_population[Municipality],0))</f>
        <v>Bennington County Regional Commission</v>
      </c>
      <c r="D35">
        <v>1</v>
      </c>
      <c r="F35">
        <v>3</v>
      </c>
      <c r="I35">
        <v>6</v>
      </c>
      <c r="K35">
        <v>4</v>
      </c>
      <c r="L35">
        <v>2</v>
      </c>
      <c r="N35">
        <v>1</v>
      </c>
      <c r="P35">
        <v>2</v>
      </c>
      <c r="Q35">
        <f t="shared" si="0"/>
        <v>19</v>
      </c>
      <c r="R35" s="67">
        <f t="shared" si="1"/>
        <v>0</v>
      </c>
      <c r="S35" s="67">
        <f t="shared" si="2"/>
        <v>5.2631578947368418E-2</v>
      </c>
      <c r="T35" s="67">
        <f t="shared" si="3"/>
        <v>0</v>
      </c>
      <c r="U35" s="67">
        <f t="shared" si="4"/>
        <v>0.15789473684210525</v>
      </c>
      <c r="V35" s="67">
        <f t="shared" si="5"/>
        <v>0</v>
      </c>
      <c r="W35" s="67">
        <f t="shared" si="6"/>
        <v>0</v>
      </c>
      <c r="X35" s="67">
        <f t="shared" si="7"/>
        <v>0.31578947368421051</v>
      </c>
      <c r="Y35" s="67">
        <f t="shared" si="8"/>
        <v>0</v>
      </c>
      <c r="Z35" s="67">
        <f t="shared" si="9"/>
        <v>0.21052631578947367</v>
      </c>
      <c r="AA35" s="67">
        <f t="shared" si="10"/>
        <v>0.10526315789473684</v>
      </c>
      <c r="AB35" s="67">
        <f t="shared" si="11"/>
        <v>0</v>
      </c>
      <c r="AC35" s="67">
        <f t="shared" si="12"/>
        <v>5.2631578947368418E-2</v>
      </c>
      <c r="AD35" s="67">
        <f t="shared" si="13"/>
        <v>0</v>
      </c>
      <c r="AE35" s="67">
        <f t="shared" si="14"/>
        <v>0.10526315789473684</v>
      </c>
      <c r="AF35" s="67">
        <f t="shared" si="15"/>
        <v>9.9779434933305335E-4</v>
      </c>
      <c r="AG35" s="67">
        <f>town_establishments[[#This Row],[share of state establishments]]/($AF$250-$AF$249)</f>
        <v>1.0321038622412952E-3</v>
      </c>
      <c r="AH35" s="67">
        <f>town_establishments[[#This Row],[share of state establishments (no residual)]]/(INDEX(regional_establishments[share of state establishments],MATCH(town_establishments[[#This Row],[Regional Planning Commission]],regional_establishments[Regional Planning Commission],0)))</f>
        <v>1.6564952048823016E-2</v>
      </c>
    </row>
    <row r="36" spans="1:34" x14ac:dyDescent="0.25">
      <c r="A36" t="s">
        <v>136</v>
      </c>
      <c r="B36" t="str">
        <f>INDEX([1]!town_population[Regional Planning Commission],MATCH(town_establishments[[#This Row],[Municipality]],[1]!town_population[Municipality],0))</f>
        <v>Bennington County Regional Commission</v>
      </c>
      <c r="D36">
        <v>1</v>
      </c>
      <c r="I36">
        <v>0</v>
      </c>
      <c r="L36">
        <v>1</v>
      </c>
      <c r="N36">
        <v>1</v>
      </c>
      <c r="Q36">
        <f t="shared" si="0"/>
        <v>3</v>
      </c>
      <c r="R36" s="67">
        <f t="shared" si="1"/>
        <v>0</v>
      </c>
      <c r="S36" s="67">
        <f t="shared" si="2"/>
        <v>0.33333333333333331</v>
      </c>
      <c r="T36" s="67">
        <f t="shared" si="3"/>
        <v>0</v>
      </c>
      <c r="U36" s="67">
        <f t="shared" si="4"/>
        <v>0</v>
      </c>
      <c r="V36" s="67">
        <f t="shared" si="5"/>
        <v>0</v>
      </c>
      <c r="W36" s="67">
        <f t="shared" si="6"/>
        <v>0</v>
      </c>
      <c r="X36" s="67">
        <f t="shared" si="7"/>
        <v>0</v>
      </c>
      <c r="Y36" s="67">
        <f t="shared" si="8"/>
        <v>0</v>
      </c>
      <c r="Z36" s="67">
        <f t="shared" si="9"/>
        <v>0</v>
      </c>
      <c r="AA36" s="67">
        <f t="shared" si="10"/>
        <v>0.33333333333333331</v>
      </c>
      <c r="AB36" s="67">
        <f t="shared" si="11"/>
        <v>0</v>
      </c>
      <c r="AC36" s="67">
        <f t="shared" si="12"/>
        <v>0.33333333333333331</v>
      </c>
      <c r="AD36" s="67">
        <f t="shared" si="13"/>
        <v>0</v>
      </c>
      <c r="AE36" s="67">
        <f t="shared" si="14"/>
        <v>0</v>
      </c>
      <c r="AF36" s="67">
        <f t="shared" si="15"/>
        <v>1.575464762104821E-4</v>
      </c>
      <c r="AG36" s="67">
        <f>town_establishments[[#This Row],[share of state establishments]]/($AF$250-$AF$249)</f>
        <v>1.6296376772230973E-4</v>
      </c>
      <c r="AH36" s="67">
        <f>town_establishments[[#This Row],[share of state establishments (no residual)]]/(INDEX(regional_establishments[share of state establishments],MATCH(town_establishments[[#This Row],[Regional Planning Commission]],regional_establishments[Regional Planning Commission],0)))</f>
        <v>2.6155187445510019E-3</v>
      </c>
    </row>
    <row r="37" spans="1:34" x14ac:dyDescent="0.25">
      <c r="A37" t="s">
        <v>137</v>
      </c>
      <c r="B37" t="str">
        <f>INDEX([1]!town_population[Regional Planning Commission],MATCH(town_establishments[[#This Row],[Municipality]],[1]!town_population[Municipality],0))</f>
        <v>Central Vermont Regional Planning Commission</v>
      </c>
      <c r="C37">
        <v>31</v>
      </c>
      <c r="D37">
        <v>73</v>
      </c>
      <c r="E37">
        <v>8</v>
      </c>
      <c r="F37">
        <v>5</v>
      </c>
      <c r="G37">
        <v>22</v>
      </c>
      <c r="H37">
        <v>10</v>
      </c>
      <c r="I37">
        <v>60</v>
      </c>
      <c r="J37">
        <v>1</v>
      </c>
      <c r="K37">
        <v>15</v>
      </c>
      <c r="L37">
        <v>3</v>
      </c>
      <c r="M37">
        <v>49</v>
      </c>
      <c r="N37">
        <v>6</v>
      </c>
      <c r="O37">
        <v>28</v>
      </c>
      <c r="P37">
        <v>37</v>
      </c>
      <c r="Q37">
        <f t="shared" si="0"/>
        <v>348</v>
      </c>
      <c r="R37" s="67">
        <f t="shared" si="1"/>
        <v>8.9080459770114945E-2</v>
      </c>
      <c r="S37" s="67">
        <f t="shared" si="2"/>
        <v>0.20977011494252873</v>
      </c>
      <c r="T37" s="67">
        <f t="shared" si="3"/>
        <v>2.2988505747126436E-2</v>
      </c>
      <c r="U37" s="67">
        <f t="shared" si="4"/>
        <v>1.4367816091954023E-2</v>
      </c>
      <c r="V37" s="67">
        <f t="shared" si="5"/>
        <v>6.3218390804597707E-2</v>
      </c>
      <c r="W37" s="67">
        <f t="shared" si="6"/>
        <v>2.8735632183908046E-2</v>
      </c>
      <c r="X37" s="67">
        <f t="shared" si="7"/>
        <v>0.17241379310344829</v>
      </c>
      <c r="Y37" s="67">
        <f t="shared" si="8"/>
        <v>2.8735632183908046E-3</v>
      </c>
      <c r="Z37" s="67">
        <f t="shared" si="9"/>
        <v>4.3103448275862072E-2</v>
      </c>
      <c r="AA37" s="67">
        <f t="shared" si="10"/>
        <v>8.6206896551724137E-3</v>
      </c>
      <c r="AB37" s="67">
        <f t="shared" si="11"/>
        <v>0.14080459770114942</v>
      </c>
      <c r="AC37" s="67">
        <f t="shared" si="12"/>
        <v>1.7241379310344827E-2</v>
      </c>
      <c r="AD37" s="67">
        <f t="shared" si="13"/>
        <v>8.0459770114942528E-2</v>
      </c>
      <c r="AE37" s="67">
        <f t="shared" si="14"/>
        <v>0.10632183908045977</v>
      </c>
      <c r="AF37" s="67">
        <f t="shared" si="15"/>
        <v>1.8275391240415922E-2</v>
      </c>
      <c r="AG37" s="67">
        <f>town_establishments[[#This Row],[share of state establishments]]/($AF$250-$AF$249)</f>
        <v>1.890379705578793E-2</v>
      </c>
      <c r="AH37" s="67">
        <f>town_establishments[[#This Row],[share of state establishments (no residual)]]/(INDEX(regional_establishments[share of state establishments],MATCH(town_establishments[[#This Row],[Regional Planning Commission]],regional_establishments[Regional Planning Commission],0)))</f>
        <v>0.17151306062099556</v>
      </c>
    </row>
    <row r="38" spans="1:34" x14ac:dyDescent="0.25">
      <c r="A38" t="s">
        <v>138</v>
      </c>
      <c r="B38" t="str">
        <f>INDEX([1]!town_population[Regional Planning Commission],MATCH(town_establishments[[#This Row],[Municipality]],[1]!town_population[Municipality],0))</f>
        <v>Central Vermont Regional Planning Commission</v>
      </c>
      <c r="C38">
        <v>10</v>
      </c>
      <c r="D38">
        <v>18</v>
      </c>
      <c r="E38">
        <v>10</v>
      </c>
      <c r="F38">
        <v>1</v>
      </c>
      <c r="G38">
        <v>4</v>
      </c>
      <c r="H38">
        <v>2</v>
      </c>
      <c r="I38">
        <v>11</v>
      </c>
      <c r="J38">
        <v>1</v>
      </c>
      <c r="K38">
        <v>5</v>
      </c>
      <c r="L38">
        <v>2</v>
      </c>
      <c r="M38">
        <v>3</v>
      </c>
      <c r="N38">
        <v>1</v>
      </c>
      <c r="O38">
        <v>5</v>
      </c>
      <c r="P38">
        <v>11</v>
      </c>
      <c r="Q38">
        <f t="shared" si="0"/>
        <v>84</v>
      </c>
      <c r="R38" s="67">
        <f t="shared" si="1"/>
        <v>0.11904761904761904</v>
      </c>
      <c r="S38" s="67">
        <f t="shared" si="2"/>
        <v>0.21428571428571427</v>
      </c>
      <c r="T38" s="67">
        <f t="shared" si="3"/>
        <v>0.11904761904761904</v>
      </c>
      <c r="U38" s="67">
        <f t="shared" si="4"/>
        <v>1.1904761904761904E-2</v>
      </c>
      <c r="V38" s="67">
        <f t="shared" si="5"/>
        <v>4.7619047619047616E-2</v>
      </c>
      <c r="W38" s="67">
        <f t="shared" si="6"/>
        <v>2.3809523809523808E-2</v>
      </c>
      <c r="X38" s="67">
        <f t="shared" si="7"/>
        <v>0.13095238095238096</v>
      </c>
      <c r="Y38" s="67">
        <f t="shared" si="8"/>
        <v>1.1904761904761904E-2</v>
      </c>
      <c r="Z38" s="67">
        <f t="shared" si="9"/>
        <v>5.9523809523809521E-2</v>
      </c>
      <c r="AA38" s="67">
        <f t="shared" si="10"/>
        <v>2.3809523809523808E-2</v>
      </c>
      <c r="AB38" s="67">
        <f t="shared" si="11"/>
        <v>3.5714285714285712E-2</v>
      </c>
      <c r="AC38" s="67">
        <f t="shared" si="12"/>
        <v>1.1904761904761904E-2</v>
      </c>
      <c r="AD38" s="67">
        <f t="shared" si="13"/>
        <v>5.9523809523809521E-2</v>
      </c>
      <c r="AE38" s="67">
        <f t="shared" si="14"/>
        <v>0.13095238095238096</v>
      </c>
      <c r="AF38" s="67">
        <f t="shared" si="15"/>
        <v>4.4113013338934982E-3</v>
      </c>
      <c r="AG38" s="67">
        <f>town_establishments[[#This Row],[share of state establishments]]/($AF$250-$AF$249)</f>
        <v>4.5629854962246719E-3</v>
      </c>
      <c r="AH38" s="67">
        <f>town_establishments[[#This Row],[share of state establishments (no residual)]]/(INDEX(regional_establishments[share of state establishments],MATCH(town_establishments[[#This Row],[Regional Planning Commission]],regional_establishments[Regional Planning Commission],0)))</f>
        <v>4.1399704287826508E-2</v>
      </c>
    </row>
    <row r="39" spans="1:34" x14ac:dyDescent="0.25">
      <c r="A39" t="s">
        <v>139</v>
      </c>
      <c r="B39" t="str">
        <f>INDEX([1]!town_population[Regional Planning Commission],MATCH(town_establishments[[#This Row],[Municipality]],[1]!town_population[Municipality],0))</f>
        <v>Central Vermont Regional Planning Commission</v>
      </c>
      <c r="C39">
        <v>17</v>
      </c>
      <c r="D39">
        <v>47</v>
      </c>
      <c r="E39">
        <v>5</v>
      </c>
      <c r="F39">
        <v>2</v>
      </c>
      <c r="G39">
        <v>12</v>
      </c>
      <c r="H39">
        <v>3</v>
      </c>
      <c r="I39">
        <v>11</v>
      </c>
      <c r="J39">
        <v>1</v>
      </c>
      <c r="K39">
        <v>9</v>
      </c>
      <c r="L39">
        <v>1</v>
      </c>
      <c r="M39">
        <v>39</v>
      </c>
      <c r="N39">
        <v>5</v>
      </c>
      <c r="O39">
        <v>13</v>
      </c>
      <c r="P39">
        <v>17</v>
      </c>
      <c r="Q39">
        <f t="shared" si="0"/>
        <v>182</v>
      </c>
      <c r="R39" s="67">
        <f t="shared" si="1"/>
        <v>9.3406593406593408E-2</v>
      </c>
      <c r="S39" s="67">
        <f t="shared" si="2"/>
        <v>0.25824175824175827</v>
      </c>
      <c r="T39" s="67">
        <f t="shared" si="3"/>
        <v>2.7472527472527472E-2</v>
      </c>
      <c r="U39" s="67">
        <f t="shared" si="4"/>
        <v>1.098901098901099E-2</v>
      </c>
      <c r="V39" s="67">
        <f t="shared" si="5"/>
        <v>6.5934065934065936E-2</v>
      </c>
      <c r="W39" s="67">
        <f t="shared" si="6"/>
        <v>1.6483516483516484E-2</v>
      </c>
      <c r="X39" s="67">
        <f t="shared" si="7"/>
        <v>6.043956043956044E-2</v>
      </c>
      <c r="Y39" s="67">
        <f t="shared" si="8"/>
        <v>5.4945054945054949E-3</v>
      </c>
      <c r="Z39" s="67">
        <f t="shared" si="9"/>
        <v>4.9450549450549448E-2</v>
      </c>
      <c r="AA39" s="67">
        <f t="shared" si="10"/>
        <v>5.4945054945054949E-3</v>
      </c>
      <c r="AB39" s="67">
        <f t="shared" si="11"/>
        <v>0.21428571428571427</v>
      </c>
      <c r="AC39" s="67">
        <f t="shared" si="12"/>
        <v>2.7472527472527472E-2</v>
      </c>
      <c r="AD39" s="67">
        <f t="shared" si="13"/>
        <v>7.1428571428571425E-2</v>
      </c>
      <c r="AE39" s="67">
        <f t="shared" si="14"/>
        <v>9.3406593406593408E-2</v>
      </c>
      <c r="AF39" s="67">
        <f t="shared" si="15"/>
        <v>9.5578195567692474E-3</v>
      </c>
      <c r="AG39" s="67">
        <f>town_establishments[[#This Row],[share of state establishments]]/($AF$250-$AF$249)</f>
        <v>9.8864685751534585E-3</v>
      </c>
      <c r="AH39" s="67">
        <f>town_establishments[[#This Row],[share of state establishments (no residual)]]/(INDEX(regional_establishments[share of state establishments],MATCH(town_establishments[[#This Row],[Regional Planning Commission]],regional_establishments[Regional Planning Commission],0)))</f>
        <v>8.9699359290290798E-2</v>
      </c>
    </row>
    <row r="40" spans="1:34" x14ac:dyDescent="0.25">
      <c r="A40" t="s">
        <v>140</v>
      </c>
      <c r="B40" t="str">
        <f>INDEX([1]!town_population[Regional Planning Commission],MATCH(town_establishments[[#This Row],[Municipality]],[1]!town_population[Municipality],0))</f>
        <v>Central Vermont Regional Planning Commission</v>
      </c>
      <c r="C40">
        <v>2</v>
      </c>
      <c r="D40">
        <v>2</v>
      </c>
      <c r="E40">
        <v>1</v>
      </c>
      <c r="G40">
        <v>1</v>
      </c>
      <c r="I40">
        <v>4</v>
      </c>
      <c r="L40">
        <v>1</v>
      </c>
      <c r="M40">
        <v>2</v>
      </c>
      <c r="O40">
        <v>1</v>
      </c>
      <c r="P40">
        <v>4</v>
      </c>
      <c r="Q40">
        <f t="shared" si="0"/>
        <v>18</v>
      </c>
      <c r="R40" s="67">
        <f t="shared" si="1"/>
        <v>0.1111111111111111</v>
      </c>
      <c r="S40" s="67">
        <f t="shared" si="2"/>
        <v>0.1111111111111111</v>
      </c>
      <c r="T40" s="67">
        <f t="shared" si="3"/>
        <v>5.5555555555555552E-2</v>
      </c>
      <c r="U40" s="67">
        <f t="shared" si="4"/>
        <v>0</v>
      </c>
      <c r="V40" s="67">
        <f t="shared" si="5"/>
        <v>5.5555555555555552E-2</v>
      </c>
      <c r="W40" s="67">
        <f t="shared" si="6"/>
        <v>0</v>
      </c>
      <c r="X40" s="67">
        <f t="shared" si="7"/>
        <v>0.22222222222222221</v>
      </c>
      <c r="Y40" s="67">
        <f t="shared" si="8"/>
        <v>0</v>
      </c>
      <c r="Z40" s="67">
        <f t="shared" si="9"/>
        <v>0</v>
      </c>
      <c r="AA40" s="67">
        <f t="shared" si="10"/>
        <v>5.5555555555555552E-2</v>
      </c>
      <c r="AB40" s="67">
        <f t="shared" si="11"/>
        <v>0.1111111111111111</v>
      </c>
      <c r="AC40" s="67">
        <f t="shared" si="12"/>
        <v>0</v>
      </c>
      <c r="AD40" s="67">
        <f t="shared" si="13"/>
        <v>5.5555555555555552E-2</v>
      </c>
      <c r="AE40" s="67">
        <f t="shared" si="14"/>
        <v>0.22222222222222221</v>
      </c>
      <c r="AF40" s="67">
        <f t="shared" si="15"/>
        <v>9.4527885726289253E-4</v>
      </c>
      <c r="AG40" s="67">
        <f>town_establishments[[#This Row],[share of state establishments]]/($AF$250-$AF$249)</f>
        <v>9.7778260633385851E-4</v>
      </c>
      <c r="AH40" s="67">
        <f>town_establishments[[#This Row],[share of state establishments (no residual)]]/(INDEX(regional_establishments[share of state establishments],MATCH(town_establishments[[#This Row],[Regional Planning Commission]],regional_establishments[Regional Planning Commission],0)))</f>
        <v>8.8713652045342532E-3</v>
      </c>
    </row>
    <row r="41" spans="1:34" x14ac:dyDescent="0.25">
      <c r="A41" t="s">
        <v>141</v>
      </c>
      <c r="B41" t="str">
        <f>INDEX([1]!town_population[Regional Planning Commission],MATCH(town_establishments[[#This Row],[Municipality]],[1]!town_population[Municipality],0))</f>
        <v>Central Vermont Regional Planning Commission</v>
      </c>
      <c r="D41">
        <v>3</v>
      </c>
      <c r="E41">
        <v>2</v>
      </c>
      <c r="I41">
        <v>2</v>
      </c>
      <c r="J41">
        <v>1</v>
      </c>
      <c r="K41">
        <v>2</v>
      </c>
      <c r="L41">
        <v>3</v>
      </c>
      <c r="M41">
        <v>1</v>
      </c>
      <c r="N41">
        <v>2</v>
      </c>
      <c r="O41">
        <v>1</v>
      </c>
      <c r="P41">
        <v>3</v>
      </c>
      <c r="Q41">
        <f t="shared" si="0"/>
        <v>20</v>
      </c>
      <c r="R41" s="67">
        <f t="shared" si="1"/>
        <v>0</v>
      </c>
      <c r="S41" s="67">
        <f t="shared" si="2"/>
        <v>0.15</v>
      </c>
      <c r="T41" s="67">
        <f t="shared" si="3"/>
        <v>0.1</v>
      </c>
      <c r="U41" s="67">
        <f t="shared" si="4"/>
        <v>0</v>
      </c>
      <c r="V41" s="67">
        <f t="shared" si="5"/>
        <v>0</v>
      </c>
      <c r="W41" s="67">
        <f t="shared" si="6"/>
        <v>0</v>
      </c>
      <c r="X41" s="67">
        <f t="shared" si="7"/>
        <v>0.1</v>
      </c>
      <c r="Y41" s="67">
        <f t="shared" si="8"/>
        <v>0.05</v>
      </c>
      <c r="Z41" s="67">
        <f t="shared" si="9"/>
        <v>0.1</v>
      </c>
      <c r="AA41" s="67">
        <f t="shared" si="10"/>
        <v>0.15</v>
      </c>
      <c r="AB41" s="67">
        <f t="shared" si="11"/>
        <v>0.05</v>
      </c>
      <c r="AC41" s="67">
        <f t="shared" si="12"/>
        <v>0.1</v>
      </c>
      <c r="AD41" s="67">
        <f t="shared" si="13"/>
        <v>0.05</v>
      </c>
      <c r="AE41" s="67">
        <f t="shared" si="14"/>
        <v>0.15</v>
      </c>
      <c r="AF41" s="67">
        <f t="shared" si="15"/>
        <v>1.050309841403214E-3</v>
      </c>
      <c r="AG41" s="67">
        <f>town_establishments[[#This Row],[share of state establishments]]/($AF$250-$AF$249)</f>
        <v>1.0864251181487315E-3</v>
      </c>
      <c r="AH41" s="67">
        <f>town_establishments[[#This Row],[share of state establishments (no residual)]]/(INDEX(regional_establishments[share of state establishments],MATCH(town_establishments[[#This Row],[Regional Planning Commission]],regional_establishments[Regional Planning Commission],0)))</f>
        <v>9.857072449482503E-3</v>
      </c>
    </row>
    <row r="42" spans="1:34" x14ac:dyDescent="0.25">
      <c r="A42" t="s">
        <v>142</v>
      </c>
      <c r="B42" t="str">
        <f>INDEX([1]!town_population[Regional Planning Commission],MATCH(town_establishments[[#This Row],[Municipality]],[1]!town_population[Municipality],0))</f>
        <v>Central Vermont Regional Planning Commission</v>
      </c>
      <c r="E42">
        <v>1</v>
      </c>
      <c r="I42">
        <v>4</v>
      </c>
      <c r="K42">
        <v>5</v>
      </c>
      <c r="L42">
        <v>1</v>
      </c>
      <c r="M42">
        <v>1</v>
      </c>
      <c r="P42">
        <v>2</v>
      </c>
      <c r="Q42">
        <f t="shared" si="0"/>
        <v>14</v>
      </c>
      <c r="R42" s="67">
        <f t="shared" si="1"/>
        <v>0</v>
      </c>
      <c r="S42" s="67">
        <f t="shared" si="2"/>
        <v>0</v>
      </c>
      <c r="T42" s="67">
        <f t="shared" si="3"/>
        <v>7.1428571428571425E-2</v>
      </c>
      <c r="U42" s="67">
        <f t="shared" si="4"/>
        <v>0</v>
      </c>
      <c r="V42" s="67">
        <f t="shared" si="5"/>
        <v>0</v>
      </c>
      <c r="W42" s="67">
        <f t="shared" si="6"/>
        <v>0</v>
      </c>
      <c r="X42" s="67">
        <f t="shared" si="7"/>
        <v>0.2857142857142857</v>
      </c>
      <c r="Y42" s="67">
        <f t="shared" si="8"/>
        <v>0</v>
      </c>
      <c r="Z42" s="67">
        <f t="shared" si="9"/>
        <v>0.35714285714285715</v>
      </c>
      <c r="AA42" s="67">
        <f t="shared" si="10"/>
        <v>7.1428571428571425E-2</v>
      </c>
      <c r="AB42" s="67">
        <f t="shared" si="11"/>
        <v>7.1428571428571425E-2</v>
      </c>
      <c r="AC42" s="67">
        <f t="shared" si="12"/>
        <v>0</v>
      </c>
      <c r="AD42" s="67">
        <f t="shared" si="13"/>
        <v>0</v>
      </c>
      <c r="AE42" s="67">
        <f t="shared" si="14"/>
        <v>0.14285714285714285</v>
      </c>
      <c r="AF42" s="67">
        <f t="shared" si="15"/>
        <v>7.3521688898224981E-4</v>
      </c>
      <c r="AG42" s="67">
        <f>town_establishments[[#This Row],[share of state establishments]]/($AF$250-$AF$249)</f>
        <v>7.6049758270411213E-4</v>
      </c>
      <c r="AH42" s="67">
        <f>town_establishments[[#This Row],[share of state establishments (no residual)]]/(INDEX(regional_establishments[share of state establishments],MATCH(town_establishments[[#This Row],[Regional Planning Commission]],regional_establishments[Regional Planning Commission],0)))</f>
        <v>6.8999507146377528E-3</v>
      </c>
    </row>
    <row r="43" spans="1:34" x14ac:dyDescent="0.25">
      <c r="A43" t="s">
        <v>143</v>
      </c>
      <c r="B43" t="str">
        <f>INDEX([1]!town_population[Regional Planning Commission],MATCH(town_establishments[[#This Row],[Municipality]],[1]!town_population[Municipality],0))</f>
        <v>Central Vermont Regional Planning Commission</v>
      </c>
      <c r="C43">
        <v>2</v>
      </c>
      <c r="D43">
        <v>18</v>
      </c>
      <c r="E43">
        <v>2</v>
      </c>
      <c r="G43">
        <v>4</v>
      </c>
      <c r="H43">
        <v>0</v>
      </c>
      <c r="I43">
        <v>8</v>
      </c>
      <c r="K43">
        <v>4</v>
      </c>
      <c r="L43">
        <v>1</v>
      </c>
      <c r="M43">
        <v>2</v>
      </c>
      <c r="N43">
        <v>3</v>
      </c>
      <c r="P43">
        <v>5</v>
      </c>
      <c r="Q43">
        <f t="shared" si="0"/>
        <v>49</v>
      </c>
      <c r="R43" s="67">
        <f t="shared" si="1"/>
        <v>4.0816326530612242E-2</v>
      </c>
      <c r="S43" s="67">
        <f t="shared" si="2"/>
        <v>0.36734693877551022</v>
      </c>
      <c r="T43" s="67">
        <f t="shared" si="3"/>
        <v>4.0816326530612242E-2</v>
      </c>
      <c r="U43" s="67">
        <f t="shared" si="4"/>
        <v>0</v>
      </c>
      <c r="V43" s="67">
        <f t="shared" si="5"/>
        <v>8.1632653061224483E-2</v>
      </c>
      <c r="W43" s="67">
        <f t="shared" si="6"/>
        <v>0</v>
      </c>
      <c r="X43" s="67">
        <f t="shared" si="7"/>
        <v>0.16326530612244897</v>
      </c>
      <c r="Y43" s="67">
        <f t="shared" si="8"/>
        <v>0</v>
      </c>
      <c r="Z43" s="67">
        <f t="shared" si="9"/>
        <v>8.1632653061224483E-2</v>
      </c>
      <c r="AA43" s="67">
        <f t="shared" si="10"/>
        <v>2.0408163265306121E-2</v>
      </c>
      <c r="AB43" s="67">
        <f t="shared" si="11"/>
        <v>4.0816326530612242E-2</v>
      </c>
      <c r="AC43" s="67">
        <f t="shared" si="12"/>
        <v>6.1224489795918366E-2</v>
      </c>
      <c r="AD43" s="67">
        <f t="shared" si="13"/>
        <v>0</v>
      </c>
      <c r="AE43" s="67">
        <f t="shared" si="14"/>
        <v>0.10204081632653061</v>
      </c>
      <c r="AF43" s="67">
        <f t="shared" si="15"/>
        <v>2.5732591114378742E-3</v>
      </c>
      <c r="AG43" s="67">
        <f>town_establishments[[#This Row],[share of state establishments]]/($AF$250-$AF$249)</f>
        <v>2.6617415394643924E-3</v>
      </c>
      <c r="AH43" s="67">
        <f>town_establishments[[#This Row],[share of state establishments (no residual)]]/(INDEX(regional_establishments[share of state establishments],MATCH(town_establishments[[#This Row],[Regional Planning Commission]],regional_establishments[Regional Planning Commission],0)))</f>
        <v>2.4149827501232134E-2</v>
      </c>
    </row>
    <row r="44" spans="1:34" x14ac:dyDescent="0.25">
      <c r="A44" t="s">
        <v>144</v>
      </c>
      <c r="B44" t="str">
        <f>INDEX([1]!town_population[Regional Planning Commission],MATCH(town_establishments[[#This Row],[Municipality]],[1]!town_population[Municipality],0))</f>
        <v>Central Vermont Regional Planning Commission</v>
      </c>
      <c r="C44">
        <v>3</v>
      </c>
      <c r="E44">
        <v>0</v>
      </c>
      <c r="F44">
        <v>1</v>
      </c>
      <c r="G44">
        <v>1</v>
      </c>
      <c r="I44">
        <v>9</v>
      </c>
      <c r="K44">
        <v>3</v>
      </c>
      <c r="L44">
        <v>2</v>
      </c>
      <c r="N44">
        <v>1</v>
      </c>
      <c r="O44">
        <v>4</v>
      </c>
      <c r="P44">
        <v>3</v>
      </c>
      <c r="Q44">
        <f t="shared" si="0"/>
        <v>27</v>
      </c>
      <c r="R44" s="67">
        <f t="shared" si="1"/>
        <v>0.1111111111111111</v>
      </c>
      <c r="S44" s="67">
        <f t="shared" si="2"/>
        <v>0</v>
      </c>
      <c r="T44" s="67">
        <f t="shared" si="3"/>
        <v>0</v>
      </c>
      <c r="U44" s="67">
        <f t="shared" si="4"/>
        <v>3.7037037037037035E-2</v>
      </c>
      <c r="V44" s="67">
        <f t="shared" si="5"/>
        <v>3.7037037037037035E-2</v>
      </c>
      <c r="W44" s="67">
        <f t="shared" si="6"/>
        <v>0</v>
      </c>
      <c r="X44" s="67">
        <f t="shared" si="7"/>
        <v>0.33333333333333331</v>
      </c>
      <c r="Y44" s="67">
        <f t="shared" si="8"/>
        <v>0</v>
      </c>
      <c r="Z44" s="67">
        <f t="shared" si="9"/>
        <v>0.1111111111111111</v>
      </c>
      <c r="AA44" s="67">
        <f t="shared" si="10"/>
        <v>7.407407407407407E-2</v>
      </c>
      <c r="AB44" s="67">
        <f t="shared" si="11"/>
        <v>0</v>
      </c>
      <c r="AC44" s="67">
        <f t="shared" si="12"/>
        <v>3.7037037037037035E-2</v>
      </c>
      <c r="AD44" s="67">
        <f t="shared" si="13"/>
        <v>0.14814814814814814</v>
      </c>
      <c r="AE44" s="67">
        <f t="shared" si="14"/>
        <v>0.1111111111111111</v>
      </c>
      <c r="AF44" s="67">
        <f t="shared" si="15"/>
        <v>1.4179182858943388E-3</v>
      </c>
      <c r="AG44" s="67">
        <f>town_establishments[[#This Row],[share of state establishments]]/($AF$250-$AF$249)</f>
        <v>1.4666739095007876E-3</v>
      </c>
      <c r="AH44" s="67">
        <f>town_establishments[[#This Row],[share of state establishments (no residual)]]/(INDEX(regional_establishments[share of state establishments],MATCH(town_establishments[[#This Row],[Regional Planning Commission]],regional_establishments[Regional Planning Commission],0)))</f>
        <v>1.3307047806801378E-2</v>
      </c>
    </row>
    <row r="45" spans="1:34" x14ac:dyDescent="0.25">
      <c r="A45" t="s">
        <v>145</v>
      </c>
      <c r="B45" t="str">
        <f>INDEX([1]!town_population[Regional Planning Commission],MATCH(town_establishments[[#This Row],[Municipality]],[1]!town_population[Municipality],0))</f>
        <v>Central Vermont Regional Planning Commission</v>
      </c>
      <c r="C45">
        <v>0</v>
      </c>
      <c r="D45">
        <v>3</v>
      </c>
      <c r="E45">
        <v>1</v>
      </c>
      <c r="F45">
        <v>0</v>
      </c>
      <c r="I45">
        <v>3</v>
      </c>
      <c r="K45">
        <v>2</v>
      </c>
      <c r="L45">
        <v>1</v>
      </c>
      <c r="N45">
        <v>1</v>
      </c>
      <c r="O45">
        <v>1</v>
      </c>
      <c r="P45">
        <v>1</v>
      </c>
      <c r="Q45">
        <f t="shared" si="0"/>
        <v>13</v>
      </c>
      <c r="R45" s="67">
        <f t="shared" si="1"/>
        <v>0</v>
      </c>
      <c r="S45" s="67">
        <f t="shared" si="2"/>
        <v>0.23076923076923078</v>
      </c>
      <c r="T45" s="67">
        <f t="shared" si="3"/>
        <v>7.6923076923076927E-2</v>
      </c>
      <c r="U45" s="67">
        <f t="shared" si="4"/>
        <v>0</v>
      </c>
      <c r="V45" s="67">
        <f t="shared" si="5"/>
        <v>0</v>
      </c>
      <c r="W45" s="67">
        <f t="shared" si="6"/>
        <v>0</v>
      </c>
      <c r="X45" s="67">
        <f t="shared" si="7"/>
        <v>0.23076923076923078</v>
      </c>
      <c r="Y45" s="67">
        <f t="shared" si="8"/>
        <v>0</v>
      </c>
      <c r="Z45" s="67">
        <f t="shared" si="9"/>
        <v>0.15384615384615385</v>
      </c>
      <c r="AA45" s="67">
        <f t="shared" si="10"/>
        <v>7.6923076923076927E-2</v>
      </c>
      <c r="AB45" s="67">
        <f t="shared" si="11"/>
        <v>0</v>
      </c>
      <c r="AC45" s="67">
        <f t="shared" si="12"/>
        <v>7.6923076923076927E-2</v>
      </c>
      <c r="AD45" s="67">
        <f t="shared" si="13"/>
        <v>7.6923076923076927E-2</v>
      </c>
      <c r="AE45" s="67">
        <f t="shared" si="14"/>
        <v>7.6923076923076927E-2</v>
      </c>
      <c r="AF45" s="67">
        <f t="shared" si="15"/>
        <v>6.827013969120891E-4</v>
      </c>
      <c r="AG45" s="67">
        <f>town_establishments[[#This Row],[share of state establishments]]/($AF$250-$AF$249)</f>
        <v>7.0617632679667553E-4</v>
      </c>
      <c r="AH45" s="67">
        <f>town_establishments[[#This Row],[share of state establishments (no residual)]]/(INDEX(regional_establishments[share of state establishments],MATCH(town_establishments[[#This Row],[Regional Planning Commission]],regional_establishments[Regional Planning Commission],0)))</f>
        <v>6.407097092163627E-3</v>
      </c>
    </row>
    <row r="46" spans="1:34" x14ac:dyDescent="0.25">
      <c r="A46" t="s">
        <v>146</v>
      </c>
      <c r="B46" t="str">
        <f>INDEX([1]!town_population[Regional Planning Commission],MATCH(town_establishments[[#This Row],[Municipality]],[1]!town_population[Municipality],0))</f>
        <v>Central Vermont Regional Planning Commission</v>
      </c>
      <c r="C46">
        <v>7</v>
      </c>
      <c r="D46">
        <v>3</v>
      </c>
      <c r="E46">
        <v>1</v>
      </c>
      <c r="F46">
        <v>5</v>
      </c>
      <c r="H46">
        <v>1</v>
      </c>
      <c r="I46">
        <v>14</v>
      </c>
      <c r="J46">
        <v>0</v>
      </c>
      <c r="K46">
        <v>3</v>
      </c>
      <c r="L46">
        <v>1</v>
      </c>
      <c r="M46">
        <v>1</v>
      </c>
      <c r="P46">
        <v>2</v>
      </c>
      <c r="Q46">
        <f t="shared" si="0"/>
        <v>38</v>
      </c>
      <c r="R46" s="67">
        <f t="shared" si="1"/>
        <v>0.18421052631578946</v>
      </c>
      <c r="S46" s="67">
        <f t="shared" si="2"/>
        <v>7.8947368421052627E-2</v>
      </c>
      <c r="T46" s="67">
        <f t="shared" si="3"/>
        <v>2.6315789473684209E-2</v>
      </c>
      <c r="U46" s="67">
        <f t="shared" si="4"/>
        <v>0.13157894736842105</v>
      </c>
      <c r="V46" s="67">
        <f t="shared" si="5"/>
        <v>0</v>
      </c>
      <c r="W46" s="67">
        <f t="shared" si="6"/>
        <v>2.6315789473684209E-2</v>
      </c>
      <c r="X46" s="67">
        <f t="shared" si="7"/>
        <v>0.36842105263157893</v>
      </c>
      <c r="Y46" s="67">
        <f t="shared" si="8"/>
        <v>0</v>
      </c>
      <c r="Z46" s="67">
        <f t="shared" si="9"/>
        <v>7.8947368421052627E-2</v>
      </c>
      <c r="AA46" s="67">
        <f t="shared" si="10"/>
        <v>2.6315789473684209E-2</v>
      </c>
      <c r="AB46" s="67">
        <f t="shared" si="11"/>
        <v>2.6315789473684209E-2</v>
      </c>
      <c r="AC46" s="67">
        <f t="shared" si="12"/>
        <v>0</v>
      </c>
      <c r="AD46" s="67">
        <f t="shared" si="13"/>
        <v>0</v>
      </c>
      <c r="AE46" s="67">
        <f t="shared" si="14"/>
        <v>5.2631578947368418E-2</v>
      </c>
      <c r="AF46" s="67">
        <f t="shared" si="15"/>
        <v>1.9955886986661067E-3</v>
      </c>
      <c r="AG46" s="67">
        <f>town_establishments[[#This Row],[share of state establishments]]/($AF$250-$AF$249)</f>
        <v>2.0642077244825904E-3</v>
      </c>
      <c r="AH46" s="67">
        <f>town_establishments[[#This Row],[share of state establishments (no residual)]]/(INDEX(regional_establishments[share of state establishments],MATCH(town_establishments[[#This Row],[Regional Planning Commission]],regional_establishments[Regional Planning Commission],0)))</f>
        <v>1.8728437654016761E-2</v>
      </c>
    </row>
    <row r="47" spans="1:34" x14ac:dyDescent="0.25">
      <c r="A47" t="s">
        <v>147</v>
      </c>
      <c r="B47" t="str">
        <f>INDEX([1]!town_population[Regional Planning Commission],MATCH(town_establishments[[#This Row],[Municipality]],[1]!town_population[Municipality],0))</f>
        <v>Central Vermont Regional Planning Commission</v>
      </c>
      <c r="C47">
        <v>14</v>
      </c>
      <c r="D47">
        <v>73</v>
      </c>
      <c r="E47">
        <v>5</v>
      </c>
      <c r="F47">
        <v>15</v>
      </c>
      <c r="G47">
        <v>33</v>
      </c>
      <c r="H47">
        <v>12</v>
      </c>
      <c r="I47">
        <v>112</v>
      </c>
      <c r="J47">
        <v>1</v>
      </c>
      <c r="K47">
        <v>31</v>
      </c>
      <c r="L47">
        <v>28</v>
      </c>
      <c r="M47">
        <v>55</v>
      </c>
      <c r="N47">
        <v>4</v>
      </c>
      <c r="O47">
        <v>38</v>
      </c>
      <c r="P47">
        <v>100</v>
      </c>
      <c r="Q47">
        <f t="shared" si="0"/>
        <v>521</v>
      </c>
      <c r="R47" s="67">
        <f t="shared" si="1"/>
        <v>2.6871401151631478E-2</v>
      </c>
      <c r="S47" s="67">
        <f t="shared" si="2"/>
        <v>0.14011516314779271</v>
      </c>
      <c r="T47" s="67">
        <f t="shared" si="3"/>
        <v>9.5969289827255271E-3</v>
      </c>
      <c r="U47" s="67">
        <f t="shared" si="4"/>
        <v>2.8790786948176585E-2</v>
      </c>
      <c r="V47" s="67">
        <f t="shared" si="5"/>
        <v>6.3339731285988479E-2</v>
      </c>
      <c r="W47" s="67">
        <f t="shared" si="6"/>
        <v>2.3032629558541268E-2</v>
      </c>
      <c r="X47" s="67">
        <f t="shared" si="7"/>
        <v>0.21497120921305182</v>
      </c>
      <c r="Y47" s="67">
        <f t="shared" si="8"/>
        <v>1.9193857965451055E-3</v>
      </c>
      <c r="Z47" s="67">
        <f t="shared" si="9"/>
        <v>5.9500959692898273E-2</v>
      </c>
      <c r="AA47" s="67">
        <f t="shared" si="10"/>
        <v>5.3742802303262956E-2</v>
      </c>
      <c r="AB47" s="67">
        <f t="shared" si="11"/>
        <v>0.10556621880998081</v>
      </c>
      <c r="AC47" s="67">
        <f t="shared" si="12"/>
        <v>7.677543186180422E-3</v>
      </c>
      <c r="AD47" s="67">
        <f t="shared" si="13"/>
        <v>7.293666026871401E-2</v>
      </c>
      <c r="AE47" s="67">
        <f t="shared" si="14"/>
        <v>0.19193857965451055</v>
      </c>
      <c r="AF47" s="67">
        <f t="shared" si="15"/>
        <v>2.7360571368553722E-2</v>
      </c>
      <c r="AG47" s="67">
        <f>town_establishments[[#This Row],[share of state establishments]]/($AF$250-$AF$249)</f>
        <v>2.8301374327774458E-2</v>
      </c>
      <c r="AH47" s="67">
        <f>town_establishments[[#This Row],[share of state establishments (no residual)]]/(INDEX(regional_establishments[share of state establishments],MATCH(town_establishments[[#This Row],[Regional Planning Commission]],regional_establishments[Regional Planning Commission],0)))</f>
        <v>0.25677673730901923</v>
      </c>
    </row>
    <row r="48" spans="1:34" x14ac:dyDescent="0.25">
      <c r="A48" t="s">
        <v>148</v>
      </c>
      <c r="B48" t="str">
        <f>INDEX([1]!town_population[Regional Planning Commission],MATCH(town_establishments[[#This Row],[Municipality]],[1]!town_population[Municipality],0))</f>
        <v>Central Vermont Regional Planning Commission</v>
      </c>
      <c r="C48">
        <v>2</v>
      </c>
      <c r="D48">
        <v>2</v>
      </c>
      <c r="E48">
        <v>1</v>
      </c>
      <c r="G48">
        <v>2</v>
      </c>
      <c r="I48">
        <v>8</v>
      </c>
      <c r="K48">
        <v>4</v>
      </c>
      <c r="L48">
        <v>2</v>
      </c>
      <c r="M48">
        <v>1</v>
      </c>
      <c r="O48">
        <v>1</v>
      </c>
      <c r="P48">
        <v>6</v>
      </c>
      <c r="Q48">
        <f t="shared" si="0"/>
        <v>29</v>
      </c>
      <c r="R48" s="67">
        <f t="shared" si="1"/>
        <v>6.8965517241379309E-2</v>
      </c>
      <c r="S48" s="67">
        <f t="shared" si="2"/>
        <v>6.8965517241379309E-2</v>
      </c>
      <c r="T48" s="67">
        <f t="shared" si="3"/>
        <v>3.4482758620689655E-2</v>
      </c>
      <c r="U48" s="67">
        <f t="shared" si="4"/>
        <v>0</v>
      </c>
      <c r="V48" s="67">
        <f t="shared" si="5"/>
        <v>6.8965517241379309E-2</v>
      </c>
      <c r="W48" s="67">
        <f t="shared" si="6"/>
        <v>0</v>
      </c>
      <c r="X48" s="67">
        <f t="shared" si="7"/>
        <v>0.27586206896551724</v>
      </c>
      <c r="Y48" s="67">
        <f t="shared" si="8"/>
        <v>0</v>
      </c>
      <c r="Z48" s="67">
        <f t="shared" si="9"/>
        <v>0.13793103448275862</v>
      </c>
      <c r="AA48" s="67">
        <f t="shared" si="10"/>
        <v>6.8965517241379309E-2</v>
      </c>
      <c r="AB48" s="67">
        <f t="shared" si="11"/>
        <v>3.4482758620689655E-2</v>
      </c>
      <c r="AC48" s="67">
        <f t="shared" si="12"/>
        <v>0</v>
      </c>
      <c r="AD48" s="67">
        <f t="shared" si="13"/>
        <v>3.4482758620689655E-2</v>
      </c>
      <c r="AE48" s="67">
        <f t="shared" si="14"/>
        <v>0.20689655172413793</v>
      </c>
      <c r="AF48" s="67">
        <f t="shared" si="15"/>
        <v>1.5229492700346602E-3</v>
      </c>
      <c r="AG48" s="67">
        <f>town_establishments[[#This Row],[share of state establishments]]/($AF$250-$AF$249)</f>
        <v>1.5753164213156607E-3</v>
      </c>
      <c r="AH48" s="67">
        <f>town_establishments[[#This Row],[share of state establishments (no residual)]]/(INDEX(regional_establishments[share of state establishments],MATCH(town_establishments[[#This Row],[Regional Planning Commission]],regional_establishments[Regional Planning Commission],0)))</f>
        <v>1.429275505174963E-2</v>
      </c>
    </row>
    <row r="49" spans="1:34" x14ac:dyDescent="0.25">
      <c r="A49" t="s">
        <v>149</v>
      </c>
      <c r="B49" t="str">
        <f>INDEX([1]!town_population[Regional Planning Commission],MATCH(town_establishments[[#This Row],[Municipality]],[1]!town_population[Municipality],0))</f>
        <v>Central Vermont Regional Planning Commission</v>
      </c>
      <c r="C49">
        <v>3</v>
      </c>
      <c r="D49">
        <v>15</v>
      </c>
      <c r="E49">
        <v>2</v>
      </c>
      <c r="F49">
        <v>5</v>
      </c>
      <c r="G49">
        <v>4</v>
      </c>
      <c r="H49">
        <v>2</v>
      </c>
      <c r="I49">
        <v>13</v>
      </c>
      <c r="K49">
        <v>4</v>
      </c>
      <c r="L49">
        <v>4</v>
      </c>
      <c r="M49">
        <v>8</v>
      </c>
      <c r="N49">
        <v>1</v>
      </c>
      <c r="O49">
        <v>9</v>
      </c>
      <c r="P49">
        <v>10</v>
      </c>
      <c r="Q49">
        <f t="shared" si="0"/>
        <v>80</v>
      </c>
      <c r="R49" s="67">
        <f t="shared" si="1"/>
        <v>3.7499999999999999E-2</v>
      </c>
      <c r="S49" s="67">
        <f t="shared" si="2"/>
        <v>0.1875</v>
      </c>
      <c r="T49" s="67">
        <f t="shared" si="3"/>
        <v>2.5000000000000001E-2</v>
      </c>
      <c r="U49" s="67">
        <f t="shared" si="4"/>
        <v>6.25E-2</v>
      </c>
      <c r="V49" s="67">
        <f t="shared" si="5"/>
        <v>0.05</v>
      </c>
      <c r="W49" s="67">
        <f t="shared" si="6"/>
        <v>2.5000000000000001E-2</v>
      </c>
      <c r="X49" s="67">
        <f t="shared" si="7"/>
        <v>0.16250000000000001</v>
      </c>
      <c r="Y49" s="67">
        <f t="shared" si="8"/>
        <v>0</v>
      </c>
      <c r="Z49" s="67">
        <f t="shared" si="9"/>
        <v>0.05</v>
      </c>
      <c r="AA49" s="67">
        <f t="shared" si="10"/>
        <v>0.05</v>
      </c>
      <c r="AB49" s="67">
        <f t="shared" si="11"/>
        <v>0.1</v>
      </c>
      <c r="AC49" s="67">
        <f t="shared" si="12"/>
        <v>1.2500000000000001E-2</v>
      </c>
      <c r="AD49" s="67">
        <f t="shared" si="13"/>
        <v>0.1125</v>
      </c>
      <c r="AE49" s="67">
        <f t="shared" si="14"/>
        <v>0.125</v>
      </c>
      <c r="AF49" s="67">
        <f t="shared" si="15"/>
        <v>4.2012393656128558E-3</v>
      </c>
      <c r="AG49" s="67">
        <f>town_establishments[[#This Row],[share of state establishments]]/($AF$250-$AF$249)</f>
        <v>4.345700472594926E-3</v>
      </c>
      <c r="AH49" s="67">
        <f>town_establishments[[#This Row],[share of state establishments (no residual)]]/(INDEX(regional_establishments[share of state establishments],MATCH(town_establishments[[#This Row],[Regional Planning Commission]],regional_establishments[Regional Planning Commission],0)))</f>
        <v>3.9428289797930012E-2</v>
      </c>
    </row>
    <row r="50" spans="1:34" x14ac:dyDescent="0.25">
      <c r="A50" t="s">
        <v>150</v>
      </c>
      <c r="B50" t="str">
        <f>INDEX([1]!town_population[Regional Planning Commission],MATCH(town_establishments[[#This Row],[Municipality]],[1]!town_population[Municipality],0))</f>
        <v>Central Vermont Regional Planning Commission</v>
      </c>
      <c r="C50">
        <v>2</v>
      </c>
      <c r="L50">
        <v>1</v>
      </c>
      <c r="M50">
        <v>1</v>
      </c>
      <c r="Q50">
        <f t="shared" si="0"/>
        <v>4</v>
      </c>
      <c r="R50" s="67">
        <f t="shared" si="1"/>
        <v>0.5</v>
      </c>
      <c r="S50" s="67">
        <f t="shared" si="2"/>
        <v>0</v>
      </c>
      <c r="T50" s="67">
        <f t="shared" si="3"/>
        <v>0</v>
      </c>
      <c r="U50" s="67">
        <f t="shared" si="4"/>
        <v>0</v>
      </c>
      <c r="V50" s="67">
        <f t="shared" si="5"/>
        <v>0</v>
      </c>
      <c r="W50" s="67">
        <f t="shared" si="6"/>
        <v>0</v>
      </c>
      <c r="X50" s="67">
        <f t="shared" si="7"/>
        <v>0</v>
      </c>
      <c r="Y50" s="67">
        <f t="shared" si="8"/>
        <v>0</v>
      </c>
      <c r="Z50" s="67">
        <f t="shared" si="9"/>
        <v>0</v>
      </c>
      <c r="AA50" s="67">
        <f t="shared" si="10"/>
        <v>0.25</v>
      </c>
      <c r="AB50" s="67">
        <f t="shared" si="11"/>
        <v>0.25</v>
      </c>
      <c r="AC50" s="67">
        <f t="shared" si="12"/>
        <v>0</v>
      </c>
      <c r="AD50" s="67">
        <f t="shared" si="13"/>
        <v>0</v>
      </c>
      <c r="AE50" s="67">
        <f t="shared" si="14"/>
        <v>0</v>
      </c>
      <c r="AF50" s="67">
        <f t="shared" si="15"/>
        <v>2.1006196828064278E-4</v>
      </c>
      <c r="AG50" s="67">
        <f>town_establishments[[#This Row],[share of state establishments]]/($AF$250-$AF$249)</f>
        <v>2.172850236297463E-4</v>
      </c>
      <c r="AH50" s="67">
        <f>town_establishments[[#This Row],[share of state establishments (no residual)]]/(INDEX(regional_establishments[share of state establishments],MATCH(town_establishments[[#This Row],[Regional Planning Commission]],regional_establishments[Regional Planning Commission],0)))</f>
        <v>1.9714144898965004E-3</v>
      </c>
    </row>
    <row r="51" spans="1:34" x14ac:dyDescent="0.25">
      <c r="A51" t="s">
        <v>151</v>
      </c>
      <c r="B51" t="str">
        <f>INDEX([1]!town_population[Regional Planning Commission],MATCH(town_establishments[[#This Row],[Municipality]],[1]!town_population[Municipality],0))</f>
        <v>Central Vermont Regional Planning Commission</v>
      </c>
      <c r="D51">
        <v>3</v>
      </c>
      <c r="E51">
        <v>2</v>
      </c>
      <c r="F51">
        <v>2</v>
      </c>
      <c r="H51">
        <v>1</v>
      </c>
      <c r="I51">
        <v>8</v>
      </c>
      <c r="J51">
        <v>1</v>
      </c>
      <c r="K51">
        <v>6</v>
      </c>
      <c r="L51">
        <v>4</v>
      </c>
      <c r="M51">
        <v>3</v>
      </c>
      <c r="N51">
        <v>1</v>
      </c>
      <c r="O51">
        <v>1</v>
      </c>
      <c r="P51">
        <v>2</v>
      </c>
      <c r="Q51">
        <f t="shared" si="0"/>
        <v>34</v>
      </c>
      <c r="R51" s="67">
        <f t="shared" si="1"/>
        <v>0</v>
      </c>
      <c r="S51" s="67">
        <f t="shared" si="2"/>
        <v>8.8235294117647065E-2</v>
      </c>
      <c r="T51" s="67">
        <f t="shared" si="3"/>
        <v>5.8823529411764705E-2</v>
      </c>
      <c r="U51" s="67">
        <f t="shared" si="4"/>
        <v>5.8823529411764705E-2</v>
      </c>
      <c r="V51" s="67">
        <f t="shared" si="5"/>
        <v>0</v>
      </c>
      <c r="W51" s="67">
        <f t="shared" si="6"/>
        <v>2.9411764705882353E-2</v>
      </c>
      <c r="X51" s="67">
        <f t="shared" si="7"/>
        <v>0.23529411764705882</v>
      </c>
      <c r="Y51" s="67">
        <f t="shared" si="8"/>
        <v>2.9411764705882353E-2</v>
      </c>
      <c r="Z51" s="67">
        <f t="shared" si="9"/>
        <v>0.17647058823529413</v>
      </c>
      <c r="AA51" s="67">
        <f t="shared" si="10"/>
        <v>0.11764705882352941</v>
      </c>
      <c r="AB51" s="67">
        <f t="shared" si="11"/>
        <v>8.8235294117647065E-2</v>
      </c>
      <c r="AC51" s="67">
        <f t="shared" si="12"/>
        <v>2.9411764705882353E-2</v>
      </c>
      <c r="AD51" s="67">
        <f t="shared" si="13"/>
        <v>2.9411764705882353E-2</v>
      </c>
      <c r="AE51" s="67">
        <f t="shared" si="14"/>
        <v>5.8823529411764705E-2</v>
      </c>
      <c r="AF51" s="67">
        <f t="shared" si="15"/>
        <v>1.7855267303854637E-3</v>
      </c>
      <c r="AG51" s="67">
        <f>town_establishments[[#This Row],[share of state establishments]]/($AF$250-$AF$249)</f>
        <v>1.8469227008528436E-3</v>
      </c>
      <c r="AH51" s="67">
        <f>town_establishments[[#This Row],[share of state establishments (no residual)]]/(INDEX(regional_establishments[share of state establishments],MATCH(town_establishments[[#This Row],[Regional Planning Commission]],regional_establishments[Regional Planning Commission],0)))</f>
        <v>1.6757023164120255E-2</v>
      </c>
    </row>
    <row r="52" spans="1:34" x14ac:dyDescent="0.25">
      <c r="A52" t="s">
        <v>152</v>
      </c>
      <c r="B52" t="str">
        <f>INDEX([1]!town_population[Regional Planning Commission],MATCH(town_establishments[[#This Row],[Municipality]],[1]!town_population[Municipality],0))</f>
        <v>Central Vermont Regional Planning Commission</v>
      </c>
      <c r="C52">
        <v>1</v>
      </c>
      <c r="D52">
        <v>1</v>
      </c>
      <c r="E52">
        <v>1</v>
      </c>
      <c r="I52">
        <v>1</v>
      </c>
      <c r="K52">
        <v>1</v>
      </c>
      <c r="L52">
        <v>1</v>
      </c>
      <c r="M52">
        <v>0</v>
      </c>
      <c r="P52">
        <v>3</v>
      </c>
      <c r="Q52">
        <f t="shared" si="0"/>
        <v>9</v>
      </c>
      <c r="R52" s="67">
        <f t="shared" si="1"/>
        <v>0.1111111111111111</v>
      </c>
      <c r="S52" s="67">
        <f t="shared" si="2"/>
        <v>0.1111111111111111</v>
      </c>
      <c r="T52" s="67">
        <f t="shared" si="3"/>
        <v>0.1111111111111111</v>
      </c>
      <c r="U52" s="67">
        <f t="shared" si="4"/>
        <v>0</v>
      </c>
      <c r="V52" s="67">
        <f t="shared" si="5"/>
        <v>0</v>
      </c>
      <c r="W52" s="67">
        <f t="shared" si="6"/>
        <v>0</v>
      </c>
      <c r="X52" s="67">
        <f t="shared" si="7"/>
        <v>0.1111111111111111</v>
      </c>
      <c r="Y52" s="67">
        <f t="shared" si="8"/>
        <v>0</v>
      </c>
      <c r="Z52" s="67">
        <f t="shared" si="9"/>
        <v>0.1111111111111111</v>
      </c>
      <c r="AA52" s="67">
        <f t="shared" si="10"/>
        <v>0.1111111111111111</v>
      </c>
      <c r="AB52" s="67">
        <f t="shared" si="11"/>
        <v>0</v>
      </c>
      <c r="AC52" s="67">
        <f t="shared" si="12"/>
        <v>0</v>
      </c>
      <c r="AD52" s="67">
        <f t="shared" si="13"/>
        <v>0</v>
      </c>
      <c r="AE52" s="67">
        <f t="shared" si="14"/>
        <v>0.33333333333333331</v>
      </c>
      <c r="AF52" s="67">
        <f t="shared" si="15"/>
        <v>4.7263942863144627E-4</v>
      </c>
      <c r="AG52" s="67">
        <f>town_establishments[[#This Row],[share of state establishments]]/($AF$250-$AF$249)</f>
        <v>4.8889130316692926E-4</v>
      </c>
      <c r="AH52" s="67">
        <f>town_establishments[[#This Row],[share of state establishments (no residual)]]/(INDEX(regional_establishments[share of state establishments],MATCH(town_establishments[[#This Row],[Regional Planning Commission]],regional_establishments[Regional Planning Commission],0)))</f>
        <v>4.4356826022671266E-3</v>
      </c>
    </row>
    <row r="53" spans="1:34" x14ac:dyDescent="0.25">
      <c r="A53" t="s">
        <v>153</v>
      </c>
      <c r="B53" t="str">
        <f>INDEX([1]!town_population[Regional Planning Commission],MATCH(town_establishments[[#This Row],[Municipality]],[1]!town_population[Municipality],0))</f>
        <v>Central Vermont Regional Planning Commission</v>
      </c>
      <c r="C53">
        <v>13</v>
      </c>
      <c r="D53">
        <v>32</v>
      </c>
      <c r="E53">
        <v>1</v>
      </c>
      <c r="F53">
        <v>9</v>
      </c>
      <c r="G53">
        <v>11</v>
      </c>
      <c r="H53">
        <v>14</v>
      </c>
      <c r="I53">
        <v>35</v>
      </c>
      <c r="J53">
        <v>2</v>
      </c>
      <c r="K53">
        <v>12</v>
      </c>
      <c r="L53">
        <v>1</v>
      </c>
      <c r="M53">
        <v>7</v>
      </c>
      <c r="N53">
        <v>3</v>
      </c>
      <c r="O53">
        <v>20</v>
      </c>
      <c r="P53">
        <v>16</v>
      </c>
      <c r="Q53">
        <f t="shared" si="0"/>
        <v>176</v>
      </c>
      <c r="R53" s="67">
        <f t="shared" si="1"/>
        <v>7.3863636363636367E-2</v>
      </c>
      <c r="S53" s="67">
        <f t="shared" si="2"/>
        <v>0.18181818181818182</v>
      </c>
      <c r="T53" s="67">
        <f t="shared" si="3"/>
        <v>5.681818181818182E-3</v>
      </c>
      <c r="U53" s="67">
        <f t="shared" si="4"/>
        <v>5.113636363636364E-2</v>
      </c>
      <c r="V53" s="67">
        <f t="shared" si="5"/>
        <v>6.25E-2</v>
      </c>
      <c r="W53" s="67">
        <f t="shared" si="6"/>
        <v>7.9545454545454544E-2</v>
      </c>
      <c r="X53" s="67">
        <f t="shared" si="7"/>
        <v>0.19886363636363635</v>
      </c>
      <c r="Y53" s="67">
        <f t="shared" si="8"/>
        <v>1.1363636363636364E-2</v>
      </c>
      <c r="Z53" s="67">
        <f t="shared" si="9"/>
        <v>6.8181818181818177E-2</v>
      </c>
      <c r="AA53" s="67">
        <f t="shared" si="10"/>
        <v>5.681818181818182E-3</v>
      </c>
      <c r="AB53" s="67">
        <f t="shared" si="11"/>
        <v>3.9772727272727272E-2</v>
      </c>
      <c r="AC53" s="67">
        <f t="shared" si="12"/>
        <v>1.7045454545454544E-2</v>
      </c>
      <c r="AD53" s="67">
        <f t="shared" si="13"/>
        <v>0.11363636363636363</v>
      </c>
      <c r="AE53" s="67">
        <f t="shared" si="14"/>
        <v>9.0909090909090912E-2</v>
      </c>
      <c r="AF53" s="67">
        <f t="shared" si="15"/>
        <v>9.2427266043482829E-3</v>
      </c>
      <c r="AG53" s="67">
        <f>town_establishments[[#This Row],[share of state establishments]]/($AF$250-$AF$249)</f>
        <v>9.5605410397088374E-3</v>
      </c>
      <c r="AH53" s="67">
        <f>town_establishments[[#This Row],[share of state establishments (no residual)]]/(INDEX(regional_establishments[share of state establishments],MATCH(town_establishments[[#This Row],[Regional Planning Commission]],regional_establishments[Regional Planning Commission],0)))</f>
        <v>8.6742237555446022E-2</v>
      </c>
    </row>
    <row r="54" spans="1:34" x14ac:dyDescent="0.25">
      <c r="A54" t="s">
        <v>154</v>
      </c>
      <c r="B54" t="str">
        <f>INDEX([1]!town_population[Regional Planning Commission],MATCH(town_establishments[[#This Row],[Municipality]],[1]!town_population[Municipality],0))</f>
        <v>Central Vermont Regional Planning Commission</v>
      </c>
      <c r="C54">
        <v>10</v>
      </c>
      <c r="D54">
        <v>7</v>
      </c>
      <c r="E54">
        <v>1</v>
      </c>
      <c r="G54">
        <v>0</v>
      </c>
      <c r="H54">
        <v>7</v>
      </c>
      <c r="I54">
        <v>16</v>
      </c>
      <c r="K54">
        <v>6</v>
      </c>
      <c r="L54">
        <v>3</v>
      </c>
      <c r="M54">
        <v>3</v>
      </c>
      <c r="N54">
        <v>2</v>
      </c>
      <c r="O54">
        <v>14</v>
      </c>
      <c r="P54">
        <v>8</v>
      </c>
      <c r="Q54">
        <f t="shared" si="0"/>
        <v>77</v>
      </c>
      <c r="R54" s="67">
        <f t="shared" si="1"/>
        <v>0.12987012987012986</v>
      </c>
      <c r="S54" s="67">
        <f t="shared" si="2"/>
        <v>9.0909090909090912E-2</v>
      </c>
      <c r="T54" s="67">
        <f t="shared" si="3"/>
        <v>1.2987012987012988E-2</v>
      </c>
      <c r="U54" s="67">
        <f t="shared" si="4"/>
        <v>0</v>
      </c>
      <c r="V54" s="67">
        <f t="shared" si="5"/>
        <v>0</v>
      </c>
      <c r="W54" s="67">
        <f t="shared" si="6"/>
        <v>9.0909090909090912E-2</v>
      </c>
      <c r="X54" s="67">
        <f t="shared" si="7"/>
        <v>0.20779220779220781</v>
      </c>
      <c r="Y54" s="67">
        <f t="shared" si="8"/>
        <v>0</v>
      </c>
      <c r="Z54" s="67">
        <f t="shared" si="9"/>
        <v>7.792207792207792E-2</v>
      </c>
      <c r="AA54" s="67">
        <f t="shared" si="10"/>
        <v>3.896103896103896E-2</v>
      </c>
      <c r="AB54" s="67">
        <f t="shared" si="11"/>
        <v>3.896103896103896E-2</v>
      </c>
      <c r="AC54" s="67">
        <f t="shared" si="12"/>
        <v>2.5974025974025976E-2</v>
      </c>
      <c r="AD54" s="67">
        <f t="shared" si="13"/>
        <v>0.18181818181818182</v>
      </c>
      <c r="AE54" s="67">
        <f t="shared" si="14"/>
        <v>0.1038961038961039</v>
      </c>
      <c r="AF54" s="67">
        <f t="shared" si="15"/>
        <v>4.0436928894023736E-3</v>
      </c>
      <c r="AG54" s="67">
        <f>town_establishments[[#This Row],[share of state establishments]]/($AF$250-$AF$249)</f>
        <v>4.1827367048726163E-3</v>
      </c>
      <c r="AH54" s="67">
        <f>town_establishments[[#This Row],[share of state establishments (no residual)]]/(INDEX(regional_establishments[share of state establishments],MATCH(town_establishments[[#This Row],[Regional Planning Commission]],regional_establishments[Regional Planning Commission],0)))</f>
        <v>3.7949728930507638E-2</v>
      </c>
    </row>
    <row r="55" spans="1:34" x14ac:dyDescent="0.25">
      <c r="A55" t="s">
        <v>155</v>
      </c>
      <c r="B55" t="str">
        <f>INDEX([1]!town_population[Regional Planning Commission],MATCH(town_establishments[[#This Row],[Municipality]],[1]!town_population[Municipality],0))</f>
        <v>Central Vermont Regional Planning Commission</v>
      </c>
      <c r="C55">
        <v>2</v>
      </c>
      <c r="D55">
        <v>1</v>
      </c>
      <c r="E55">
        <v>1</v>
      </c>
      <c r="I55">
        <v>1</v>
      </c>
      <c r="L55">
        <v>1</v>
      </c>
      <c r="M55">
        <v>3</v>
      </c>
      <c r="Q55">
        <f t="shared" si="0"/>
        <v>9</v>
      </c>
      <c r="R55" s="67">
        <f t="shared" si="1"/>
        <v>0.22222222222222221</v>
      </c>
      <c r="S55" s="67">
        <f t="shared" si="2"/>
        <v>0.1111111111111111</v>
      </c>
      <c r="T55" s="67">
        <f t="shared" si="3"/>
        <v>0.1111111111111111</v>
      </c>
      <c r="U55" s="67">
        <f t="shared" si="4"/>
        <v>0</v>
      </c>
      <c r="V55" s="67">
        <f t="shared" si="5"/>
        <v>0</v>
      </c>
      <c r="W55" s="67">
        <f t="shared" si="6"/>
        <v>0</v>
      </c>
      <c r="X55" s="67">
        <f t="shared" si="7"/>
        <v>0.1111111111111111</v>
      </c>
      <c r="Y55" s="67">
        <f t="shared" si="8"/>
        <v>0</v>
      </c>
      <c r="Z55" s="67">
        <f t="shared" si="9"/>
        <v>0</v>
      </c>
      <c r="AA55" s="67">
        <f t="shared" si="10"/>
        <v>0.1111111111111111</v>
      </c>
      <c r="AB55" s="67">
        <f t="shared" si="11"/>
        <v>0.33333333333333331</v>
      </c>
      <c r="AC55" s="67">
        <f t="shared" si="12"/>
        <v>0</v>
      </c>
      <c r="AD55" s="67">
        <f t="shared" si="13"/>
        <v>0</v>
      </c>
      <c r="AE55" s="67">
        <f t="shared" si="14"/>
        <v>0</v>
      </c>
      <c r="AF55" s="67">
        <f t="shared" si="15"/>
        <v>4.7263942863144627E-4</v>
      </c>
      <c r="AG55" s="67">
        <f>town_establishments[[#This Row],[share of state establishments]]/($AF$250-$AF$249)</f>
        <v>4.8889130316692926E-4</v>
      </c>
      <c r="AH55" s="67">
        <f>town_establishments[[#This Row],[share of state establishments (no residual)]]/(INDEX(regional_establishments[share of state establishments],MATCH(town_establishments[[#This Row],[Regional Planning Commission]],regional_establishments[Regional Planning Commission],0)))</f>
        <v>4.4356826022671266E-3</v>
      </c>
    </row>
    <row r="56" spans="1:34" x14ac:dyDescent="0.25">
      <c r="A56" t="s">
        <v>156</v>
      </c>
      <c r="B56" t="str">
        <f>INDEX([1]!town_population[Regional Planning Commission],MATCH(town_establishments[[#This Row],[Municipality]],[1]!town_population[Municipality],0))</f>
        <v>Central Vermont Regional Planning Commission</v>
      </c>
      <c r="C56">
        <v>16</v>
      </c>
      <c r="D56">
        <v>41</v>
      </c>
      <c r="E56">
        <v>2</v>
      </c>
      <c r="F56">
        <v>3</v>
      </c>
      <c r="G56">
        <v>8</v>
      </c>
      <c r="H56">
        <v>3</v>
      </c>
      <c r="I56">
        <v>53</v>
      </c>
      <c r="J56">
        <v>2</v>
      </c>
      <c r="K56">
        <v>27</v>
      </c>
      <c r="L56">
        <v>6</v>
      </c>
      <c r="M56">
        <v>23</v>
      </c>
      <c r="N56">
        <v>6</v>
      </c>
      <c r="O56">
        <v>24</v>
      </c>
      <c r="P56">
        <v>20</v>
      </c>
      <c r="Q56">
        <f t="shared" si="0"/>
        <v>234</v>
      </c>
      <c r="R56" s="67">
        <f t="shared" si="1"/>
        <v>6.8376068376068383E-2</v>
      </c>
      <c r="S56" s="67">
        <f t="shared" si="2"/>
        <v>0.1752136752136752</v>
      </c>
      <c r="T56" s="67">
        <f t="shared" si="3"/>
        <v>8.5470085470085479E-3</v>
      </c>
      <c r="U56" s="67">
        <f t="shared" si="4"/>
        <v>1.282051282051282E-2</v>
      </c>
      <c r="V56" s="67">
        <f t="shared" si="5"/>
        <v>3.4188034188034191E-2</v>
      </c>
      <c r="W56" s="67">
        <f t="shared" si="6"/>
        <v>1.282051282051282E-2</v>
      </c>
      <c r="X56" s="67">
        <f t="shared" si="7"/>
        <v>0.2264957264957265</v>
      </c>
      <c r="Y56" s="67">
        <f t="shared" si="8"/>
        <v>8.5470085470085479E-3</v>
      </c>
      <c r="Z56" s="67">
        <f t="shared" si="9"/>
        <v>0.11538461538461539</v>
      </c>
      <c r="AA56" s="67">
        <f t="shared" si="10"/>
        <v>2.564102564102564E-2</v>
      </c>
      <c r="AB56" s="67">
        <f t="shared" si="11"/>
        <v>9.8290598290598288E-2</v>
      </c>
      <c r="AC56" s="67">
        <f t="shared" si="12"/>
        <v>2.564102564102564E-2</v>
      </c>
      <c r="AD56" s="67">
        <f t="shared" si="13"/>
        <v>0.10256410256410256</v>
      </c>
      <c r="AE56" s="67">
        <f t="shared" si="14"/>
        <v>8.5470085470085472E-2</v>
      </c>
      <c r="AF56" s="67">
        <f t="shared" si="15"/>
        <v>1.2288625144417604E-2</v>
      </c>
      <c r="AG56" s="67">
        <f>town_establishments[[#This Row],[share of state establishments]]/($AF$250-$AF$249)</f>
        <v>1.271117388234016E-2</v>
      </c>
      <c r="AH56" s="67">
        <f>town_establishments[[#This Row],[share of state establishments (no residual)]]/(INDEX(regional_establishments[share of state establishments],MATCH(town_establishments[[#This Row],[Regional Planning Commission]],regional_establishments[Regional Planning Commission],0)))</f>
        <v>0.1153277476589453</v>
      </c>
    </row>
    <row r="57" spans="1:34" x14ac:dyDescent="0.25">
      <c r="A57" t="s">
        <v>157</v>
      </c>
      <c r="B57" t="str">
        <f>INDEX([1]!town_population[Regional Planning Commission],MATCH(town_establishments[[#This Row],[Municipality]],[1]!town_population[Municipality],0))</f>
        <v>Central Vermont Regional Planning Commission</v>
      </c>
      <c r="C57">
        <v>6</v>
      </c>
      <c r="D57">
        <v>8</v>
      </c>
      <c r="E57">
        <v>3</v>
      </c>
      <c r="H57">
        <v>1</v>
      </c>
      <c r="I57">
        <v>5</v>
      </c>
      <c r="K57">
        <v>4</v>
      </c>
      <c r="L57">
        <v>1</v>
      </c>
      <c r="M57">
        <v>2</v>
      </c>
      <c r="N57">
        <v>1</v>
      </c>
      <c r="O57">
        <v>2</v>
      </c>
      <c r="P57">
        <v>6</v>
      </c>
      <c r="Q57">
        <f t="shared" si="0"/>
        <v>39</v>
      </c>
      <c r="R57" s="67">
        <f t="shared" si="1"/>
        <v>0.15384615384615385</v>
      </c>
      <c r="S57" s="67">
        <f t="shared" si="2"/>
        <v>0.20512820512820512</v>
      </c>
      <c r="T57" s="67">
        <f t="shared" si="3"/>
        <v>7.6923076923076927E-2</v>
      </c>
      <c r="U57" s="67">
        <f t="shared" si="4"/>
        <v>0</v>
      </c>
      <c r="V57" s="67">
        <f t="shared" si="5"/>
        <v>0</v>
      </c>
      <c r="W57" s="67">
        <f t="shared" si="6"/>
        <v>2.564102564102564E-2</v>
      </c>
      <c r="X57" s="67">
        <f t="shared" si="7"/>
        <v>0.12820512820512819</v>
      </c>
      <c r="Y57" s="67">
        <f t="shared" si="8"/>
        <v>0</v>
      </c>
      <c r="Z57" s="67">
        <f t="shared" si="9"/>
        <v>0.10256410256410256</v>
      </c>
      <c r="AA57" s="67">
        <f t="shared" si="10"/>
        <v>2.564102564102564E-2</v>
      </c>
      <c r="AB57" s="67">
        <f t="shared" si="11"/>
        <v>5.128205128205128E-2</v>
      </c>
      <c r="AC57" s="67">
        <f t="shared" si="12"/>
        <v>2.564102564102564E-2</v>
      </c>
      <c r="AD57" s="67">
        <f t="shared" si="13"/>
        <v>5.128205128205128E-2</v>
      </c>
      <c r="AE57" s="67">
        <f t="shared" si="14"/>
        <v>0.15384615384615385</v>
      </c>
      <c r="AF57" s="67">
        <f t="shared" si="15"/>
        <v>2.0481041907362673E-3</v>
      </c>
      <c r="AG57" s="67">
        <f>town_establishments[[#This Row],[share of state establishments]]/($AF$250-$AF$249)</f>
        <v>2.1185289803900267E-3</v>
      </c>
      <c r="AH57" s="67">
        <f>town_establishments[[#This Row],[share of state establishments (no residual)]]/(INDEX(regional_establishments[share of state establishments],MATCH(town_establishments[[#This Row],[Regional Planning Commission]],regional_establishments[Regional Planning Commission],0)))</f>
        <v>1.9221291276490884E-2</v>
      </c>
    </row>
    <row r="58" spans="1:34" x14ac:dyDescent="0.25">
      <c r="A58" t="s">
        <v>158</v>
      </c>
      <c r="B58" t="str">
        <f>INDEX([1]!town_population[Regional Planning Commission],MATCH(town_establishments[[#This Row],[Municipality]],[1]!town_population[Municipality],0))</f>
        <v>Central Vermont Regional Planning Commission</v>
      </c>
      <c r="D58">
        <v>2</v>
      </c>
      <c r="E58">
        <v>1</v>
      </c>
      <c r="L58">
        <v>1</v>
      </c>
      <c r="O58">
        <v>1</v>
      </c>
      <c r="P58">
        <v>1</v>
      </c>
      <c r="Q58">
        <f t="shared" si="0"/>
        <v>6</v>
      </c>
      <c r="R58" s="67">
        <f t="shared" si="1"/>
        <v>0</v>
      </c>
      <c r="S58" s="67">
        <f t="shared" si="2"/>
        <v>0.33333333333333331</v>
      </c>
      <c r="T58" s="67">
        <f t="shared" si="3"/>
        <v>0.16666666666666666</v>
      </c>
      <c r="U58" s="67">
        <f t="shared" si="4"/>
        <v>0</v>
      </c>
      <c r="V58" s="67">
        <f t="shared" si="5"/>
        <v>0</v>
      </c>
      <c r="W58" s="67">
        <f t="shared" si="6"/>
        <v>0</v>
      </c>
      <c r="X58" s="67">
        <f t="shared" si="7"/>
        <v>0</v>
      </c>
      <c r="Y58" s="67">
        <f t="shared" si="8"/>
        <v>0</v>
      </c>
      <c r="Z58" s="67">
        <f t="shared" si="9"/>
        <v>0</v>
      </c>
      <c r="AA58" s="67">
        <f t="shared" si="10"/>
        <v>0.16666666666666666</v>
      </c>
      <c r="AB58" s="67">
        <f t="shared" si="11"/>
        <v>0</v>
      </c>
      <c r="AC58" s="67">
        <f t="shared" si="12"/>
        <v>0</v>
      </c>
      <c r="AD58" s="67">
        <f t="shared" si="13"/>
        <v>0.16666666666666666</v>
      </c>
      <c r="AE58" s="67">
        <f t="shared" si="14"/>
        <v>0.16666666666666666</v>
      </c>
      <c r="AF58" s="67">
        <f t="shared" si="15"/>
        <v>3.150929524209642E-4</v>
      </c>
      <c r="AG58" s="67">
        <f>town_establishments[[#This Row],[share of state establishments]]/($AF$250-$AF$249)</f>
        <v>3.2592753544461947E-4</v>
      </c>
      <c r="AH58" s="67">
        <f>town_establishments[[#This Row],[share of state establishments (no residual)]]/(INDEX(regional_establishments[share of state establishments],MATCH(town_establishments[[#This Row],[Regional Planning Commission]],regional_establishments[Regional Planning Commission],0)))</f>
        <v>2.9571217348447511E-3</v>
      </c>
    </row>
    <row r="59" spans="1:34" x14ac:dyDescent="0.25">
      <c r="A59" t="s">
        <v>159</v>
      </c>
      <c r="B59" t="str">
        <f>INDEX([1]!town_population[Regional Planning Commission],MATCH(town_establishments[[#This Row],[Municipality]],[1]!town_population[Municipality],0))</f>
        <v>Central Vermont Regional Planning Commission</v>
      </c>
      <c r="C59">
        <v>1</v>
      </c>
      <c r="D59">
        <v>3</v>
      </c>
      <c r="E59">
        <v>1</v>
      </c>
      <c r="F59">
        <v>0</v>
      </c>
      <c r="H59">
        <v>1</v>
      </c>
      <c r="I59">
        <v>7</v>
      </c>
      <c r="K59">
        <v>1</v>
      </c>
      <c r="L59">
        <v>1</v>
      </c>
      <c r="M59">
        <v>2</v>
      </c>
      <c r="P59">
        <v>1</v>
      </c>
      <c r="Q59">
        <f t="shared" si="0"/>
        <v>18</v>
      </c>
      <c r="R59" s="67">
        <f t="shared" si="1"/>
        <v>5.5555555555555552E-2</v>
      </c>
      <c r="S59" s="67">
        <f t="shared" si="2"/>
        <v>0.16666666666666666</v>
      </c>
      <c r="T59" s="67">
        <f t="shared" si="3"/>
        <v>5.5555555555555552E-2</v>
      </c>
      <c r="U59" s="67">
        <f t="shared" si="4"/>
        <v>0</v>
      </c>
      <c r="V59" s="67">
        <f t="shared" si="5"/>
        <v>0</v>
      </c>
      <c r="W59" s="67">
        <f t="shared" si="6"/>
        <v>5.5555555555555552E-2</v>
      </c>
      <c r="X59" s="67">
        <f t="shared" si="7"/>
        <v>0.3888888888888889</v>
      </c>
      <c r="Y59" s="67">
        <f t="shared" si="8"/>
        <v>0</v>
      </c>
      <c r="Z59" s="67">
        <f t="shared" si="9"/>
        <v>5.5555555555555552E-2</v>
      </c>
      <c r="AA59" s="67">
        <f t="shared" si="10"/>
        <v>5.5555555555555552E-2</v>
      </c>
      <c r="AB59" s="67">
        <f t="shared" si="11"/>
        <v>0.1111111111111111</v>
      </c>
      <c r="AC59" s="67">
        <f t="shared" si="12"/>
        <v>0</v>
      </c>
      <c r="AD59" s="67">
        <f t="shared" si="13"/>
        <v>0</v>
      </c>
      <c r="AE59" s="67">
        <f t="shared" si="14"/>
        <v>5.5555555555555552E-2</v>
      </c>
      <c r="AF59" s="67">
        <f t="shared" si="15"/>
        <v>9.4527885726289253E-4</v>
      </c>
      <c r="AG59" s="67">
        <f>town_establishments[[#This Row],[share of state establishments]]/($AF$250-$AF$249)</f>
        <v>9.7778260633385851E-4</v>
      </c>
      <c r="AH59" s="67">
        <f>town_establishments[[#This Row],[share of state establishments (no residual)]]/(INDEX(regional_establishments[share of state establishments],MATCH(town_establishments[[#This Row],[Regional Planning Commission]],regional_establishments[Regional Planning Commission],0)))</f>
        <v>8.8713652045342532E-3</v>
      </c>
    </row>
    <row r="60" spans="1:34" x14ac:dyDescent="0.25">
      <c r="A60" t="s">
        <v>160</v>
      </c>
      <c r="B60" t="str">
        <f>INDEX([1]!town_population[Regional Planning Commission],MATCH(town_establishments[[#This Row],[Municipality]],[1]!town_population[Municipality],0))</f>
        <v>Chittenden County Regional Planning Commission</v>
      </c>
      <c r="C60">
        <v>1</v>
      </c>
      <c r="D60">
        <v>2</v>
      </c>
      <c r="H60">
        <v>1</v>
      </c>
      <c r="I60">
        <v>5</v>
      </c>
      <c r="K60">
        <v>1</v>
      </c>
      <c r="L60">
        <v>2</v>
      </c>
      <c r="N60">
        <v>1</v>
      </c>
      <c r="O60">
        <v>1</v>
      </c>
      <c r="Q60">
        <f t="shared" si="0"/>
        <v>14</v>
      </c>
      <c r="R60" s="67">
        <f t="shared" si="1"/>
        <v>7.1428571428571425E-2</v>
      </c>
      <c r="S60" s="67">
        <f t="shared" si="2"/>
        <v>0.14285714285714285</v>
      </c>
      <c r="T60" s="67">
        <f t="shared" si="3"/>
        <v>0</v>
      </c>
      <c r="U60" s="67">
        <f t="shared" si="4"/>
        <v>0</v>
      </c>
      <c r="V60" s="67">
        <f t="shared" si="5"/>
        <v>0</v>
      </c>
      <c r="W60" s="67">
        <f t="shared" si="6"/>
        <v>7.1428571428571425E-2</v>
      </c>
      <c r="X60" s="67">
        <f t="shared" si="7"/>
        <v>0.35714285714285715</v>
      </c>
      <c r="Y60" s="67">
        <f t="shared" si="8"/>
        <v>0</v>
      </c>
      <c r="Z60" s="67">
        <f t="shared" si="9"/>
        <v>7.1428571428571425E-2</v>
      </c>
      <c r="AA60" s="67">
        <f t="shared" si="10"/>
        <v>0.14285714285714285</v>
      </c>
      <c r="AB60" s="67">
        <f t="shared" si="11"/>
        <v>0</v>
      </c>
      <c r="AC60" s="67">
        <f t="shared" si="12"/>
        <v>7.1428571428571425E-2</v>
      </c>
      <c r="AD60" s="67">
        <f t="shared" si="13"/>
        <v>7.1428571428571425E-2</v>
      </c>
      <c r="AE60" s="67">
        <f t="shared" si="14"/>
        <v>0</v>
      </c>
      <c r="AF60" s="67">
        <f t="shared" si="15"/>
        <v>7.3521688898224981E-4</v>
      </c>
      <c r="AG60" s="67">
        <f>town_establishments[[#This Row],[share of state establishments]]/($AF$250-$AF$249)</f>
        <v>7.6049758270411213E-4</v>
      </c>
      <c r="AH60" s="67">
        <f>town_establishments[[#This Row],[share of state establishments (no residual)]]/(INDEX(regional_establishments[share of state establishments],MATCH(town_establishments[[#This Row],[Regional Planning Commission]],regional_establishments[Regional Planning Commission],0)))</f>
        <v>2.5835024912345458E-3</v>
      </c>
    </row>
    <row r="61" spans="1:34" x14ac:dyDescent="0.25">
      <c r="A61" t="s">
        <v>161</v>
      </c>
      <c r="B61" t="str">
        <f>INDEX([1]!town_population[Regional Planning Commission],MATCH(town_establishments[[#This Row],[Municipality]],[1]!town_population[Municipality],0))</f>
        <v>Chittenden County Regional Planning Commission</v>
      </c>
      <c r="C61">
        <v>66</v>
      </c>
      <c r="D61">
        <v>209</v>
      </c>
      <c r="E61">
        <v>23</v>
      </c>
      <c r="F61">
        <v>37</v>
      </c>
      <c r="G61">
        <v>91</v>
      </c>
      <c r="H61">
        <v>63</v>
      </c>
      <c r="I61">
        <v>343</v>
      </c>
      <c r="J61">
        <v>9</v>
      </c>
      <c r="K61">
        <v>92</v>
      </c>
      <c r="L61">
        <v>37</v>
      </c>
      <c r="M61">
        <v>141</v>
      </c>
      <c r="N61">
        <v>32</v>
      </c>
      <c r="O61">
        <v>160</v>
      </c>
      <c r="P61">
        <v>133</v>
      </c>
      <c r="Q61">
        <f t="shared" si="0"/>
        <v>1436</v>
      </c>
      <c r="R61" s="67">
        <f t="shared" si="1"/>
        <v>4.596100278551532E-2</v>
      </c>
      <c r="S61" s="67">
        <f t="shared" si="2"/>
        <v>0.14554317548746518</v>
      </c>
      <c r="T61" s="67">
        <f t="shared" si="3"/>
        <v>1.6016713091922007E-2</v>
      </c>
      <c r="U61" s="67">
        <f t="shared" si="4"/>
        <v>2.5766016713091922E-2</v>
      </c>
      <c r="V61" s="67">
        <f t="shared" si="5"/>
        <v>6.3370473537604458E-2</v>
      </c>
      <c r="W61" s="67">
        <f t="shared" si="6"/>
        <v>4.3871866295264621E-2</v>
      </c>
      <c r="X61" s="67">
        <f t="shared" si="7"/>
        <v>0.23885793871866295</v>
      </c>
      <c r="Y61" s="67">
        <f t="shared" si="8"/>
        <v>6.267409470752089E-3</v>
      </c>
      <c r="Z61" s="67">
        <f t="shared" si="9"/>
        <v>6.4066852367688026E-2</v>
      </c>
      <c r="AA61" s="67">
        <f t="shared" si="10"/>
        <v>2.5766016713091922E-2</v>
      </c>
      <c r="AB61" s="67">
        <f t="shared" si="11"/>
        <v>9.8189415041782732E-2</v>
      </c>
      <c r="AC61" s="67">
        <f t="shared" si="12"/>
        <v>2.2284122562674095E-2</v>
      </c>
      <c r="AD61" s="67">
        <f t="shared" si="13"/>
        <v>0.11142061281337047</v>
      </c>
      <c r="AE61" s="67">
        <f t="shared" si="14"/>
        <v>9.2618384401114209E-2</v>
      </c>
      <c r="AF61" s="67">
        <f t="shared" si="15"/>
        <v>7.5412246612750755E-2</v>
      </c>
      <c r="AG61" s="67">
        <f>town_establishments[[#This Row],[share of state establishments]]/($AF$250-$AF$249)</f>
        <v>7.8005323483078925E-2</v>
      </c>
      <c r="AH61" s="67">
        <f>town_establishments[[#This Row],[share of state establishments (no residual)]]/(INDEX(regional_establishments[share of state establishments],MATCH(town_establishments[[#This Row],[Regional Planning Commission]],regional_establishments[Regional Planning Commission],0)))</f>
        <v>0.26499354124377195</v>
      </c>
    </row>
    <row r="62" spans="1:34" x14ac:dyDescent="0.25">
      <c r="A62" t="s">
        <v>162</v>
      </c>
      <c r="B62" t="str">
        <f>INDEX([1]!town_population[Regional Planning Commission],MATCH(town_establishments[[#This Row],[Municipality]],[1]!town_population[Municipality],0))</f>
        <v>Chittenden County Regional Planning Commission</v>
      </c>
      <c r="C62">
        <v>10</v>
      </c>
      <c r="D62">
        <v>9</v>
      </c>
      <c r="E62">
        <v>1</v>
      </c>
      <c r="F62">
        <v>6</v>
      </c>
      <c r="G62">
        <v>2</v>
      </c>
      <c r="H62">
        <v>2</v>
      </c>
      <c r="I62">
        <v>33</v>
      </c>
      <c r="K62">
        <v>12</v>
      </c>
      <c r="L62">
        <v>5</v>
      </c>
      <c r="M62">
        <v>3</v>
      </c>
      <c r="N62">
        <v>4</v>
      </c>
      <c r="O62">
        <v>3</v>
      </c>
      <c r="P62">
        <v>18</v>
      </c>
      <c r="Q62">
        <f t="shared" si="0"/>
        <v>108</v>
      </c>
      <c r="R62" s="67">
        <f t="shared" si="1"/>
        <v>9.2592592592592587E-2</v>
      </c>
      <c r="S62" s="67">
        <f t="shared" si="2"/>
        <v>8.3333333333333329E-2</v>
      </c>
      <c r="T62" s="67">
        <f t="shared" si="3"/>
        <v>9.2592592592592587E-3</v>
      </c>
      <c r="U62" s="67">
        <f t="shared" si="4"/>
        <v>5.5555555555555552E-2</v>
      </c>
      <c r="V62" s="67">
        <f t="shared" si="5"/>
        <v>1.8518518518518517E-2</v>
      </c>
      <c r="W62" s="67">
        <f t="shared" si="6"/>
        <v>1.8518518518518517E-2</v>
      </c>
      <c r="X62" s="67">
        <f t="shared" si="7"/>
        <v>0.30555555555555558</v>
      </c>
      <c r="Y62" s="67">
        <f t="shared" si="8"/>
        <v>0</v>
      </c>
      <c r="Z62" s="67">
        <f t="shared" si="9"/>
        <v>0.1111111111111111</v>
      </c>
      <c r="AA62" s="67">
        <f t="shared" si="10"/>
        <v>4.6296296296296294E-2</v>
      </c>
      <c r="AB62" s="67">
        <f t="shared" si="11"/>
        <v>2.7777777777777776E-2</v>
      </c>
      <c r="AC62" s="67">
        <f t="shared" si="12"/>
        <v>3.7037037037037035E-2</v>
      </c>
      <c r="AD62" s="67">
        <f t="shared" si="13"/>
        <v>2.7777777777777776E-2</v>
      </c>
      <c r="AE62" s="67">
        <f t="shared" si="14"/>
        <v>0.16666666666666666</v>
      </c>
      <c r="AF62" s="67">
        <f t="shared" si="15"/>
        <v>5.6716731435773552E-3</v>
      </c>
      <c r="AG62" s="67">
        <f>town_establishments[[#This Row],[share of state establishments]]/($AF$250-$AF$249)</f>
        <v>5.8666956380031502E-3</v>
      </c>
      <c r="AH62" s="67">
        <f>town_establishments[[#This Row],[share of state establishments (no residual)]]/(INDEX(regional_establishments[share of state establishments],MATCH(town_establishments[[#This Row],[Regional Planning Commission]],regional_establishments[Regional Planning Commission],0)))</f>
        <v>1.9929876360952208E-2</v>
      </c>
    </row>
    <row r="63" spans="1:34" x14ac:dyDescent="0.25">
      <c r="A63" t="s">
        <v>163</v>
      </c>
      <c r="B63" t="str">
        <f>INDEX([1]!town_population[Regional Planning Commission],MATCH(town_establishments[[#This Row],[Municipality]],[1]!town_population[Municipality],0))</f>
        <v>Chittenden County Regional Planning Commission</v>
      </c>
      <c r="C63">
        <v>45</v>
      </c>
      <c r="D63">
        <v>50</v>
      </c>
      <c r="E63">
        <v>14</v>
      </c>
      <c r="F63">
        <v>22</v>
      </c>
      <c r="G63">
        <v>39</v>
      </c>
      <c r="H63">
        <v>34</v>
      </c>
      <c r="I63">
        <v>91</v>
      </c>
      <c r="J63">
        <v>1</v>
      </c>
      <c r="K63">
        <v>53</v>
      </c>
      <c r="L63">
        <v>12</v>
      </c>
      <c r="M63">
        <v>56</v>
      </c>
      <c r="N63">
        <v>14</v>
      </c>
      <c r="O63">
        <v>42</v>
      </c>
      <c r="P63">
        <v>37</v>
      </c>
      <c r="Q63">
        <f t="shared" si="0"/>
        <v>510</v>
      </c>
      <c r="R63" s="67">
        <f t="shared" si="1"/>
        <v>8.8235294117647065E-2</v>
      </c>
      <c r="S63" s="67">
        <f t="shared" si="2"/>
        <v>9.8039215686274508E-2</v>
      </c>
      <c r="T63" s="67">
        <f t="shared" si="3"/>
        <v>2.7450980392156862E-2</v>
      </c>
      <c r="U63" s="67">
        <f t="shared" si="4"/>
        <v>4.3137254901960784E-2</v>
      </c>
      <c r="V63" s="67">
        <f t="shared" si="5"/>
        <v>7.6470588235294124E-2</v>
      </c>
      <c r="W63" s="67">
        <f t="shared" si="6"/>
        <v>6.6666666666666666E-2</v>
      </c>
      <c r="X63" s="67">
        <f t="shared" si="7"/>
        <v>0.17843137254901961</v>
      </c>
      <c r="Y63" s="67">
        <f t="shared" si="8"/>
        <v>1.9607843137254902E-3</v>
      </c>
      <c r="Z63" s="67">
        <f t="shared" si="9"/>
        <v>0.10392156862745099</v>
      </c>
      <c r="AA63" s="67">
        <f t="shared" si="10"/>
        <v>2.3529411764705882E-2</v>
      </c>
      <c r="AB63" s="67">
        <f t="shared" si="11"/>
        <v>0.10980392156862745</v>
      </c>
      <c r="AC63" s="67">
        <f t="shared" si="12"/>
        <v>2.7450980392156862E-2</v>
      </c>
      <c r="AD63" s="67">
        <f t="shared" si="13"/>
        <v>8.2352941176470587E-2</v>
      </c>
      <c r="AE63" s="67">
        <f t="shared" si="14"/>
        <v>7.2549019607843143E-2</v>
      </c>
      <c r="AF63" s="67">
        <f t="shared" si="15"/>
        <v>2.6782900955781955E-2</v>
      </c>
      <c r="AG63" s="67">
        <f>town_establishments[[#This Row],[share of state establishments]]/($AF$250-$AF$249)</f>
        <v>2.7703840512792656E-2</v>
      </c>
      <c r="AH63" s="67">
        <f>town_establishments[[#This Row],[share of state establishments (no residual)]]/(INDEX(regional_establishments[share of state establishments],MATCH(town_establishments[[#This Row],[Regional Planning Commission]],regional_establishments[Regional Planning Commission],0)))</f>
        <v>9.4113305037829872E-2</v>
      </c>
    </row>
    <row r="64" spans="1:34" x14ac:dyDescent="0.25">
      <c r="A64" t="s">
        <v>164</v>
      </c>
      <c r="B64" t="str">
        <f>INDEX([1]!town_population[Regional Planning Commission],MATCH(town_establishments[[#This Row],[Municipality]],[1]!town_population[Municipality],0))</f>
        <v>Chittenden County Regional Planning Commission</v>
      </c>
      <c r="C64">
        <v>48</v>
      </c>
      <c r="D64">
        <v>96</v>
      </c>
      <c r="E64">
        <v>10</v>
      </c>
      <c r="F64">
        <v>9</v>
      </c>
      <c r="G64">
        <v>35</v>
      </c>
      <c r="H64">
        <v>23</v>
      </c>
      <c r="I64">
        <v>124</v>
      </c>
      <c r="J64">
        <v>4</v>
      </c>
      <c r="K64">
        <v>53</v>
      </c>
      <c r="L64">
        <v>15</v>
      </c>
      <c r="M64">
        <v>57</v>
      </c>
      <c r="N64">
        <v>21</v>
      </c>
      <c r="O64">
        <v>53</v>
      </c>
      <c r="P64">
        <v>78</v>
      </c>
      <c r="Q64">
        <f t="shared" si="0"/>
        <v>626</v>
      </c>
      <c r="R64" s="67">
        <f t="shared" si="1"/>
        <v>7.6677316293929709E-2</v>
      </c>
      <c r="S64" s="67">
        <f t="shared" si="2"/>
        <v>0.15335463258785942</v>
      </c>
      <c r="T64" s="67">
        <f t="shared" si="3"/>
        <v>1.5974440894568689E-2</v>
      </c>
      <c r="U64" s="67">
        <f t="shared" si="4"/>
        <v>1.437699680511182E-2</v>
      </c>
      <c r="V64" s="67">
        <f t="shared" si="5"/>
        <v>5.5910543130990413E-2</v>
      </c>
      <c r="W64" s="67">
        <f t="shared" si="6"/>
        <v>3.6741214057507986E-2</v>
      </c>
      <c r="X64" s="67">
        <f t="shared" si="7"/>
        <v>0.19808306709265175</v>
      </c>
      <c r="Y64" s="67">
        <f t="shared" si="8"/>
        <v>6.3897763578274758E-3</v>
      </c>
      <c r="Z64" s="67">
        <f t="shared" si="9"/>
        <v>8.4664536741214061E-2</v>
      </c>
      <c r="AA64" s="67">
        <f t="shared" si="10"/>
        <v>2.3961661341853034E-2</v>
      </c>
      <c r="AB64" s="67">
        <f t="shared" si="11"/>
        <v>9.1054313099041537E-2</v>
      </c>
      <c r="AC64" s="67">
        <f t="shared" si="12"/>
        <v>3.3546325878594248E-2</v>
      </c>
      <c r="AD64" s="67">
        <f t="shared" si="13"/>
        <v>8.4664536741214061E-2</v>
      </c>
      <c r="AE64" s="67">
        <f t="shared" si="14"/>
        <v>0.12460063897763578</v>
      </c>
      <c r="AF64" s="67">
        <f t="shared" si="15"/>
        <v>3.2874698035920594E-2</v>
      </c>
      <c r="AG64" s="67">
        <f>town_establishments[[#This Row],[share of state establishments]]/($AF$250-$AF$249)</f>
        <v>3.4005106198055295E-2</v>
      </c>
      <c r="AH64" s="67">
        <f>town_establishments[[#This Row],[share of state establishments (no residual)]]/(INDEX(regional_establishments[share of state establishments],MATCH(town_establishments[[#This Row],[Regional Planning Commission]],regional_establishments[Regional Planning Commission],0)))</f>
        <v>0.11551946853663038</v>
      </c>
    </row>
    <row r="65" spans="1:34" x14ac:dyDescent="0.25">
      <c r="A65" t="s">
        <v>165</v>
      </c>
      <c r="B65" t="str">
        <f>INDEX([1]!town_population[Regional Planning Commission],MATCH(town_establishments[[#This Row],[Municipality]],[1]!town_population[Municipality],0))</f>
        <v>Chittenden County Regional Planning Commission</v>
      </c>
      <c r="C65">
        <v>9</v>
      </c>
      <c r="D65">
        <v>13</v>
      </c>
      <c r="E65">
        <v>2</v>
      </c>
      <c r="F65">
        <v>5</v>
      </c>
      <c r="G65">
        <v>4</v>
      </c>
      <c r="I65">
        <v>26</v>
      </c>
      <c r="K65">
        <v>10</v>
      </c>
      <c r="L65">
        <v>2</v>
      </c>
      <c r="M65">
        <v>8</v>
      </c>
      <c r="N65">
        <v>5</v>
      </c>
      <c r="O65">
        <v>6</v>
      </c>
      <c r="P65">
        <v>15</v>
      </c>
      <c r="Q65">
        <f t="shared" si="0"/>
        <v>105</v>
      </c>
      <c r="R65" s="67">
        <f t="shared" si="1"/>
        <v>8.5714285714285715E-2</v>
      </c>
      <c r="S65" s="67">
        <f t="shared" si="2"/>
        <v>0.12380952380952381</v>
      </c>
      <c r="T65" s="67">
        <f t="shared" si="3"/>
        <v>1.9047619047619049E-2</v>
      </c>
      <c r="U65" s="67">
        <f t="shared" si="4"/>
        <v>4.7619047619047616E-2</v>
      </c>
      <c r="V65" s="67">
        <f t="shared" si="5"/>
        <v>3.8095238095238099E-2</v>
      </c>
      <c r="W65" s="67">
        <f t="shared" si="6"/>
        <v>0</v>
      </c>
      <c r="X65" s="67">
        <f t="shared" si="7"/>
        <v>0.24761904761904763</v>
      </c>
      <c r="Y65" s="67">
        <f t="shared" si="8"/>
        <v>0</v>
      </c>
      <c r="Z65" s="67">
        <f t="shared" si="9"/>
        <v>9.5238095238095233E-2</v>
      </c>
      <c r="AA65" s="67">
        <f t="shared" si="10"/>
        <v>1.9047619047619049E-2</v>
      </c>
      <c r="AB65" s="67">
        <f t="shared" si="11"/>
        <v>7.6190476190476197E-2</v>
      </c>
      <c r="AC65" s="67">
        <f t="shared" si="12"/>
        <v>4.7619047619047616E-2</v>
      </c>
      <c r="AD65" s="67">
        <f t="shared" si="13"/>
        <v>5.7142857142857141E-2</v>
      </c>
      <c r="AE65" s="67">
        <f t="shared" si="14"/>
        <v>0.14285714285714285</v>
      </c>
      <c r="AF65" s="67">
        <f t="shared" si="15"/>
        <v>5.514126667366873E-3</v>
      </c>
      <c r="AG65" s="67">
        <f>town_establishments[[#This Row],[share of state establishments]]/($AF$250-$AF$249)</f>
        <v>5.7037318702808405E-3</v>
      </c>
      <c r="AH65" s="67">
        <f>town_establishments[[#This Row],[share of state establishments (no residual)]]/(INDEX(regional_establishments[share of state establishments],MATCH(town_establishments[[#This Row],[Regional Planning Commission]],regional_establishments[Regional Planning Commission],0)))</f>
        <v>1.9376268684259089E-2</v>
      </c>
    </row>
    <row r="66" spans="1:34" x14ac:dyDescent="0.25">
      <c r="A66" t="s">
        <v>166</v>
      </c>
      <c r="B66" t="str">
        <f>INDEX([1]!town_population[Regional Planning Commission],MATCH(town_establishments[[#This Row],[Municipality]],[1]!town_population[Municipality],0))</f>
        <v>Chittenden County Regional Planning Commission</v>
      </c>
      <c r="C66">
        <v>2</v>
      </c>
      <c r="D66">
        <v>2</v>
      </c>
      <c r="E66">
        <v>1</v>
      </c>
      <c r="I66">
        <v>13</v>
      </c>
      <c r="K66">
        <v>3</v>
      </c>
      <c r="L66">
        <v>1</v>
      </c>
      <c r="N66">
        <v>1</v>
      </c>
      <c r="O66">
        <v>2</v>
      </c>
      <c r="P66">
        <v>5</v>
      </c>
      <c r="Q66">
        <f t="shared" si="0"/>
        <v>30</v>
      </c>
      <c r="R66" s="67">
        <f t="shared" si="1"/>
        <v>6.6666666666666666E-2</v>
      </c>
      <c r="S66" s="67">
        <f t="shared" si="2"/>
        <v>6.6666666666666666E-2</v>
      </c>
      <c r="T66" s="67">
        <f t="shared" si="3"/>
        <v>3.3333333333333333E-2</v>
      </c>
      <c r="U66" s="67">
        <f t="shared" si="4"/>
        <v>0</v>
      </c>
      <c r="V66" s="67">
        <f t="shared" si="5"/>
        <v>0</v>
      </c>
      <c r="W66" s="67">
        <f t="shared" si="6"/>
        <v>0</v>
      </c>
      <c r="X66" s="67">
        <f t="shared" si="7"/>
        <v>0.43333333333333335</v>
      </c>
      <c r="Y66" s="67">
        <f t="shared" si="8"/>
        <v>0</v>
      </c>
      <c r="Z66" s="67">
        <f t="shared" si="9"/>
        <v>0.1</v>
      </c>
      <c r="AA66" s="67">
        <f t="shared" si="10"/>
        <v>3.3333333333333333E-2</v>
      </c>
      <c r="AB66" s="67">
        <f t="shared" si="11"/>
        <v>0</v>
      </c>
      <c r="AC66" s="67">
        <f t="shared" si="12"/>
        <v>3.3333333333333333E-2</v>
      </c>
      <c r="AD66" s="67">
        <f t="shared" si="13"/>
        <v>6.6666666666666666E-2</v>
      </c>
      <c r="AE66" s="67">
        <f t="shared" si="14"/>
        <v>0.16666666666666666</v>
      </c>
      <c r="AF66" s="67">
        <f t="shared" si="15"/>
        <v>1.5754647621048208E-3</v>
      </c>
      <c r="AG66" s="67">
        <f>town_establishments[[#This Row],[share of state establishments]]/($AF$250-$AF$249)</f>
        <v>1.6296376772230972E-3</v>
      </c>
      <c r="AH66" s="67">
        <f>town_establishments[[#This Row],[share of state establishments (no residual)]]/(INDEX(regional_establishments[share of state establishments],MATCH(town_establishments[[#This Row],[Regional Planning Commission]],regional_establishments[Regional Planning Commission],0)))</f>
        <v>5.5360767669311688E-3</v>
      </c>
    </row>
    <row r="67" spans="1:34" x14ac:dyDescent="0.25">
      <c r="A67" t="s">
        <v>167</v>
      </c>
      <c r="B67" t="str">
        <f>INDEX([1]!town_population[Regional Planning Commission],MATCH(town_establishments[[#This Row],[Municipality]],[1]!town_population[Municipality],0))</f>
        <v>Chittenden County Regional Planning Commission</v>
      </c>
      <c r="C67">
        <v>6</v>
      </c>
      <c r="D67">
        <v>9</v>
      </c>
      <c r="E67">
        <v>4</v>
      </c>
      <c r="F67">
        <v>1</v>
      </c>
      <c r="G67">
        <v>4</v>
      </c>
      <c r="H67">
        <v>1</v>
      </c>
      <c r="I67">
        <v>23</v>
      </c>
      <c r="J67">
        <v>1</v>
      </c>
      <c r="K67">
        <v>7</v>
      </c>
      <c r="L67">
        <v>4</v>
      </c>
      <c r="M67">
        <v>7</v>
      </c>
      <c r="N67">
        <v>2</v>
      </c>
      <c r="O67">
        <v>3</v>
      </c>
      <c r="P67">
        <v>6</v>
      </c>
      <c r="Q67">
        <f t="shared" ref="Q67:Q130" si="16">SUM(C67:P67)</f>
        <v>78</v>
      </c>
      <c r="R67" s="67">
        <f t="shared" ref="R67:R130" si="17">IF($Q67&lt;&gt;0,C67/$Q67,0)</f>
        <v>7.6923076923076927E-2</v>
      </c>
      <c r="S67" s="67">
        <f t="shared" ref="S67:S130" si="18">IF($Q67&lt;&gt;0,D67/$Q67,0)</f>
        <v>0.11538461538461539</v>
      </c>
      <c r="T67" s="67">
        <f t="shared" ref="T67:T130" si="19">IF($Q67&lt;&gt;0,E67/$Q67,0)</f>
        <v>5.128205128205128E-2</v>
      </c>
      <c r="U67" s="67">
        <f t="shared" ref="U67:U130" si="20">IF($Q67&lt;&gt;0,F67/$Q67,0)</f>
        <v>1.282051282051282E-2</v>
      </c>
      <c r="V67" s="67">
        <f t="shared" ref="V67:V130" si="21">IF($Q67&lt;&gt;0,G67/$Q67,0)</f>
        <v>5.128205128205128E-2</v>
      </c>
      <c r="W67" s="67">
        <f t="shared" ref="W67:W130" si="22">IF($Q67&lt;&gt;0,H67/$Q67,0)</f>
        <v>1.282051282051282E-2</v>
      </c>
      <c r="X67" s="67">
        <f t="shared" ref="X67:X130" si="23">IF($Q67&lt;&gt;0,I67/$Q67,0)</f>
        <v>0.29487179487179488</v>
      </c>
      <c r="Y67" s="67">
        <f t="shared" ref="Y67:Y130" si="24">IF($Q67&lt;&gt;0,J67/$Q67,0)</f>
        <v>1.282051282051282E-2</v>
      </c>
      <c r="Z67" s="67">
        <f t="shared" ref="Z67:Z130" si="25">IF($Q67&lt;&gt;0,K67/$Q67,0)</f>
        <v>8.9743589743589744E-2</v>
      </c>
      <c r="AA67" s="67">
        <f t="shared" ref="AA67:AA130" si="26">IF($Q67&lt;&gt;0,L67/$Q67,0)</f>
        <v>5.128205128205128E-2</v>
      </c>
      <c r="AB67" s="67">
        <f t="shared" ref="AB67:AB130" si="27">IF($Q67&lt;&gt;0,M67/$Q67,0)</f>
        <v>8.9743589743589744E-2</v>
      </c>
      <c r="AC67" s="67">
        <f t="shared" ref="AC67:AC130" si="28">IF($Q67&lt;&gt;0,N67/$Q67,0)</f>
        <v>2.564102564102564E-2</v>
      </c>
      <c r="AD67" s="67">
        <f t="shared" ref="AD67:AD130" si="29">IF($Q67&lt;&gt;0,O67/$Q67,0)</f>
        <v>3.8461538461538464E-2</v>
      </c>
      <c r="AE67" s="67">
        <f t="shared" ref="AE67:AE130" si="30">IF($Q67&lt;&gt;0,P67/$Q67,0)</f>
        <v>7.6923076923076927E-2</v>
      </c>
      <c r="AF67" s="67">
        <f t="shared" ref="AF67:AF130" si="31">Q67/Q$250</f>
        <v>4.0962083814725346E-3</v>
      </c>
      <c r="AG67" s="67">
        <f>town_establishments[[#This Row],[share of state establishments]]/($AF$250-$AF$249)</f>
        <v>4.2370579607800534E-3</v>
      </c>
      <c r="AH67" s="67">
        <f>town_establishments[[#This Row],[share of state establishments (no residual)]]/(INDEX(regional_establishments[share of state establishments],MATCH(town_establishments[[#This Row],[Regional Planning Commission]],regional_establishments[Regional Planning Commission],0)))</f>
        <v>1.4393799594021039E-2</v>
      </c>
    </row>
    <row r="68" spans="1:34" x14ac:dyDescent="0.25">
      <c r="A68" t="s">
        <v>168</v>
      </c>
      <c r="B68" t="str">
        <f>INDEX([1]!town_population[Regional Planning Commission],MATCH(town_establishments[[#This Row],[Municipality]],[1]!town_population[Municipality],0))</f>
        <v>Chittenden County Regional Planning Commission</v>
      </c>
      <c r="C68">
        <v>19</v>
      </c>
      <c r="D68">
        <v>22</v>
      </c>
      <c r="E68">
        <v>11</v>
      </c>
      <c r="F68">
        <v>3</v>
      </c>
      <c r="G68">
        <v>8</v>
      </c>
      <c r="H68">
        <v>8</v>
      </c>
      <c r="I68">
        <v>23</v>
      </c>
      <c r="K68">
        <v>13</v>
      </c>
      <c r="L68">
        <v>2</v>
      </c>
      <c r="M68">
        <v>15</v>
      </c>
      <c r="N68">
        <v>4</v>
      </c>
      <c r="O68">
        <v>12</v>
      </c>
      <c r="P68">
        <v>25</v>
      </c>
      <c r="Q68">
        <f t="shared" si="16"/>
        <v>165</v>
      </c>
      <c r="R68" s="67">
        <f t="shared" si="17"/>
        <v>0.11515151515151516</v>
      </c>
      <c r="S68" s="67">
        <f t="shared" si="18"/>
        <v>0.13333333333333333</v>
      </c>
      <c r="T68" s="67">
        <f t="shared" si="19"/>
        <v>6.6666666666666666E-2</v>
      </c>
      <c r="U68" s="67">
        <f t="shared" si="20"/>
        <v>1.8181818181818181E-2</v>
      </c>
      <c r="V68" s="67">
        <f t="shared" si="21"/>
        <v>4.8484848484848485E-2</v>
      </c>
      <c r="W68" s="67">
        <f t="shared" si="22"/>
        <v>4.8484848484848485E-2</v>
      </c>
      <c r="X68" s="67">
        <f t="shared" si="23"/>
        <v>0.1393939393939394</v>
      </c>
      <c r="Y68" s="67">
        <f t="shared" si="24"/>
        <v>0</v>
      </c>
      <c r="Z68" s="67">
        <f t="shared" si="25"/>
        <v>7.8787878787878782E-2</v>
      </c>
      <c r="AA68" s="67">
        <f t="shared" si="26"/>
        <v>1.2121212121212121E-2</v>
      </c>
      <c r="AB68" s="67">
        <f t="shared" si="27"/>
        <v>9.0909090909090912E-2</v>
      </c>
      <c r="AC68" s="67">
        <f t="shared" si="28"/>
        <v>2.4242424242424242E-2</v>
      </c>
      <c r="AD68" s="67">
        <f t="shared" si="29"/>
        <v>7.2727272727272724E-2</v>
      </c>
      <c r="AE68" s="67">
        <f t="shared" si="30"/>
        <v>0.15151515151515152</v>
      </c>
      <c r="AF68" s="67">
        <f t="shared" si="31"/>
        <v>8.6650561915765159E-3</v>
      </c>
      <c r="AG68" s="67">
        <f>town_establishments[[#This Row],[share of state establishments]]/($AF$250-$AF$249)</f>
        <v>8.9630072247270359E-3</v>
      </c>
      <c r="AH68" s="67">
        <f>town_establishments[[#This Row],[share of state establishments (no residual)]]/(INDEX(regional_establishments[share of state establishments],MATCH(town_establishments[[#This Row],[Regional Planning Commission]],regional_establishments[Regional Planning Commission],0)))</f>
        <v>3.044842221812143E-2</v>
      </c>
    </row>
    <row r="69" spans="1:34" x14ac:dyDescent="0.25">
      <c r="A69" t="s">
        <v>169</v>
      </c>
      <c r="B69" t="str">
        <f>INDEX([1]!town_population[Regional Planning Commission],MATCH(town_establishments[[#This Row],[Municipality]],[1]!town_population[Municipality],0))</f>
        <v>Chittenden County Regional Planning Commission</v>
      </c>
      <c r="C69">
        <v>8</v>
      </c>
      <c r="D69">
        <v>12</v>
      </c>
      <c r="E69">
        <v>3</v>
      </c>
      <c r="F69">
        <v>4</v>
      </c>
      <c r="G69">
        <v>6</v>
      </c>
      <c r="H69">
        <v>5</v>
      </c>
      <c r="I69">
        <v>30</v>
      </c>
      <c r="J69">
        <v>1</v>
      </c>
      <c r="K69">
        <v>14</v>
      </c>
      <c r="L69">
        <v>5</v>
      </c>
      <c r="M69">
        <v>13</v>
      </c>
      <c r="N69">
        <v>3</v>
      </c>
      <c r="O69">
        <v>6</v>
      </c>
      <c r="P69">
        <v>16</v>
      </c>
      <c r="Q69">
        <f t="shared" si="16"/>
        <v>126</v>
      </c>
      <c r="R69" s="67">
        <f t="shared" si="17"/>
        <v>6.3492063492063489E-2</v>
      </c>
      <c r="S69" s="67">
        <f t="shared" si="18"/>
        <v>9.5238095238095233E-2</v>
      </c>
      <c r="T69" s="67">
        <f t="shared" si="19"/>
        <v>2.3809523809523808E-2</v>
      </c>
      <c r="U69" s="67">
        <f t="shared" si="20"/>
        <v>3.1746031746031744E-2</v>
      </c>
      <c r="V69" s="67">
        <f t="shared" si="21"/>
        <v>4.7619047619047616E-2</v>
      </c>
      <c r="W69" s="67">
        <f t="shared" si="22"/>
        <v>3.968253968253968E-2</v>
      </c>
      <c r="X69" s="67">
        <f t="shared" si="23"/>
        <v>0.23809523809523808</v>
      </c>
      <c r="Y69" s="67">
        <f t="shared" si="24"/>
        <v>7.9365079365079361E-3</v>
      </c>
      <c r="Z69" s="67">
        <f t="shared" si="25"/>
        <v>0.1111111111111111</v>
      </c>
      <c r="AA69" s="67">
        <f t="shared" si="26"/>
        <v>3.968253968253968E-2</v>
      </c>
      <c r="AB69" s="67">
        <f t="shared" si="27"/>
        <v>0.10317460317460317</v>
      </c>
      <c r="AC69" s="67">
        <f t="shared" si="28"/>
        <v>2.3809523809523808E-2</v>
      </c>
      <c r="AD69" s="67">
        <f t="shared" si="29"/>
        <v>4.7619047619047616E-2</v>
      </c>
      <c r="AE69" s="67">
        <f t="shared" si="30"/>
        <v>0.12698412698412698</v>
      </c>
      <c r="AF69" s="67">
        <f t="shared" si="31"/>
        <v>6.6169520008402477E-3</v>
      </c>
      <c r="AG69" s="67">
        <f>town_establishments[[#This Row],[share of state establishments]]/($AF$250-$AF$249)</f>
        <v>6.8444782443370092E-3</v>
      </c>
      <c r="AH69" s="67">
        <f>town_establishments[[#This Row],[share of state establishments (no residual)]]/(INDEX(regional_establishments[share of state establishments],MATCH(town_establishments[[#This Row],[Regional Planning Commission]],regional_establishments[Regional Planning Commission],0)))</f>
        <v>2.325152242111091E-2</v>
      </c>
    </row>
    <row r="70" spans="1:34" x14ac:dyDescent="0.25">
      <c r="A70" t="s">
        <v>170</v>
      </c>
      <c r="B70" t="str">
        <f>INDEX([1]!town_population[Regional Planning Commission],MATCH(town_establishments[[#This Row],[Municipality]],[1]!town_population[Municipality],0))</f>
        <v>Chittenden County Regional Planning Commission</v>
      </c>
      <c r="C70">
        <v>1</v>
      </c>
      <c r="D70">
        <v>1</v>
      </c>
      <c r="I70">
        <v>2</v>
      </c>
      <c r="K70">
        <v>1</v>
      </c>
      <c r="M70">
        <v>1</v>
      </c>
      <c r="N70">
        <v>1</v>
      </c>
      <c r="Q70">
        <f t="shared" si="16"/>
        <v>7</v>
      </c>
      <c r="R70" s="67">
        <f t="shared" si="17"/>
        <v>0.14285714285714285</v>
      </c>
      <c r="S70" s="67">
        <f t="shared" si="18"/>
        <v>0.14285714285714285</v>
      </c>
      <c r="T70" s="67">
        <f t="shared" si="19"/>
        <v>0</v>
      </c>
      <c r="U70" s="67">
        <f t="shared" si="20"/>
        <v>0</v>
      </c>
      <c r="V70" s="67">
        <f t="shared" si="21"/>
        <v>0</v>
      </c>
      <c r="W70" s="67">
        <f t="shared" si="22"/>
        <v>0</v>
      </c>
      <c r="X70" s="67">
        <f t="shared" si="23"/>
        <v>0.2857142857142857</v>
      </c>
      <c r="Y70" s="67">
        <f t="shared" si="24"/>
        <v>0</v>
      </c>
      <c r="Z70" s="67">
        <f t="shared" si="25"/>
        <v>0.14285714285714285</v>
      </c>
      <c r="AA70" s="67">
        <f t="shared" si="26"/>
        <v>0</v>
      </c>
      <c r="AB70" s="67">
        <f t="shared" si="27"/>
        <v>0.14285714285714285</v>
      </c>
      <c r="AC70" s="67">
        <f t="shared" si="28"/>
        <v>0.14285714285714285</v>
      </c>
      <c r="AD70" s="67">
        <f t="shared" si="29"/>
        <v>0</v>
      </c>
      <c r="AE70" s="67">
        <f t="shared" si="30"/>
        <v>0</v>
      </c>
      <c r="AF70" s="67">
        <f t="shared" si="31"/>
        <v>3.676084444911249E-4</v>
      </c>
      <c r="AG70" s="67">
        <f>town_establishments[[#This Row],[share of state establishments]]/($AF$250-$AF$249)</f>
        <v>3.8024879135205606E-4</v>
      </c>
      <c r="AH70" s="67">
        <f>town_establishments[[#This Row],[share of state establishments (no residual)]]/(INDEX(regional_establishments[share of state establishments],MATCH(town_establishments[[#This Row],[Regional Planning Commission]],regional_establishments[Regional Planning Commission],0)))</f>
        <v>1.2917512456172729E-3</v>
      </c>
    </row>
    <row r="71" spans="1:34" x14ac:dyDescent="0.25">
      <c r="A71" t="s">
        <v>171</v>
      </c>
      <c r="B71" t="str">
        <f>INDEX([1]!town_population[Regional Planning Commission],MATCH(town_establishments[[#This Row],[Municipality]],[1]!town_population[Municipality],0))</f>
        <v>Chittenden County Regional Planning Commission</v>
      </c>
      <c r="C71">
        <v>27</v>
      </c>
      <c r="D71">
        <v>53</v>
      </c>
      <c r="E71">
        <v>1</v>
      </c>
      <c r="F71">
        <v>7</v>
      </c>
      <c r="G71">
        <v>12</v>
      </c>
      <c r="H71">
        <v>8</v>
      </c>
      <c r="I71">
        <v>56</v>
      </c>
      <c r="J71">
        <v>2</v>
      </c>
      <c r="K71">
        <v>18</v>
      </c>
      <c r="L71">
        <v>14</v>
      </c>
      <c r="M71">
        <v>30</v>
      </c>
      <c r="N71">
        <v>6</v>
      </c>
      <c r="O71">
        <v>27</v>
      </c>
      <c r="P71">
        <v>41</v>
      </c>
      <c r="Q71">
        <f t="shared" si="16"/>
        <v>302</v>
      </c>
      <c r="R71" s="67">
        <f t="shared" si="17"/>
        <v>8.9403973509933773E-2</v>
      </c>
      <c r="S71" s="67">
        <f t="shared" si="18"/>
        <v>0.17549668874172186</v>
      </c>
      <c r="T71" s="67">
        <f t="shared" si="19"/>
        <v>3.3112582781456954E-3</v>
      </c>
      <c r="U71" s="67">
        <f t="shared" si="20"/>
        <v>2.3178807947019868E-2</v>
      </c>
      <c r="V71" s="67">
        <f t="shared" si="21"/>
        <v>3.9735099337748346E-2</v>
      </c>
      <c r="W71" s="67">
        <f t="shared" si="22"/>
        <v>2.6490066225165563E-2</v>
      </c>
      <c r="X71" s="67">
        <f t="shared" si="23"/>
        <v>0.18543046357615894</v>
      </c>
      <c r="Y71" s="67">
        <f t="shared" si="24"/>
        <v>6.6225165562913907E-3</v>
      </c>
      <c r="Z71" s="67">
        <f t="shared" si="25"/>
        <v>5.9602649006622516E-2</v>
      </c>
      <c r="AA71" s="67">
        <f t="shared" si="26"/>
        <v>4.6357615894039736E-2</v>
      </c>
      <c r="AB71" s="67">
        <f t="shared" si="27"/>
        <v>9.9337748344370855E-2</v>
      </c>
      <c r="AC71" s="67">
        <f t="shared" si="28"/>
        <v>1.9867549668874173E-2</v>
      </c>
      <c r="AD71" s="67">
        <f t="shared" si="29"/>
        <v>8.9403973509933773E-2</v>
      </c>
      <c r="AE71" s="67">
        <f t="shared" si="30"/>
        <v>0.13576158940397351</v>
      </c>
      <c r="AF71" s="67">
        <f t="shared" si="31"/>
        <v>1.585967860518853E-2</v>
      </c>
      <c r="AG71" s="67">
        <f>town_establishments[[#This Row],[share of state establishments]]/($AF$250-$AF$249)</f>
        <v>1.6405019284045846E-2</v>
      </c>
      <c r="AH71" s="67">
        <f>town_establishments[[#This Row],[share of state establishments (no residual)]]/(INDEX(regional_establishments[share of state establishments],MATCH(town_establishments[[#This Row],[Regional Planning Commission]],regional_establishments[Regional Planning Commission],0)))</f>
        <v>5.5729839453773765E-2</v>
      </c>
    </row>
    <row r="72" spans="1:34" x14ac:dyDescent="0.25">
      <c r="A72" t="s">
        <v>172</v>
      </c>
      <c r="B72" t="str">
        <f>INDEX([1]!town_population[Regional Planning Commission],MATCH(town_establishments[[#This Row],[Municipality]],[1]!town_population[Municipality],0))</f>
        <v>Chittenden County Regional Planning Commission</v>
      </c>
      <c r="C72">
        <v>61</v>
      </c>
      <c r="D72">
        <v>166</v>
      </c>
      <c r="E72">
        <v>31</v>
      </c>
      <c r="F72">
        <v>29</v>
      </c>
      <c r="G72">
        <v>66</v>
      </c>
      <c r="H72">
        <v>63</v>
      </c>
      <c r="I72">
        <v>171</v>
      </c>
      <c r="J72">
        <v>12</v>
      </c>
      <c r="K72">
        <v>76</v>
      </c>
      <c r="L72">
        <v>21</v>
      </c>
      <c r="M72">
        <v>127</v>
      </c>
      <c r="N72">
        <v>17</v>
      </c>
      <c r="O72">
        <v>87</v>
      </c>
      <c r="P72">
        <v>115</v>
      </c>
      <c r="Q72">
        <f t="shared" si="16"/>
        <v>1042</v>
      </c>
      <c r="R72" s="67">
        <f t="shared" si="17"/>
        <v>5.8541266794625721E-2</v>
      </c>
      <c r="S72" s="67">
        <f t="shared" si="18"/>
        <v>0.15930902111324377</v>
      </c>
      <c r="T72" s="67">
        <f t="shared" si="19"/>
        <v>2.9750479846449136E-2</v>
      </c>
      <c r="U72" s="67">
        <f t="shared" si="20"/>
        <v>2.7831094049904029E-2</v>
      </c>
      <c r="V72" s="67">
        <f t="shared" si="21"/>
        <v>6.3339731285988479E-2</v>
      </c>
      <c r="W72" s="67">
        <f t="shared" si="22"/>
        <v>6.0460652591170824E-2</v>
      </c>
      <c r="X72" s="67">
        <f t="shared" si="23"/>
        <v>0.16410748560460653</v>
      </c>
      <c r="Y72" s="67">
        <f t="shared" si="24"/>
        <v>1.1516314779270634E-2</v>
      </c>
      <c r="Z72" s="67">
        <f t="shared" si="25"/>
        <v>7.293666026871401E-2</v>
      </c>
      <c r="AA72" s="67">
        <f t="shared" si="26"/>
        <v>2.0153550863723609E-2</v>
      </c>
      <c r="AB72" s="67">
        <f t="shared" si="27"/>
        <v>0.1218809980806142</v>
      </c>
      <c r="AC72" s="67">
        <f t="shared" si="28"/>
        <v>1.6314779270633396E-2</v>
      </c>
      <c r="AD72" s="67">
        <f t="shared" si="29"/>
        <v>8.3493282149712092E-2</v>
      </c>
      <c r="AE72" s="67">
        <f t="shared" si="30"/>
        <v>0.11036468330134357</v>
      </c>
      <c r="AF72" s="67">
        <f t="shared" si="31"/>
        <v>5.4721142737107445E-2</v>
      </c>
      <c r="AG72" s="67">
        <f>town_establishments[[#This Row],[share of state establishments]]/($AF$250-$AF$249)</f>
        <v>5.6602748655548915E-2</v>
      </c>
      <c r="AH72" s="67">
        <f>town_establishments[[#This Row],[share of state establishments (no residual)]]/(INDEX(regional_establishments[share of state establishments],MATCH(town_establishments[[#This Row],[Regional Planning Commission]],regional_establishments[Regional Planning Commission],0)))</f>
        <v>0.19228639970474259</v>
      </c>
    </row>
    <row r="73" spans="1:34" x14ac:dyDescent="0.25">
      <c r="A73" t="s">
        <v>173</v>
      </c>
      <c r="B73" t="str">
        <f>INDEX([1]!town_population[Regional Planning Commission],MATCH(town_establishments[[#This Row],[Municipality]],[1]!town_population[Municipality],0))</f>
        <v>Chittenden County Regional Planning Commission</v>
      </c>
      <c r="C73">
        <v>7</v>
      </c>
      <c r="D73">
        <v>3</v>
      </c>
      <c r="E73">
        <v>2</v>
      </c>
      <c r="I73">
        <v>10</v>
      </c>
      <c r="K73">
        <v>6</v>
      </c>
      <c r="L73">
        <v>4</v>
      </c>
      <c r="M73">
        <v>2</v>
      </c>
      <c r="N73">
        <v>1</v>
      </c>
      <c r="P73">
        <v>3</v>
      </c>
      <c r="Q73">
        <f t="shared" si="16"/>
        <v>38</v>
      </c>
      <c r="R73" s="67">
        <f t="shared" si="17"/>
        <v>0.18421052631578946</v>
      </c>
      <c r="S73" s="67">
        <f t="shared" si="18"/>
        <v>7.8947368421052627E-2</v>
      </c>
      <c r="T73" s="67">
        <f t="shared" si="19"/>
        <v>5.2631578947368418E-2</v>
      </c>
      <c r="U73" s="67">
        <f t="shared" si="20"/>
        <v>0</v>
      </c>
      <c r="V73" s="67">
        <f t="shared" si="21"/>
        <v>0</v>
      </c>
      <c r="W73" s="67">
        <f t="shared" si="22"/>
        <v>0</v>
      </c>
      <c r="X73" s="67">
        <f t="shared" si="23"/>
        <v>0.26315789473684209</v>
      </c>
      <c r="Y73" s="67">
        <f t="shared" si="24"/>
        <v>0</v>
      </c>
      <c r="Z73" s="67">
        <f t="shared" si="25"/>
        <v>0.15789473684210525</v>
      </c>
      <c r="AA73" s="67">
        <f t="shared" si="26"/>
        <v>0.10526315789473684</v>
      </c>
      <c r="AB73" s="67">
        <f t="shared" si="27"/>
        <v>5.2631578947368418E-2</v>
      </c>
      <c r="AC73" s="67">
        <f t="shared" si="28"/>
        <v>2.6315789473684209E-2</v>
      </c>
      <c r="AD73" s="67">
        <f t="shared" si="29"/>
        <v>0</v>
      </c>
      <c r="AE73" s="67">
        <f t="shared" si="30"/>
        <v>7.8947368421052627E-2</v>
      </c>
      <c r="AF73" s="67">
        <f t="shared" si="31"/>
        <v>1.9955886986661067E-3</v>
      </c>
      <c r="AG73" s="67">
        <f>town_establishments[[#This Row],[share of state establishments]]/($AF$250-$AF$249)</f>
        <v>2.0642077244825904E-3</v>
      </c>
      <c r="AH73" s="67">
        <f>town_establishments[[#This Row],[share of state establishments (no residual)]]/(INDEX(regional_establishments[share of state establishments],MATCH(town_establishments[[#This Row],[Regional Planning Commission]],regional_establishments[Regional Planning Commission],0)))</f>
        <v>7.012363904779482E-3</v>
      </c>
    </row>
    <row r="74" spans="1:34" x14ac:dyDescent="0.25">
      <c r="A74" t="s">
        <v>174</v>
      </c>
      <c r="B74" t="str">
        <f>INDEX([1]!town_population[Regional Planning Commission],MATCH(town_establishments[[#This Row],[Municipality]],[1]!town_population[Municipality],0))</f>
        <v>Chittenden County Regional Planning Commission</v>
      </c>
      <c r="C74">
        <v>2</v>
      </c>
      <c r="D74">
        <v>5</v>
      </c>
      <c r="E74">
        <v>2</v>
      </c>
      <c r="H74">
        <v>1</v>
      </c>
      <c r="I74">
        <v>6</v>
      </c>
      <c r="K74">
        <v>5</v>
      </c>
      <c r="L74">
        <v>1</v>
      </c>
      <c r="P74">
        <v>4</v>
      </c>
      <c r="Q74">
        <f t="shared" si="16"/>
        <v>26</v>
      </c>
      <c r="R74" s="67">
        <f t="shared" si="17"/>
        <v>7.6923076923076927E-2</v>
      </c>
      <c r="S74" s="67">
        <f t="shared" si="18"/>
        <v>0.19230769230769232</v>
      </c>
      <c r="T74" s="67">
        <f t="shared" si="19"/>
        <v>7.6923076923076927E-2</v>
      </c>
      <c r="U74" s="67">
        <f t="shared" si="20"/>
        <v>0</v>
      </c>
      <c r="V74" s="67">
        <f t="shared" si="21"/>
        <v>0</v>
      </c>
      <c r="W74" s="67">
        <f t="shared" si="22"/>
        <v>3.8461538461538464E-2</v>
      </c>
      <c r="X74" s="67">
        <f t="shared" si="23"/>
        <v>0.23076923076923078</v>
      </c>
      <c r="Y74" s="67">
        <f t="shared" si="24"/>
        <v>0</v>
      </c>
      <c r="Z74" s="67">
        <f t="shared" si="25"/>
        <v>0.19230769230769232</v>
      </c>
      <c r="AA74" s="67">
        <f t="shared" si="26"/>
        <v>3.8461538461538464E-2</v>
      </c>
      <c r="AB74" s="67">
        <f t="shared" si="27"/>
        <v>0</v>
      </c>
      <c r="AC74" s="67">
        <f t="shared" si="28"/>
        <v>0</v>
      </c>
      <c r="AD74" s="67">
        <f t="shared" si="29"/>
        <v>0</v>
      </c>
      <c r="AE74" s="67">
        <f t="shared" si="30"/>
        <v>0.15384615384615385</v>
      </c>
      <c r="AF74" s="67">
        <f t="shared" si="31"/>
        <v>1.3654027938241782E-3</v>
      </c>
      <c r="AG74" s="67">
        <f>town_establishments[[#This Row],[share of state establishments]]/($AF$250-$AF$249)</f>
        <v>1.4123526535933511E-3</v>
      </c>
      <c r="AH74" s="67">
        <f>town_establishments[[#This Row],[share of state establishments (no residual)]]/(INDEX(regional_establishments[share of state establishments],MATCH(town_establishments[[#This Row],[Regional Planning Commission]],regional_establishments[Regional Planning Commission],0)))</f>
        <v>4.7979331980070134E-3</v>
      </c>
    </row>
    <row r="75" spans="1:34" x14ac:dyDescent="0.25">
      <c r="A75" t="s">
        <v>175</v>
      </c>
      <c r="B75" t="str">
        <f>INDEX([1]!town_population[Regional Planning Commission],MATCH(town_establishments[[#This Row],[Municipality]],[1]!town_population[Municipality],0))</f>
        <v>Chittenden County Regional Planning Commission</v>
      </c>
      <c r="C75">
        <v>81</v>
      </c>
      <c r="D75">
        <v>102</v>
      </c>
      <c r="E75">
        <v>34</v>
      </c>
      <c r="F75">
        <v>22</v>
      </c>
      <c r="G75">
        <v>35</v>
      </c>
      <c r="H75">
        <v>20</v>
      </c>
      <c r="I75">
        <v>138</v>
      </c>
      <c r="J75">
        <v>2</v>
      </c>
      <c r="K75">
        <v>65</v>
      </c>
      <c r="L75">
        <v>11</v>
      </c>
      <c r="M75">
        <v>45</v>
      </c>
      <c r="N75">
        <v>10</v>
      </c>
      <c r="O75">
        <v>36</v>
      </c>
      <c r="P75">
        <v>54</v>
      </c>
      <c r="Q75">
        <f t="shared" si="16"/>
        <v>655</v>
      </c>
      <c r="R75" s="67">
        <f t="shared" si="17"/>
        <v>0.12366412213740458</v>
      </c>
      <c r="S75" s="67">
        <f t="shared" si="18"/>
        <v>0.15572519083969466</v>
      </c>
      <c r="T75" s="67">
        <f t="shared" si="19"/>
        <v>5.1908396946564885E-2</v>
      </c>
      <c r="U75" s="67">
        <f t="shared" si="20"/>
        <v>3.3587786259541987E-2</v>
      </c>
      <c r="V75" s="67">
        <f t="shared" si="21"/>
        <v>5.3435114503816793E-2</v>
      </c>
      <c r="W75" s="67">
        <f t="shared" si="22"/>
        <v>3.0534351145038167E-2</v>
      </c>
      <c r="X75" s="67">
        <f t="shared" si="23"/>
        <v>0.21068702290076335</v>
      </c>
      <c r="Y75" s="67">
        <f t="shared" si="24"/>
        <v>3.0534351145038168E-3</v>
      </c>
      <c r="Z75" s="67">
        <f t="shared" si="25"/>
        <v>9.9236641221374045E-2</v>
      </c>
      <c r="AA75" s="67">
        <f t="shared" si="26"/>
        <v>1.6793893129770993E-2</v>
      </c>
      <c r="AB75" s="67">
        <f t="shared" si="27"/>
        <v>6.8702290076335881E-2</v>
      </c>
      <c r="AC75" s="67">
        <f t="shared" si="28"/>
        <v>1.5267175572519083E-2</v>
      </c>
      <c r="AD75" s="67">
        <f t="shared" si="29"/>
        <v>5.4961832061068701E-2</v>
      </c>
      <c r="AE75" s="67">
        <f t="shared" si="30"/>
        <v>8.2442748091603055E-2</v>
      </c>
      <c r="AF75" s="67">
        <f t="shared" si="31"/>
        <v>3.4397647305955258E-2</v>
      </c>
      <c r="AG75" s="67">
        <f>town_establishments[[#This Row],[share of state establishments]]/($AF$250-$AF$249)</f>
        <v>3.5580422619370958E-2</v>
      </c>
      <c r="AH75" s="67">
        <f>town_establishments[[#This Row],[share of state establishments (no residual)]]/(INDEX(regional_establishments[share of state establishments],MATCH(town_establishments[[#This Row],[Regional Planning Commission]],regional_establishments[Regional Planning Commission],0)))</f>
        <v>0.12087100941133051</v>
      </c>
    </row>
    <row r="76" spans="1:34" x14ac:dyDescent="0.25">
      <c r="A76" t="s">
        <v>176</v>
      </c>
      <c r="B76" t="str">
        <f>INDEX([1]!town_population[Regional Planning Commission],MATCH(town_establishments[[#This Row],[Municipality]],[1]!town_population[Municipality],0))</f>
        <v>Chittenden County Regional Planning Commission</v>
      </c>
      <c r="C76">
        <v>7</v>
      </c>
      <c r="D76">
        <v>19</v>
      </c>
      <c r="E76">
        <v>2</v>
      </c>
      <c r="F76">
        <v>4</v>
      </c>
      <c r="G76">
        <v>9</v>
      </c>
      <c r="H76">
        <v>7</v>
      </c>
      <c r="I76">
        <v>37</v>
      </c>
      <c r="J76">
        <v>1</v>
      </c>
      <c r="K76">
        <v>11</v>
      </c>
      <c r="L76">
        <v>2</v>
      </c>
      <c r="M76">
        <v>12</v>
      </c>
      <c r="N76">
        <v>3</v>
      </c>
      <c r="O76">
        <v>21</v>
      </c>
      <c r="P76">
        <v>16</v>
      </c>
      <c r="Q76">
        <f t="shared" si="16"/>
        <v>151</v>
      </c>
      <c r="R76" s="67">
        <f t="shared" si="17"/>
        <v>4.6357615894039736E-2</v>
      </c>
      <c r="S76" s="67">
        <f t="shared" si="18"/>
        <v>0.12582781456953643</v>
      </c>
      <c r="T76" s="67">
        <f t="shared" si="19"/>
        <v>1.3245033112582781E-2</v>
      </c>
      <c r="U76" s="67">
        <f t="shared" si="20"/>
        <v>2.6490066225165563E-2</v>
      </c>
      <c r="V76" s="67">
        <f t="shared" si="21"/>
        <v>5.9602649006622516E-2</v>
      </c>
      <c r="W76" s="67">
        <f t="shared" si="22"/>
        <v>4.6357615894039736E-2</v>
      </c>
      <c r="X76" s="67">
        <f t="shared" si="23"/>
        <v>0.24503311258278146</v>
      </c>
      <c r="Y76" s="67">
        <f t="shared" si="24"/>
        <v>6.6225165562913907E-3</v>
      </c>
      <c r="Z76" s="67">
        <f t="shared" si="25"/>
        <v>7.2847682119205295E-2</v>
      </c>
      <c r="AA76" s="67">
        <f t="shared" si="26"/>
        <v>1.3245033112582781E-2</v>
      </c>
      <c r="AB76" s="67">
        <f t="shared" si="27"/>
        <v>7.9470198675496692E-2</v>
      </c>
      <c r="AC76" s="67">
        <f t="shared" si="28"/>
        <v>1.9867549668874173E-2</v>
      </c>
      <c r="AD76" s="67">
        <f t="shared" si="29"/>
        <v>0.13907284768211919</v>
      </c>
      <c r="AE76" s="67">
        <f t="shared" si="30"/>
        <v>0.10596026490066225</v>
      </c>
      <c r="AF76" s="67">
        <f t="shared" si="31"/>
        <v>7.9298393025942649E-3</v>
      </c>
      <c r="AG76" s="67">
        <f>town_establishments[[#This Row],[share of state establishments]]/($AF$250-$AF$249)</f>
        <v>8.2025096420229229E-3</v>
      </c>
      <c r="AH76" s="67">
        <f>town_establishments[[#This Row],[share of state establishments (no residual)]]/(INDEX(regional_establishments[share of state establishments],MATCH(town_establishments[[#This Row],[Regional Planning Commission]],regional_establishments[Regional Planning Commission],0)))</f>
        <v>2.7864919726886882E-2</v>
      </c>
    </row>
    <row r="77" spans="1:34" x14ac:dyDescent="0.25">
      <c r="A77" t="s">
        <v>177</v>
      </c>
      <c r="B77" t="str">
        <f>INDEX([1]!town_population[Regional Planning Commission],MATCH(town_establishments[[#This Row],[Municipality]],[1]!town_population[Municipality],0))</f>
        <v>Lamoille County Planning Commission</v>
      </c>
      <c r="E77">
        <v>1</v>
      </c>
      <c r="F77">
        <v>1</v>
      </c>
      <c r="I77">
        <v>1</v>
      </c>
      <c r="L77">
        <v>1</v>
      </c>
      <c r="P77">
        <v>1</v>
      </c>
      <c r="Q77">
        <f t="shared" si="16"/>
        <v>5</v>
      </c>
      <c r="R77" s="67">
        <f t="shared" si="17"/>
        <v>0</v>
      </c>
      <c r="S77" s="67">
        <f t="shared" si="18"/>
        <v>0</v>
      </c>
      <c r="T77" s="67">
        <f t="shared" si="19"/>
        <v>0.2</v>
      </c>
      <c r="U77" s="67">
        <f t="shared" si="20"/>
        <v>0.2</v>
      </c>
      <c r="V77" s="67">
        <f t="shared" si="21"/>
        <v>0</v>
      </c>
      <c r="W77" s="67">
        <f t="shared" si="22"/>
        <v>0</v>
      </c>
      <c r="X77" s="67">
        <f t="shared" si="23"/>
        <v>0.2</v>
      </c>
      <c r="Y77" s="67">
        <f t="shared" si="24"/>
        <v>0</v>
      </c>
      <c r="Z77" s="67">
        <f t="shared" si="25"/>
        <v>0</v>
      </c>
      <c r="AA77" s="67">
        <f t="shared" si="26"/>
        <v>0.2</v>
      </c>
      <c r="AB77" s="67">
        <f t="shared" si="27"/>
        <v>0</v>
      </c>
      <c r="AC77" s="67">
        <f t="shared" si="28"/>
        <v>0</v>
      </c>
      <c r="AD77" s="67">
        <f t="shared" si="29"/>
        <v>0</v>
      </c>
      <c r="AE77" s="67">
        <f t="shared" si="30"/>
        <v>0.2</v>
      </c>
      <c r="AF77" s="67">
        <f t="shared" si="31"/>
        <v>2.6257746035080349E-4</v>
      </c>
      <c r="AG77" s="67">
        <f>town_establishments[[#This Row],[share of state establishments]]/($AF$250-$AF$249)</f>
        <v>2.7160627953718287E-4</v>
      </c>
      <c r="AH77" s="67">
        <f>town_establishments[[#This Row],[share of state establishments (no residual)]]/(INDEX(regional_establishments[share of state establishments],MATCH(town_establishments[[#This Row],[Regional Planning Commission]],regional_establishments[Regional Planning Commission],0)))</f>
        <v>6.1274509803921559E-3</v>
      </c>
    </row>
    <row r="78" spans="1:34" x14ac:dyDescent="0.25">
      <c r="A78" t="s">
        <v>178</v>
      </c>
      <c r="B78" t="str">
        <f>INDEX([1]!town_population[Regional Planning Commission],MATCH(town_establishments[[#This Row],[Municipality]],[1]!town_population[Municipality],0))</f>
        <v>Lamoille County Planning Commission</v>
      </c>
      <c r="C78">
        <v>7</v>
      </c>
      <c r="D78">
        <v>14</v>
      </c>
      <c r="E78">
        <v>2</v>
      </c>
      <c r="F78">
        <v>1</v>
      </c>
      <c r="G78">
        <v>3</v>
      </c>
      <c r="H78">
        <v>1</v>
      </c>
      <c r="I78">
        <v>14</v>
      </c>
      <c r="K78">
        <v>12</v>
      </c>
      <c r="L78">
        <v>1</v>
      </c>
      <c r="M78">
        <v>8</v>
      </c>
      <c r="N78">
        <v>5</v>
      </c>
      <c r="O78">
        <v>14</v>
      </c>
      <c r="P78">
        <v>13</v>
      </c>
      <c r="Q78">
        <f t="shared" si="16"/>
        <v>95</v>
      </c>
      <c r="R78" s="67">
        <f t="shared" si="17"/>
        <v>7.3684210526315783E-2</v>
      </c>
      <c r="S78" s="67">
        <f t="shared" si="18"/>
        <v>0.14736842105263157</v>
      </c>
      <c r="T78" s="67">
        <f t="shared" si="19"/>
        <v>2.1052631578947368E-2</v>
      </c>
      <c r="U78" s="67">
        <f t="shared" si="20"/>
        <v>1.0526315789473684E-2</v>
      </c>
      <c r="V78" s="67">
        <f t="shared" si="21"/>
        <v>3.1578947368421054E-2</v>
      </c>
      <c r="W78" s="67">
        <f t="shared" si="22"/>
        <v>1.0526315789473684E-2</v>
      </c>
      <c r="X78" s="67">
        <f t="shared" si="23"/>
        <v>0.14736842105263157</v>
      </c>
      <c r="Y78" s="67">
        <f t="shared" si="24"/>
        <v>0</v>
      </c>
      <c r="Z78" s="67">
        <f t="shared" si="25"/>
        <v>0.12631578947368421</v>
      </c>
      <c r="AA78" s="67">
        <f t="shared" si="26"/>
        <v>1.0526315789473684E-2</v>
      </c>
      <c r="AB78" s="67">
        <f t="shared" si="27"/>
        <v>8.4210526315789472E-2</v>
      </c>
      <c r="AC78" s="67">
        <f t="shared" si="28"/>
        <v>5.2631578947368418E-2</v>
      </c>
      <c r="AD78" s="67">
        <f t="shared" si="29"/>
        <v>0.14736842105263157</v>
      </c>
      <c r="AE78" s="67">
        <f t="shared" si="30"/>
        <v>0.1368421052631579</v>
      </c>
      <c r="AF78" s="67">
        <f t="shared" si="31"/>
        <v>4.9889717466652661E-3</v>
      </c>
      <c r="AG78" s="67">
        <f>town_establishments[[#This Row],[share of state establishments]]/($AF$250-$AF$249)</f>
        <v>5.1605193112064752E-3</v>
      </c>
      <c r="AH78" s="67">
        <f>town_establishments[[#This Row],[share of state establishments (no residual)]]/(INDEX(regional_establishments[share of state establishments],MATCH(town_establishments[[#This Row],[Regional Planning Commission]],regional_establishments[Regional Planning Commission],0)))</f>
        <v>0.11642156862745097</v>
      </c>
    </row>
    <row r="79" spans="1:34" x14ac:dyDescent="0.25">
      <c r="A79" t="s">
        <v>179</v>
      </c>
      <c r="B79" t="str">
        <f>INDEX([1]!town_population[Regional Planning Commission],MATCH(town_establishments[[#This Row],[Municipality]],[1]!town_population[Municipality],0))</f>
        <v>Lamoille County Planning Commission</v>
      </c>
      <c r="C79">
        <v>0</v>
      </c>
      <c r="D79">
        <v>3</v>
      </c>
      <c r="E79">
        <v>1</v>
      </c>
      <c r="I79">
        <v>2</v>
      </c>
      <c r="K79">
        <v>2</v>
      </c>
      <c r="L79">
        <v>1</v>
      </c>
      <c r="Q79">
        <f t="shared" si="16"/>
        <v>9</v>
      </c>
      <c r="R79" s="67">
        <f t="shared" si="17"/>
        <v>0</v>
      </c>
      <c r="S79" s="67">
        <f t="shared" si="18"/>
        <v>0.33333333333333331</v>
      </c>
      <c r="T79" s="67">
        <f t="shared" si="19"/>
        <v>0.1111111111111111</v>
      </c>
      <c r="U79" s="67">
        <f t="shared" si="20"/>
        <v>0</v>
      </c>
      <c r="V79" s="67">
        <f t="shared" si="21"/>
        <v>0</v>
      </c>
      <c r="W79" s="67">
        <f t="shared" si="22"/>
        <v>0</v>
      </c>
      <c r="X79" s="67">
        <f t="shared" si="23"/>
        <v>0.22222222222222221</v>
      </c>
      <c r="Y79" s="67">
        <f t="shared" si="24"/>
        <v>0</v>
      </c>
      <c r="Z79" s="67">
        <f t="shared" si="25"/>
        <v>0.22222222222222221</v>
      </c>
      <c r="AA79" s="67">
        <f t="shared" si="26"/>
        <v>0.1111111111111111</v>
      </c>
      <c r="AB79" s="67">
        <f t="shared" si="27"/>
        <v>0</v>
      </c>
      <c r="AC79" s="67">
        <f t="shared" si="28"/>
        <v>0</v>
      </c>
      <c r="AD79" s="67">
        <f t="shared" si="29"/>
        <v>0</v>
      </c>
      <c r="AE79" s="67">
        <f t="shared" si="30"/>
        <v>0</v>
      </c>
      <c r="AF79" s="67">
        <f t="shared" si="31"/>
        <v>4.7263942863144627E-4</v>
      </c>
      <c r="AG79" s="67">
        <f>town_establishments[[#This Row],[share of state establishments]]/($AF$250-$AF$249)</f>
        <v>4.8889130316692926E-4</v>
      </c>
      <c r="AH79" s="67">
        <f>town_establishments[[#This Row],[share of state establishments (no residual)]]/(INDEX(regional_establishments[share of state establishments],MATCH(town_establishments[[#This Row],[Regional Planning Commission]],regional_establishments[Regional Planning Commission],0)))</f>
        <v>1.1029411764705881E-2</v>
      </c>
    </row>
    <row r="80" spans="1:34" x14ac:dyDescent="0.25">
      <c r="A80" t="s">
        <v>180</v>
      </c>
      <c r="B80" t="str">
        <f>INDEX([1]!town_population[Regional Planning Commission],MATCH(town_establishments[[#This Row],[Municipality]],[1]!town_population[Municipality],0))</f>
        <v>Lamoille County Planning Commission</v>
      </c>
      <c r="D80">
        <v>1</v>
      </c>
      <c r="I80">
        <v>3</v>
      </c>
      <c r="K80">
        <v>3</v>
      </c>
      <c r="L80">
        <v>1</v>
      </c>
      <c r="N80">
        <v>1</v>
      </c>
      <c r="O80">
        <v>1</v>
      </c>
      <c r="Q80">
        <f t="shared" si="16"/>
        <v>10</v>
      </c>
      <c r="R80" s="67">
        <f t="shared" si="17"/>
        <v>0</v>
      </c>
      <c r="S80" s="67">
        <f t="shared" si="18"/>
        <v>0.1</v>
      </c>
      <c r="T80" s="67">
        <f t="shared" si="19"/>
        <v>0</v>
      </c>
      <c r="U80" s="67">
        <f t="shared" si="20"/>
        <v>0</v>
      </c>
      <c r="V80" s="67">
        <f t="shared" si="21"/>
        <v>0</v>
      </c>
      <c r="W80" s="67">
        <f t="shared" si="22"/>
        <v>0</v>
      </c>
      <c r="X80" s="67">
        <f t="shared" si="23"/>
        <v>0.3</v>
      </c>
      <c r="Y80" s="67">
        <f t="shared" si="24"/>
        <v>0</v>
      </c>
      <c r="Z80" s="67">
        <f t="shared" si="25"/>
        <v>0.3</v>
      </c>
      <c r="AA80" s="67">
        <f t="shared" si="26"/>
        <v>0.1</v>
      </c>
      <c r="AB80" s="67">
        <f t="shared" si="27"/>
        <v>0</v>
      </c>
      <c r="AC80" s="67">
        <f t="shared" si="28"/>
        <v>0.1</v>
      </c>
      <c r="AD80" s="67">
        <f t="shared" si="29"/>
        <v>0.1</v>
      </c>
      <c r="AE80" s="67">
        <f t="shared" si="30"/>
        <v>0</v>
      </c>
      <c r="AF80" s="67">
        <f t="shared" si="31"/>
        <v>5.2515492070160698E-4</v>
      </c>
      <c r="AG80" s="67">
        <f>town_establishments[[#This Row],[share of state establishments]]/($AF$250-$AF$249)</f>
        <v>5.4321255907436574E-4</v>
      </c>
      <c r="AH80" s="67">
        <f>town_establishments[[#This Row],[share of state establishments (no residual)]]/(INDEX(regional_establishments[share of state establishments],MATCH(town_establishments[[#This Row],[Regional Planning Commission]],regional_establishments[Regional Planning Commission],0)))</f>
        <v>1.2254901960784312E-2</v>
      </c>
    </row>
    <row r="81" spans="1:34" x14ac:dyDescent="0.25">
      <c r="A81" t="s">
        <v>181</v>
      </c>
      <c r="B81" t="str">
        <f>INDEX([1]!town_population[Regional Planning Commission],MATCH(town_establishments[[#This Row],[Municipality]],[1]!town_population[Municipality],0))</f>
        <v>Lamoille County Planning Commission</v>
      </c>
      <c r="C81">
        <v>5</v>
      </c>
      <c r="D81">
        <v>2</v>
      </c>
      <c r="E81">
        <v>4</v>
      </c>
      <c r="F81">
        <v>1</v>
      </c>
      <c r="I81">
        <v>10</v>
      </c>
      <c r="K81">
        <v>15</v>
      </c>
      <c r="L81">
        <v>1</v>
      </c>
      <c r="M81">
        <v>5</v>
      </c>
      <c r="O81">
        <v>1</v>
      </c>
      <c r="P81">
        <v>6</v>
      </c>
      <c r="Q81">
        <f t="shared" si="16"/>
        <v>50</v>
      </c>
      <c r="R81" s="67">
        <f t="shared" si="17"/>
        <v>0.1</v>
      </c>
      <c r="S81" s="67">
        <f t="shared" si="18"/>
        <v>0.04</v>
      </c>
      <c r="T81" s="67">
        <f t="shared" si="19"/>
        <v>0.08</v>
      </c>
      <c r="U81" s="67">
        <f t="shared" si="20"/>
        <v>0.02</v>
      </c>
      <c r="V81" s="67">
        <f t="shared" si="21"/>
        <v>0</v>
      </c>
      <c r="W81" s="67">
        <f t="shared" si="22"/>
        <v>0</v>
      </c>
      <c r="X81" s="67">
        <f t="shared" si="23"/>
        <v>0.2</v>
      </c>
      <c r="Y81" s="67">
        <f t="shared" si="24"/>
        <v>0</v>
      </c>
      <c r="Z81" s="67">
        <f t="shared" si="25"/>
        <v>0.3</v>
      </c>
      <c r="AA81" s="67">
        <f t="shared" si="26"/>
        <v>0.02</v>
      </c>
      <c r="AB81" s="67">
        <f t="shared" si="27"/>
        <v>0.1</v>
      </c>
      <c r="AC81" s="67">
        <f t="shared" si="28"/>
        <v>0</v>
      </c>
      <c r="AD81" s="67">
        <f t="shared" si="29"/>
        <v>0.02</v>
      </c>
      <c r="AE81" s="67">
        <f t="shared" si="30"/>
        <v>0.12</v>
      </c>
      <c r="AF81" s="67">
        <f t="shared" si="31"/>
        <v>2.6257746035080348E-3</v>
      </c>
      <c r="AG81" s="67">
        <f>town_establishments[[#This Row],[share of state establishments]]/($AF$250-$AF$249)</f>
        <v>2.7160627953718287E-3</v>
      </c>
      <c r="AH81" s="67">
        <f>town_establishments[[#This Row],[share of state establishments (no residual)]]/(INDEX(regional_establishments[share of state establishments],MATCH(town_establishments[[#This Row],[Regional Planning Commission]],regional_establishments[Regional Planning Commission],0)))</f>
        <v>6.1274509803921559E-2</v>
      </c>
    </row>
    <row r="82" spans="1:34" x14ac:dyDescent="0.25">
      <c r="A82" t="s">
        <v>182</v>
      </c>
      <c r="B82" t="str">
        <f>INDEX([1]!town_population[Regional Planning Commission],MATCH(town_establishments[[#This Row],[Municipality]],[1]!town_population[Municipality],0))</f>
        <v>Lamoille County Planning Commission</v>
      </c>
      <c r="C82">
        <v>6</v>
      </c>
      <c r="D82">
        <v>17</v>
      </c>
      <c r="E82">
        <v>1</v>
      </c>
      <c r="G82">
        <v>5</v>
      </c>
      <c r="I82">
        <v>7</v>
      </c>
      <c r="K82">
        <v>5</v>
      </c>
      <c r="L82">
        <v>3</v>
      </c>
      <c r="M82">
        <v>5</v>
      </c>
      <c r="O82">
        <v>9</v>
      </c>
      <c r="P82">
        <v>3</v>
      </c>
      <c r="Q82">
        <f t="shared" si="16"/>
        <v>61</v>
      </c>
      <c r="R82" s="67">
        <f t="shared" si="17"/>
        <v>9.8360655737704916E-2</v>
      </c>
      <c r="S82" s="67">
        <f t="shared" si="18"/>
        <v>0.27868852459016391</v>
      </c>
      <c r="T82" s="67">
        <f t="shared" si="19"/>
        <v>1.6393442622950821E-2</v>
      </c>
      <c r="U82" s="67">
        <f t="shared" si="20"/>
        <v>0</v>
      </c>
      <c r="V82" s="67">
        <f t="shared" si="21"/>
        <v>8.1967213114754092E-2</v>
      </c>
      <c r="W82" s="67">
        <f t="shared" si="22"/>
        <v>0</v>
      </c>
      <c r="X82" s="67">
        <f t="shared" si="23"/>
        <v>0.11475409836065574</v>
      </c>
      <c r="Y82" s="67">
        <f t="shared" si="24"/>
        <v>0</v>
      </c>
      <c r="Z82" s="67">
        <f t="shared" si="25"/>
        <v>8.1967213114754092E-2</v>
      </c>
      <c r="AA82" s="67">
        <f t="shared" si="26"/>
        <v>4.9180327868852458E-2</v>
      </c>
      <c r="AB82" s="67">
        <f t="shared" si="27"/>
        <v>8.1967213114754092E-2</v>
      </c>
      <c r="AC82" s="67">
        <f t="shared" si="28"/>
        <v>0</v>
      </c>
      <c r="AD82" s="67">
        <f t="shared" si="29"/>
        <v>0.14754098360655737</v>
      </c>
      <c r="AE82" s="67">
        <f t="shared" si="30"/>
        <v>4.9180327868852458E-2</v>
      </c>
      <c r="AF82" s="67">
        <f t="shared" si="31"/>
        <v>3.2034450162798027E-3</v>
      </c>
      <c r="AG82" s="67">
        <f>town_establishments[[#This Row],[share of state establishments]]/($AF$250-$AF$249)</f>
        <v>3.3135966103536316E-3</v>
      </c>
      <c r="AH82" s="67">
        <f>town_establishments[[#This Row],[share of state establishments (no residual)]]/(INDEX(regional_establishments[share of state establishments],MATCH(town_establishments[[#This Row],[Regional Planning Commission]],regional_establishments[Regional Planning Commission],0)))</f>
        <v>7.4754901960784312E-2</v>
      </c>
    </row>
    <row r="83" spans="1:34" x14ac:dyDescent="0.25">
      <c r="A83" t="s">
        <v>183</v>
      </c>
      <c r="B83" t="str">
        <f>INDEX([1]!town_population[Regional Planning Commission],MATCH(town_establishments[[#This Row],[Municipality]],[1]!town_population[Municipality],0))</f>
        <v>Lamoille County Planning Commission</v>
      </c>
      <c r="C83">
        <v>8</v>
      </c>
      <c r="D83">
        <v>46</v>
      </c>
      <c r="E83">
        <v>10</v>
      </c>
      <c r="F83">
        <v>8</v>
      </c>
      <c r="G83">
        <v>7</v>
      </c>
      <c r="H83">
        <v>5</v>
      </c>
      <c r="I83">
        <v>31</v>
      </c>
      <c r="J83">
        <v>2</v>
      </c>
      <c r="K83">
        <v>18</v>
      </c>
      <c r="L83">
        <v>2</v>
      </c>
      <c r="M83">
        <v>37</v>
      </c>
      <c r="N83">
        <v>8</v>
      </c>
      <c r="O83">
        <v>20</v>
      </c>
      <c r="P83">
        <v>30</v>
      </c>
      <c r="Q83">
        <f t="shared" si="16"/>
        <v>232</v>
      </c>
      <c r="R83" s="67">
        <f t="shared" si="17"/>
        <v>3.4482758620689655E-2</v>
      </c>
      <c r="S83" s="67">
        <f t="shared" si="18"/>
        <v>0.19827586206896552</v>
      </c>
      <c r="T83" s="67">
        <f t="shared" si="19"/>
        <v>4.3103448275862072E-2</v>
      </c>
      <c r="U83" s="67">
        <f t="shared" si="20"/>
        <v>3.4482758620689655E-2</v>
      </c>
      <c r="V83" s="67">
        <f t="shared" si="21"/>
        <v>3.017241379310345E-2</v>
      </c>
      <c r="W83" s="67">
        <f t="shared" si="22"/>
        <v>2.1551724137931036E-2</v>
      </c>
      <c r="X83" s="67">
        <f t="shared" si="23"/>
        <v>0.1336206896551724</v>
      </c>
      <c r="Y83" s="67">
        <f t="shared" si="24"/>
        <v>8.6206896551724137E-3</v>
      </c>
      <c r="Z83" s="67">
        <f t="shared" si="25"/>
        <v>7.7586206896551727E-2</v>
      </c>
      <c r="AA83" s="67">
        <f t="shared" si="26"/>
        <v>8.6206896551724137E-3</v>
      </c>
      <c r="AB83" s="67">
        <f t="shared" si="27"/>
        <v>0.15948275862068967</v>
      </c>
      <c r="AC83" s="67">
        <f t="shared" si="28"/>
        <v>3.4482758620689655E-2</v>
      </c>
      <c r="AD83" s="67">
        <f t="shared" si="29"/>
        <v>8.6206896551724144E-2</v>
      </c>
      <c r="AE83" s="67">
        <f t="shared" si="30"/>
        <v>0.12931034482758622</v>
      </c>
      <c r="AF83" s="67">
        <f t="shared" si="31"/>
        <v>1.2183594160277282E-2</v>
      </c>
      <c r="AG83" s="67">
        <f>town_establishments[[#This Row],[share of state establishments]]/($AF$250-$AF$249)</f>
        <v>1.2602531370525286E-2</v>
      </c>
      <c r="AH83" s="67">
        <f>town_establishments[[#This Row],[share of state establishments (no residual)]]/(INDEX(regional_establishments[share of state establishments],MATCH(town_establishments[[#This Row],[Regional Planning Commission]],regional_establishments[Regional Planning Commission],0)))</f>
        <v>0.28431372549019601</v>
      </c>
    </row>
    <row r="84" spans="1:34" x14ac:dyDescent="0.25">
      <c r="A84" t="s">
        <v>184</v>
      </c>
      <c r="B84" t="str">
        <f>INDEX([1]!town_population[Regional Planning Commission],MATCH(town_establishments[[#This Row],[Municipality]],[1]!town_population[Municipality],0))</f>
        <v>Lamoille County Planning Commission</v>
      </c>
      <c r="C84">
        <v>20</v>
      </c>
      <c r="D84">
        <v>55</v>
      </c>
      <c r="E84">
        <v>4</v>
      </c>
      <c r="F84">
        <v>7</v>
      </c>
      <c r="G84">
        <v>13</v>
      </c>
      <c r="H84">
        <v>25</v>
      </c>
      <c r="I84">
        <v>54</v>
      </c>
      <c r="J84">
        <v>3</v>
      </c>
      <c r="K84">
        <v>25</v>
      </c>
      <c r="L84">
        <v>6</v>
      </c>
      <c r="M84">
        <v>22</v>
      </c>
      <c r="N84">
        <v>11</v>
      </c>
      <c r="O84">
        <v>64</v>
      </c>
      <c r="P84">
        <v>28</v>
      </c>
      <c r="Q84">
        <f t="shared" si="16"/>
        <v>337</v>
      </c>
      <c r="R84" s="67">
        <f t="shared" si="17"/>
        <v>5.9347181008902079E-2</v>
      </c>
      <c r="S84" s="67">
        <f t="shared" si="18"/>
        <v>0.16320474777448071</v>
      </c>
      <c r="T84" s="67">
        <f t="shared" si="19"/>
        <v>1.1869436201780416E-2</v>
      </c>
      <c r="U84" s="67">
        <f t="shared" si="20"/>
        <v>2.0771513353115726E-2</v>
      </c>
      <c r="V84" s="67">
        <f t="shared" si="21"/>
        <v>3.857566765578635E-2</v>
      </c>
      <c r="W84" s="67">
        <f t="shared" si="22"/>
        <v>7.418397626112759E-2</v>
      </c>
      <c r="X84" s="67">
        <f t="shared" si="23"/>
        <v>0.16023738872403562</v>
      </c>
      <c r="Y84" s="67">
        <f t="shared" si="24"/>
        <v>8.9020771513353119E-3</v>
      </c>
      <c r="Z84" s="67">
        <f t="shared" si="25"/>
        <v>7.418397626112759E-2</v>
      </c>
      <c r="AA84" s="67">
        <f t="shared" si="26"/>
        <v>1.7804154302670624E-2</v>
      </c>
      <c r="AB84" s="67">
        <f t="shared" si="27"/>
        <v>6.5281899109792291E-2</v>
      </c>
      <c r="AC84" s="67">
        <f t="shared" si="28"/>
        <v>3.2640949554896145E-2</v>
      </c>
      <c r="AD84" s="67">
        <f t="shared" si="29"/>
        <v>0.18991097922848665</v>
      </c>
      <c r="AE84" s="67">
        <f t="shared" si="30"/>
        <v>8.3086053412462904E-2</v>
      </c>
      <c r="AF84" s="67">
        <f t="shared" si="31"/>
        <v>1.7697720827644155E-2</v>
      </c>
      <c r="AG84" s="67">
        <f>town_establishments[[#This Row],[share of state establishments]]/($AF$250-$AF$249)</f>
        <v>1.8306263240806128E-2</v>
      </c>
      <c r="AH84" s="67">
        <f>town_establishments[[#This Row],[share of state establishments (no residual)]]/(INDEX(regional_establishments[share of state establishments],MATCH(town_establishments[[#This Row],[Regional Planning Commission]],regional_establishments[Regional Planning Commission],0)))</f>
        <v>0.41299019607843135</v>
      </c>
    </row>
    <row r="85" spans="1:34" x14ac:dyDescent="0.25">
      <c r="A85" t="s">
        <v>185</v>
      </c>
      <c r="B85" t="str">
        <f>INDEX([1]!town_population[Regional Planning Commission],MATCH(town_establishments[[#This Row],[Municipality]],[1]!town_population[Municipality],0))</f>
        <v>Lamoille County Planning Commission</v>
      </c>
      <c r="D85">
        <v>1</v>
      </c>
      <c r="E85">
        <v>1</v>
      </c>
      <c r="K85">
        <v>2</v>
      </c>
      <c r="L85">
        <v>1</v>
      </c>
      <c r="Q85">
        <f t="shared" si="16"/>
        <v>5</v>
      </c>
      <c r="R85" s="67">
        <f t="shared" si="17"/>
        <v>0</v>
      </c>
      <c r="S85" s="67">
        <f t="shared" si="18"/>
        <v>0.2</v>
      </c>
      <c r="T85" s="67">
        <f t="shared" si="19"/>
        <v>0.2</v>
      </c>
      <c r="U85" s="67">
        <f t="shared" si="20"/>
        <v>0</v>
      </c>
      <c r="V85" s="67">
        <f t="shared" si="21"/>
        <v>0</v>
      </c>
      <c r="W85" s="67">
        <f t="shared" si="22"/>
        <v>0</v>
      </c>
      <c r="X85" s="67">
        <f t="shared" si="23"/>
        <v>0</v>
      </c>
      <c r="Y85" s="67">
        <f t="shared" si="24"/>
        <v>0</v>
      </c>
      <c r="Z85" s="67">
        <f t="shared" si="25"/>
        <v>0.4</v>
      </c>
      <c r="AA85" s="67">
        <f t="shared" si="26"/>
        <v>0.2</v>
      </c>
      <c r="AB85" s="67">
        <f t="shared" si="27"/>
        <v>0</v>
      </c>
      <c r="AC85" s="67">
        <f t="shared" si="28"/>
        <v>0</v>
      </c>
      <c r="AD85" s="67">
        <f t="shared" si="29"/>
        <v>0</v>
      </c>
      <c r="AE85" s="67">
        <f t="shared" si="30"/>
        <v>0</v>
      </c>
      <c r="AF85" s="67">
        <f t="shared" si="31"/>
        <v>2.6257746035080349E-4</v>
      </c>
      <c r="AG85" s="67">
        <f>town_establishments[[#This Row],[share of state establishments]]/($AF$250-$AF$249)</f>
        <v>2.7160627953718287E-4</v>
      </c>
      <c r="AH85" s="67">
        <f>town_establishments[[#This Row],[share of state establishments (no residual)]]/(INDEX(regional_establishments[share of state establishments],MATCH(town_establishments[[#This Row],[Regional Planning Commission]],regional_establishments[Regional Planning Commission],0)))</f>
        <v>6.1274509803921559E-3</v>
      </c>
    </row>
    <row r="86" spans="1:34" x14ac:dyDescent="0.25">
      <c r="A86" t="s">
        <v>186</v>
      </c>
      <c r="B86" t="str">
        <f>INDEX([1]!town_population[Regional Planning Commission],MATCH(town_establishments[[#This Row],[Municipality]],[1]!town_population[Municipality],0))</f>
        <v>Lamoille County Planning Commission</v>
      </c>
      <c r="C86">
        <v>1</v>
      </c>
      <c r="D86">
        <v>3</v>
      </c>
      <c r="E86">
        <v>1</v>
      </c>
      <c r="G86">
        <v>1</v>
      </c>
      <c r="I86">
        <v>1</v>
      </c>
      <c r="K86">
        <v>2</v>
      </c>
      <c r="L86">
        <v>1</v>
      </c>
      <c r="P86">
        <v>2</v>
      </c>
      <c r="Q86">
        <f t="shared" si="16"/>
        <v>12</v>
      </c>
      <c r="R86" s="67">
        <f t="shared" si="17"/>
        <v>8.3333333333333329E-2</v>
      </c>
      <c r="S86" s="67">
        <f t="shared" si="18"/>
        <v>0.25</v>
      </c>
      <c r="T86" s="67">
        <f t="shared" si="19"/>
        <v>8.3333333333333329E-2</v>
      </c>
      <c r="U86" s="67">
        <f t="shared" si="20"/>
        <v>0</v>
      </c>
      <c r="V86" s="67">
        <f t="shared" si="21"/>
        <v>8.3333333333333329E-2</v>
      </c>
      <c r="W86" s="67">
        <f t="shared" si="22"/>
        <v>0</v>
      </c>
      <c r="X86" s="67">
        <f t="shared" si="23"/>
        <v>8.3333333333333329E-2</v>
      </c>
      <c r="Y86" s="67">
        <f t="shared" si="24"/>
        <v>0</v>
      </c>
      <c r="Z86" s="67">
        <f t="shared" si="25"/>
        <v>0.16666666666666666</v>
      </c>
      <c r="AA86" s="67">
        <f t="shared" si="26"/>
        <v>8.3333333333333329E-2</v>
      </c>
      <c r="AB86" s="67">
        <f t="shared" si="27"/>
        <v>0</v>
      </c>
      <c r="AC86" s="67">
        <f t="shared" si="28"/>
        <v>0</v>
      </c>
      <c r="AD86" s="67">
        <f t="shared" si="29"/>
        <v>0</v>
      </c>
      <c r="AE86" s="67">
        <f t="shared" si="30"/>
        <v>0.16666666666666666</v>
      </c>
      <c r="AF86" s="67">
        <f t="shared" si="31"/>
        <v>6.3018590484192839E-4</v>
      </c>
      <c r="AG86" s="67">
        <f>town_establishments[[#This Row],[share of state establishments]]/($AF$250-$AF$249)</f>
        <v>6.5185507088923894E-4</v>
      </c>
      <c r="AH86" s="67">
        <f>town_establishments[[#This Row],[share of state establishments (no residual)]]/(INDEX(regional_establishments[share of state establishments],MATCH(town_establishments[[#This Row],[Regional Planning Commission]],regional_establishments[Regional Planning Commission],0)))</f>
        <v>1.4705882352941175E-2</v>
      </c>
    </row>
    <row r="87" spans="1:34" x14ac:dyDescent="0.25">
      <c r="A87" t="s">
        <v>187</v>
      </c>
      <c r="B87" t="str">
        <f>INDEX([1]!town_population[Regional Planning Commission],MATCH(town_establishments[[#This Row],[Municipality]],[1]!town_population[Municipality],0))</f>
        <v>Northeastern Vermont Development Association</v>
      </c>
      <c r="E87">
        <v>1</v>
      </c>
      <c r="I87">
        <v>2</v>
      </c>
      <c r="K87">
        <v>1</v>
      </c>
      <c r="L87">
        <v>1</v>
      </c>
      <c r="M87">
        <v>2</v>
      </c>
      <c r="Q87">
        <f t="shared" si="16"/>
        <v>7</v>
      </c>
      <c r="R87" s="67">
        <f t="shared" si="17"/>
        <v>0</v>
      </c>
      <c r="S87" s="67">
        <f t="shared" si="18"/>
        <v>0</v>
      </c>
      <c r="T87" s="67">
        <f t="shared" si="19"/>
        <v>0.14285714285714285</v>
      </c>
      <c r="U87" s="67">
        <f t="shared" si="20"/>
        <v>0</v>
      </c>
      <c r="V87" s="67">
        <f t="shared" si="21"/>
        <v>0</v>
      </c>
      <c r="W87" s="67">
        <f t="shared" si="22"/>
        <v>0</v>
      </c>
      <c r="X87" s="67">
        <f t="shared" si="23"/>
        <v>0.2857142857142857</v>
      </c>
      <c r="Y87" s="67">
        <f t="shared" si="24"/>
        <v>0</v>
      </c>
      <c r="Z87" s="67">
        <f t="shared" si="25"/>
        <v>0.14285714285714285</v>
      </c>
      <c r="AA87" s="67">
        <f t="shared" si="26"/>
        <v>0.14285714285714285</v>
      </c>
      <c r="AB87" s="67">
        <f t="shared" si="27"/>
        <v>0.2857142857142857</v>
      </c>
      <c r="AC87" s="67">
        <f t="shared" si="28"/>
        <v>0</v>
      </c>
      <c r="AD87" s="67">
        <f t="shared" si="29"/>
        <v>0</v>
      </c>
      <c r="AE87" s="67">
        <f t="shared" si="30"/>
        <v>0</v>
      </c>
      <c r="AF87" s="67">
        <f t="shared" si="31"/>
        <v>3.676084444911249E-4</v>
      </c>
      <c r="AG87" s="67">
        <f>town_establishments[[#This Row],[share of state establishments]]/($AF$250-$AF$249)</f>
        <v>3.8024879135205606E-4</v>
      </c>
      <c r="AH87" s="67">
        <f>town_establishments[[#This Row],[share of state establishments (no residual)]]/(INDEX(regional_establishments[share of state establishments],MATCH(town_establishments[[#This Row],[Regional Planning Commission]],regional_establishments[Regional Planning Commission],0)))</f>
        <v>4.7978067169294038E-3</v>
      </c>
    </row>
    <row r="88" spans="1:34" x14ac:dyDescent="0.25">
      <c r="A88" t="s">
        <v>188</v>
      </c>
      <c r="B88" t="str">
        <f>INDEX([1]!town_population[Regional Planning Commission],MATCH(town_establishments[[#This Row],[Municipality]],[1]!town_population[Municipality],0))</f>
        <v>Northeastern Vermont Development Association</v>
      </c>
      <c r="L88">
        <v>1</v>
      </c>
      <c r="O88">
        <v>1</v>
      </c>
      <c r="Q88">
        <f t="shared" si="16"/>
        <v>2</v>
      </c>
      <c r="R88" s="67">
        <f t="shared" si="17"/>
        <v>0</v>
      </c>
      <c r="S88" s="67">
        <f t="shared" si="18"/>
        <v>0</v>
      </c>
      <c r="T88" s="67">
        <f t="shared" si="19"/>
        <v>0</v>
      </c>
      <c r="U88" s="67">
        <f t="shared" si="20"/>
        <v>0</v>
      </c>
      <c r="V88" s="67">
        <f t="shared" si="21"/>
        <v>0</v>
      </c>
      <c r="W88" s="67">
        <f t="shared" si="22"/>
        <v>0</v>
      </c>
      <c r="X88" s="67">
        <f t="shared" si="23"/>
        <v>0</v>
      </c>
      <c r="Y88" s="67">
        <f t="shared" si="24"/>
        <v>0</v>
      </c>
      <c r="Z88" s="67">
        <f t="shared" si="25"/>
        <v>0</v>
      </c>
      <c r="AA88" s="67">
        <f t="shared" si="26"/>
        <v>0.5</v>
      </c>
      <c r="AB88" s="67">
        <f t="shared" si="27"/>
        <v>0</v>
      </c>
      <c r="AC88" s="67">
        <f t="shared" si="28"/>
        <v>0</v>
      </c>
      <c r="AD88" s="67">
        <f t="shared" si="29"/>
        <v>0.5</v>
      </c>
      <c r="AE88" s="67">
        <f t="shared" si="30"/>
        <v>0</v>
      </c>
      <c r="AF88" s="67">
        <f t="shared" si="31"/>
        <v>1.0503098414032139E-4</v>
      </c>
      <c r="AG88" s="67">
        <f>town_establishments[[#This Row],[share of state establishments]]/($AF$250-$AF$249)</f>
        <v>1.0864251181487315E-4</v>
      </c>
      <c r="AH88" s="67">
        <f>town_establishments[[#This Row],[share of state establishments (no residual)]]/(INDEX(regional_establishments[share of state establishments],MATCH(town_establishments[[#This Row],[Regional Planning Commission]],regional_establishments[Regional Planning Commission],0)))</f>
        <v>1.3708019191226866E-3</v>
      </c>
    </row>
    <row r="89" spans="1:34" x14ac:dyDescent="0.25">
      <c r="A89" t="s">
        <v>189</v>
      </c>
      <c r="B89" t="str">
        <f>INDEX([1]!town_population[Regional Planning Commission],MATCH(town_establishments[[#This Row],[Municipality]],[1]!town_population[Municipality],0))</f>
        <v>Northeastern Vermont Development Association</v>
      </c>
      <c r="C89">
        <v>1</v>
      </c>
      <c r="D89">
        <v>5</v>
      </c>
      <c r="E89">
        <v>3</v>
      </c>
      <c r="F89">
        <v>1</v>
      </c>
      <c r="H89">
        <v>1</v>
      </c>
      <c r="I89">
        <v>3</v>
      </c>
      <c r="L89">
        <v>1</v>
      </c>
      <c r="M89">
        <v>1</v>
      </c>
      <c r="O89">
        <v>1</v>
      </c>
      <c r="P89">
        <v>1</v>
      </c>
      <c r="Q89">
        <f t="shared" si="16"/>
        <v>18</v>
      </c>
      <c r="R89" s="67">
        <f t="shared" si="17"/>
        <v>5.5555555555555552E-2</v>
      </c>
      <c r="S89" s="67">
        <f t="shared" si="18"/>
        <v>0.27777777777777779</v>
      </c>
      <c r="T89" s="67">
        <f t="shared" si="19"/>
        <v>0.16666666666666666</v>
      </c>
      <c r="U89" s="67">
        <f t="shared" si="20"/>
        <v>5.5555555555555552E-2</v>
      </c>
      <c r="V89" s="67">
        <f t="shared" si="21"/>
        <v>0</v>
      </c>
      <c r="W89" s="67">
        <f t="shared" si="22"/>
        <v>5.5555555555555552E-2</v>
      </c>
      <c r="X89" s="67">
        <f t="shared" si="23"/>
        <v>0.16666666666666666</v>
      </c>
      <c r="Y89" s="67">
        <f t="shared" si="24"/>
        <v>0</v>
      </c>
      <c r="Z89" s="67">
        <f t="shared" si="25"/>
        <v>0</v>
      </c>
      <c r="AA89" s="67">
        <f t="shared" si="26"/>
        <v>5.5555555555555552E-2</v>
      </c>
      <c r="AB89" s="67">
        <f t="shared" si="27"/>
        <v>5.5555555555555552E-2</v>
      </c>
      <c r="AC89" s="67">
        <f t="shared" si="28"/>
        <v>0</v>
      </c>
      <c r="AD89" s="67">
        <f t="shared" si="29"/>
        <v>5.5555555555555552E-2</v>
      </c>
      <c r="AE89" s="67">
        <f t="shared" si="30"/>
        <v>5.5555555555555552E-2</v>
      </c>
      <c r="AF89" s="67">
        <f t="shared" si="31"/>
        <v>9.4527885726289253E-4</v>
      </c>
      <c r="AG89" s="67">
        <f>town_establishments[[#This Row],[share of state establishments]]/($AF$250-$AF$249)</f>
        <v>9.7778260633385851E-4</v>
      </c>
      <c r="AH89" s="67">
        <f>town_establishments[[#This Row],[share of state establishments (no residual)]]/(INDEX(regional_establishments[share of state establishments],MATCH(town_establishments[[#This Row],[Regional Planning Commission]],regional_establishments[Regional Planning Commission],0)))</f>
        <v>1.2337217272104182E-2</v>
      </c>
    </row>
    <row r="90" spans="1:34" x14ac:dyDescent="0.25">
      <c r="A90" t="s">
        <v>190</v>
      </c>
      <c r="B90" t="str">
        <f>INDEX([1]!town_population[Regional Planning Commission],MATCH(town_establishments[[#This Row],[Municipality]],[1]!town_population[Municipality],0))</f>
        <v>Northeastern Vermont Development Association</v>
      </c>
      <c r="C90">
        <v>8</v>
      </c>
      <c r="D90">
        <v>15</v>
      </c>
      <c r="E90">
        <v>7</v>
      </c>
      <c r="F90">
        <v>4</v>
      </c>
      <c r="G90">
        <v>6</v>
      </c>
      <c r="H90">
        <v>1</v>
      </c>
      <c r="I90">
        <v>7</v>
      </c>
      <c r="K90">
        <v>1</v>
      </c>
      <c r="L90">
        <v>4</v>
      </c>
      <c r="M90">
        <v>6</v>
      </c>
      <c r="N90">
        <v>3</v>
      </c>
      <c r="O90">
        <v>7</v>
      </c>
      <c r="P90">
        <v>9</v>
      </c>
      <c r="Q90">
        <f t="shared" si="16"/>
        <v>78</v>
      </c>
      <c r="R90" s="67">
        <f t="shared" si="17"/>
        <v>0.10256410256410256</v>
      </c>
      <c r="S90" s="67">
        <f t="shared" si="18"/>
        <v>0.19230769230769232</v>
      </c>
      <c r="T90" s="67">
        <f t="shared" si="19"/>
        <v>8.9743589743589744E-2</v>
      </c>
      <c r="U90" s="67">
        <f t="shared" si="20"/>
        <v>5.128205128205128E-2</v>
      </c>
      <c r="V90" s="67">
        <f t="shared" si="21"/>
        <v>7.6923076923076927E-2</v>
      </c>
      <c r="W90" s="67">
        <f t="shared" si="22"/>
        <v>1.282051282051282E-2</v>
      </c>
      <c r="X90" s="67">
        <f t="shared" si="23"/>
        <v>8.9743589743589744E-2</v>
      </c>
      <c r="Y90" s="67">
        <f t="shared" si="24"/>
        <v>0</v>
      </c>
      <c r="Z90" s="67">
        <f t="shared" si="25"/>
        <v>1.282051282051282E-2</v>
      </c>
      <c r="AA90" s="67">
        <f t="shared" si="26"/>
        <v>5.128205128205128E-2</v>
      </c>
      <c r="AB90" s="67">
        <f t="shared" si="27"/>
        <v>7.6923076923076927E-2</v>
      </c>
      <c r="AC90" s="67">
        <f t="shared" si="28"/>
        <v>3.8461538461538464E-2</v>
      </c>
      <c r="AD90" s="67">
        <f t="shared" si="29"/>
        <v>8.9743589743589744E-2</v>
      </c>
      <c r="AE90" s="67">
        <f t="shared" si="30"/>
        <v>0.11538461538461539</v>
      </c>
      <c r="AF90" s="67">
        <f t="shared" si="31"/>
        <v>4.0962083814725346E-3</v>
      </c>
      <c r="AG90" s="67">
        <f>town_establishments[[#This Row],[share of state establishments]]/($AF$250-$AF$249)</f>
        <v>4.2370579607800534E-3</v>
      </c>
      <c r="AH90" s="67">
        <f>town_establishments[[#This Row],[share of state establishments (no residual)]]/(INDEX(regional_establishments[share of state establishments],MATCH(town_establishments[[#This Row],[Regional Planning Commission]],regional_establishments[Regional Planning Commission],0)))</f>
        <v>5.3461274845784786E-2</v>
      </c>
    </row>
    <row r="91" spans="1:34" x14ac:dyDescent="0.25">
      <c r="A91" t="s">
        <v>191</v>
      </c>
      <c r="B91" t="str">
        <f>INDEX([1]!town_population[Regional Planning Commission],MATCH(town_establishments[[#This Row],[Municipality]],[1]!town_population[Municipality],0))</f>
        <v>Northeastern Vermont Development Association</v>
      </c>
      <c r="G91">
        <v>1</v>
      </c>
      <c r="K91">
        <v>1</v>
      </c>
      <c r="Q91">
        <f t="shared" si="16"/>
        <v>2</v>
      </c>
      <c r="R91" s="67">
        <f t="shared" si="17"/>
        <v>0</v>
      </c>
      <c r="S91" s="67">
        <f t="shared" si="18"/>
        <v>0</v>
      </c>
      <c r="T91" s="67">
        <f t="shared" si="19"/>
        <v>0</v>
      </c>
      <c r="U91" s="67">
        <f t="shared" si="20"/>
        <v>0</v>
      </c>
      <c r="V91" s="67">
        <f t="shared" si="21"/>
        <v>0.5</v>
      </c>
      <c r="W91" s="67">
        <f t="shared" si="22"/>
        <v>0</v>
      </c>
      <c r="X91" s="67">
        <f t="shared" si="23"/>
        <v>0</v>
      </c>
      <c r="Y91" s="67">
        <f t="shared" si="24"/>
        <v>0</v>
      </c>
      <c r="Z91" s="67">
        <f t="shared" si="25"/>
        <v>0.5</v>
      </c>
      <c r="AA91" s="67">
        <f t="shared" si="26"/>
        <v>0</v>
      </c>
      <c r="AB91" s="67">
        <f t="shared" si="27"/>
        <v>0</v>
      </c>
      <c r="AC91" s="67">
        <f t="shared" si="28"/>
        <v>0</v>
      </c>
      <c r="AD91" s="67">
        <f t="shared" si="29"/>
        <v>0</v>
      </c>
      <c r="AE91" s="67">
        <f t="shared" si="30"/>
        <v>0</v>
      </c>
      <c r="AF91" s="67">
        <f t="shared" si="31"/>
        <v>1.0503098414032139E-4</v>
      </c>
      <c r="AG91" s="67">
        <f>town_establishments[[#This Row],[share of state establishments]]/($AF$250-$AF$249)</f>
        <v>1.0864251181487315E-4</v>
      </c>
      <c r="AH91" s="67">
        <f>town_establishments[[#This Row],[share of state establishments (no residual)]]/(INDEX(regional_establishments[share of state establishments],MATCH(town_establishments[[#This Row],[Regional Planning Commission]],regional_establishments[Regional Planning Commission],0)))</f>
        <v>1.3708019191226866E-3</v>
      </c>
    </row>
    <row r="92" spans="1:34" x14ac:dyDescent="0.25">
      <c r="A92" t="s">
        <v>192</v>
      </c>
      <c r="B92" t="str">
        <f>INDEX([1]!town_population[Regional Planning Commission],MATCH(town_establishments[[#This Row],[Municipality]],[1]!town_population[Municipality],0))</f>
        <v>Northeastern Vermont Development Association</v>
      </c>
      <c r="C92">
        <v>3</v>
      </c>
      <c r="D92">
        <v>7</v>
      </c>
      <c r="E92">
        <v>3</v>
      </c>
      <c r="F92">
        <v>2</v>
      </c>
      <c r="G92">
        <v>2</v>
      </c>
      <c r="H92">
        <v>1</v>
      </c>
      <c r="I92">
        <v>1</v>
      </c>
      <c r="K92">
        <v>3</v>
      </c>
      <c r="L92">
        <v>1</v>
      </c>
      <c r="M92">
        <v>4</v>
      </c>
      <c r="N92">
        <v>2</v>
      </c>
      <c r="O92">
        <v>5</v>
      </c>
      <c r="P92">
        <v>2</v>
      </c>
      <c r="Q92">
        <f t="shared" si="16"/>
        <v>36</v>
      </c>
      <c r="R92" s="67">
        <f t="shared" si="17"/>
        <v>8.3333333333333329E-2</v>
      </c>
      <c r="S92" s="67">
        <f t="shared" si="18"/>
        <v>0.19444444444444445</v>
      </c>
      <c r="T92" s="67">
        <f t="shared" si="19"/>
        <v>8.3333333333333329E-2</v>
      </c>
      <c r="U92" s="67">
        <f t="shared" si="20"/>
        <v>5.5555555555555552E-2</v>
      </c>
      <c r="V92" s="67">
        <f t="shared" si="21"/>
        <v>5.5555555555555552E-2</v>
      </c>
      <c r="W92" s="67">
        <f t="shared" si="22"/>
        <v>2.7777777777777776E-2</v>
      </c>
      <c r="X92" s="67">
        <f t="shared" si="23"/>
        <v>2.7777777777777776E-2</v>
      </c>
      <c r="Y92" s="67">
        <f t="shared" si="24"/>
        <v>0</v>
      </c>
      <c r="Z92" s="67">
        <f t="shared" si="25"/>
        <v>8.3333333333333329E-2</v>
      </c>
      <c r="AA92" s="67">
        <f t="shared" si="26"/>
        <v>2.7777777777777776E-2</v>
      </c>
      <c r="AB92" s="67">
        <f t="shared" si="27"/>
        <v>0.1111111111111111</v>
      </c>
      <c r="AC92" s="67">
        <f t="shared" si="28"/>
        <v>5.5555555555555552E-2</v>
      </c>
      <c r="AD92" s="67">
        <f t="shared" si="29"/>
        <v>0.1388888888888889</v>
      </c>
      <c r="AE92" s="67">
        <f t="shared" si="30"/>
        <v>5.5555555555555552E-2</v>
      </c>
      <c r="AF92" s="67">
        <f t="shared" si="31"/>
        <v>1.8905577145257851E-3</v>
      </c>
      <c r="AG92" s="67">
        <f>town_establishments[[#This Row],[share of state establishments]]/($AF$250-$AF$249)</f>
        <v>1.955565212667717E-3</v>
      </c>
      <c r="AH92" s="67">
        <f>town_establishments[[#This Row],[share of state establishments (no residual)]]/(INDEX(regional_establishments[share of state establishments],MATCH(town_establishments[[#This Row],[Regional Planning Commission]],regional_establishments[Regional Planning Commission],0)))</f>
        <v>2.4674434544208364E-2</v>
      </c>
    </row>
    <row r="93" spans="1:34" x14ac:dyDescent="0.25">
      <c r="A93" t="s">
        <v>193</v>
      </c>
      <c r="B93" t="str">
        <f>INDEX([1]!town_population[Regional Planning Commission],MATCH(town_establishments[[#This Row],[Municipality]],[1]!town_population[Municipality],0))</f>
        <v>Northeastern Vermont Development Association</v>
      </c>
      <c r="C93">
        <v>1</v>
      </c>
      <c r="D93">
        <v>1</v>
      </c>
      <c r="I93">
        <v>2</v>
      </c>
      <c r="K93">
        <v>1</v>
      </c>
      <c r="L93">
        <v>1</v>
      </c>
      <c r="N93">
        <v>1</v>
      </c>
      <c r="O93">
        <v>1</v>
      </c>
      <c r="P93">
        <v>1</v>
      </c>
      <c r="Q93">
        <f t="shared" si="16"/>
        <v>9</v>
      </c>
      <c r="R93" s="67">
        <f t="shared" si="17"/>
        <v>0.1111111111111111</v>
      </c>
      <c r="S93" s="67">
        <f t="shared" si="18"/>
        <v>0.1111111111111111</v>
      </c>
      <c r="T93" s="67">
        <f t="shared" si="19"/>
        <v>0</v>
      </c>
      <c r="U93" s="67">
        <f t="shared" si="20"/>
        <v>0</v>
      </c>
      <c r="V93" s="67">
        <f t="shared" si="21"/>
        <v>0</v>
      </c>
      <c r="W93" s="67">
        <f t="shared" si="22"/>
        <v>0</v>
      </c>
      <c r="X93" s="67">
        <f t="shared" si="23"/>
        <v>0.22222222222222221</v>
      </c>
      <c r="Y93" s="67">
        <f t="shared" si="24"/>
        <v>0</v>
      </c>
      <c r="Z93" s="67">
        <f t="shared" si="25"/>
        <v>0.1111111111111111</v>
      </c>
      <c r="AA93" s="67">
        <f t="shared" si="26"/>
        <v>0.1111111111111111</v>
      </c>
      <c r="AB93" s="67">
        <f t="shared" si="27"/>
        <v>0</v>
      </c>
      <c r="AC93" s="67">
        <f t="shared" si="28"/>
        <v>0.1111111111111111</v>
      </c>
      <c r="AD93" s="67">
        <f t="shared" si="29"/>
        <v>0.1111111111111111</v>
      </c>
      <c r="AE93" s="67">
        <f t="shared" si="30"/>
        <v>0.1111111111111111</v>
      </c>
      <c r="AF93" s="67">
        <f t="shared" si="31"/>
        <v>4.7263942863144627E-4</v>
      </c>
      <c r="AG93" s="67">
        <f>town_establishments[[#This Row],[share of state establishments]]/($AF$250-$AF$249)</f>
        <v>4.8889130316692926E-4</v>
      </c>
      <c r="AH93" s="67">
        <f>town_establishments[[#This Row],[share of state establishments (no residual)]]/(INDEX(regional_establishments[share of state establishments],MATCH(town_establishments[[#This Row],[Regional Planning Commission]],regional_establishments[Regional Planning Commission],0)))</f>
        <v>6.1686086360520911E-3</v>
      </c>
    </row>
    <row r="94" spans="1:34" x14ac:dyDescent="0.25">
      <c r="A94" t="s">
        <v>194</v>
      </c>
      <c r="B94" t="str">
        <f>INDEX([1]!town_population[Regional Planning Commission],MATCH(town_establishments[[#This Row],[Municipality]],[1]!town_population[Municipality],0))</f>
        <v>Northeastern Vermont Development Association</v>
      </c>
      <c r="Q94">
        <f t="shared" si="16"/>
        <v>0</v>
      </c>
      <c r="R94" s="67">
        <f t="shared" si="17"/>
        <v>0</v>
      </c>
      <c r="S94" s="67">
        <f t="shared" si="18"/>
        <v>0</v>
      </c>
      <c r="T94" s="67">
        <f t="shared" si="19"/>
        <v>0</v>
      </c>
      <c r="U94" s="67">
        <f t="shared" si="20"/>
        <v>0</v>
      </c>
      <c r="V94" s="67">
        <f t="shared" si="21"/>
        <v>0</v>
      </c>
      <c r="W94" s="67">
        <f t="shared" si="22"/>
        <v>0</v>
      </c>
      <c r="X94" s="67">
        <f t="shared" si="23"/>
        <v>0</v>
      </c>
      <c r="Y94" s="67">
        <f t="shared" si="24"/>
        <v>0</v>
      </c>
      <c r="Z94" s="67">
        <f t="shared" si="25"/>
        <v>0</v>
      </c>
      <c r="AA94" s="67">
        <f t="shared" si="26"/>
        <v>0</v>
      </c>
      <c r="AB94" s="67">
        <f t="shared" si="27"/>
        <v>0</v>
      </c>
      <c r="AC94" s="67">
        <f t="shared" si="28"/>
        <v>0</v>
      </c>
      <c r="AD94" s="67">
        <f t="shared" si="29"/>
        <v>0</v>
      </c>
      <c r="AE94" s="67">
        <f t="shared" si="30"/>
        <v>0</v>
      </c>
      <c r="AF94" s="67">
        <f t="shared" si="31"/>
        <v>0</v>
      </c>
      <c r="AG94" s="67">
        <f>town_establishments[[#This Row],[share of state establishments]]/($AF$250-$AF$249)</f>
        <v>0</v>
      </c>
      <c r="AH94" s="67">
        <f>town_establishments[[#This Row],[share of state establishments (no residual)]]/(INDEX(regional_establishments[share of state establishments],MATCH(town_establishments[[#This Row],[Regional Planning Commission]],regional_establishments[Regional Planning Commission],0)))</f>
        <v>0</v>
      </c>
    </row>
    <row r="95" spans="1:34" x14ac:dyDescent="0.25">
      <c r="A95" t="s">
        <v>195</v>
      </c>
      <c r="B95" t="str">
        <f>INDEX([1]!town_population[Regional Planning Commission],MATCH(town_establishments[[#This Row],[Municipality]],[1]!town_population[Municipality],0))</f>
        <v>Northeastern Vermont Development Association</v>
      </c>
      <c r="C95">
        <v>8</v>
      </c>
      <c r="D95">
        <v>7</v>
      </c>
      <c r="E95">
        <v>1</v>
      </c>
      <c r="H95">
        <v>3</v>
      </c>
      <c r="I95">
        <v>6</v>
      </c>
      <c r="K95">
        <v>4</v>
      </c>
      <c r="L95">
        <v>2</v>
      </c>
      <c r="N95">
        <v>1</v>
      </c>
      <c r="O95">
        <v>8</v>
      </c>
      <c r="P95">
        <v>5</v>
      </c>
      <c r="Q95">
        <f t="shared" si="16"/>
        <v>45</v>
      </c>
      <c r="R95" s="67">
        <f t="shared" si="17"/>
        <v>0.17777777777777778</v>
      </c>
      <c r="S95" s="67">
        <f t="shared" si="18"/>
        <v>0.15555555555555556</v>
      </c>
      <c r="T95" s="67">
        <f t="shared" si="19"/>
        <v>2.2222222222222223E-2</v>
      </c>
      <c r="U95" s="67">
        <f t="shared" si="20"/>
        <v>0</v>
      </c>
      <c r="V95" s="67">
        <f t="shared" si="21"/>
        <v>0</v>
      </c>
      <c r="W95" s="67">
        <f t="shared" si="22"/>
        <v>6.6666666666666666E-2</v>
      </c>
      <c r="X95" s="67">
        <f t="shared" si="23"/>
        <v>0.13333333333333333</v>
      </c>
      <c r="Y95" s="67">
        <f t="shared" si="24"/>
        <v>0</v>
      </c>
      <c r="Z95" s="67">
        <f t="shared" si="25"/>
        <v>8.8888888888888892E-2</v>
      </c>
      <c r="AA95" s="67">
        <f t="shared" si="26"/>
        <v>4.4444444444444446E-2</v>
      </c>
      <c r="AB95" s="67">
        <f t="shared" si="27"/>
        <v>0</v>
      </c>
      <c r="AC95" s="67">
        <f t="shared" si="28"/>
        <v>2.2222222222222223E-2</v>
      </c>
      <c r="AD95" s="67">
        <f t="shared" si="29"/>
        <v>0.17777777777777778</v>
      </c>
      <c r="AE95" s="67">
        <f t="shared" si="30"/>
        <v>0.1111111111111111</v>
      </c>
      <c r="AF95" s="67">
        <f t="shared" si="31"/>
        <v>2.3631971431572313E-3</v>
      </c>
      <c r="AG95" s="67">
        <f>town_establishments[[#This Row],[share of state establishments]]/($AF$250-$AF$249)</f>
        <v>2.4444565158346461E-3</v>
      </c>
      <c r="AH95" s="67">
        <f>town_establishments[[#This Row],[share of state establishments (no residual)]]/(INDEX(regional_establishments[share of state establishments],MATCH(town_establishments[[#This Row],[Regional Planning Commission]],regional_establishments[Regional Planning Commission],0)))</f>
        <v>3.0843043180260449E-2</v>
      </c>
    </row>
    <row r="96" spans="1:34" x14ac:dyDescent="0.25">
      <c r="A96" t="s">
        <v>196</v>
      </c>
      <c r="B96" t="str">
        <f>INDEX([1]!town_population[Regional Planning Commission],MATCH(town_establishments[[#This Row],[Municipality]],[1]!town_population[Municipality],0))</f>
        <v>Northeastern Vermont Development Association</v>
      </c>
      <c r="D96">
        <v>0</v>
      </c>
      <c r="E96">
        <v>1</v>
      </c>
      <c r="G96">
        <v>1</v>
      </c>
      <c r="I96">
        <v>1</v>
      </c>
      <c r="K96">
        <v>2</v>
      </c>
      <c r="L96">
        <v>1</v>
      </c>
      <c r="M96">
        <v>2</v>
      </c>
      <c r="N96">
        <v>2</v>
      </c>
      <c r="O96">
        <v>2</v>
      </c>
      <c r="P96">
        <v>2</v>
      </c>
      <c r="Q96">
        <f t="shared" si="16"/>
        <v>14</v>
      </c>
      <c r="R96" s="67">
        <f t="shared" si="17"/>
        <v>0</v>
      </c>
      <c r="S96" s="67">
        <f t="shared" si="18"/>
        <v>0</v>
      </c>
      <c r="T96" s="67">
        <f t="shared" si="19"/>
        <v>7.1428571428571425E-2</v>
      </c>
      <c r="U96" s="67">
        <f t="shared" si="20"/>
        <v>0</v>
      </c>
      <c r="V96" s="67">
        <f t="shared" si="21"/>
        <v>7.1428571428571425E-2</v>
      </c>
      <c r="W96" s="67">
        <f t="shared" si="22"/>
        <v>0</v>
      </c>
      <c r="X96" s="67">
        <f t="shared" si="23"/>
        <v>7.1428571428571425E-2</v>
      </c>
      <c r="Y96" s="67">
        <f t="shared" si="24"/>
        <v>0</v>
      </c>
      <c r="Z96" s="67">
        <f t="shared" si="25"/>
        <v>0.14285714285714285</v>
      </c>
      <c r="AA96" s="67">
        <f t="shared" si="26"/>
        <v>7.1428571428571425E-2</v>
      </c>
      <c r="AB96" s="67">
        <f t="shared" si="27"/>
        <v>0.14285714285714285</v>
      </c>
      <c r="AC96" s="67">
        <f t="shared" si="28"/>
        <v>0.14285714285714285</v>
      </c>
      <c r="AD96" s="67">
        <f t="shared" si="29"/>
        <v>0.14285714285714285</v>
      </c>
      <c r="AE96" s="67">
        <f t="shared" si="30"/>
        <v>0.14285714285714285</v>
      </c>
      <c r="AF96" s="67">
        <f t="shared" si="31"/>
        <v>7.3521688898224981E-4</v>
      </c>
      <c r="AG96" s="67">
        <f>town_establishments[[#This Row],[share of state establishments]]/($AF$250-$AF$249)</f>
        <v>7.6049758270411213E-4</v>
      </c>
      <c r="AH96" s="67">
        <f>town_establishments[[#This Row],[share of state establishments (no residual)]]/(INDEX(regional_establishments[share of state establishments],MATCH(town_establishments[[#This Row],[Regional Planning Commission]],regional_establishments[Regional Planning Commission],0)))</f>
        <v>9.5956134338588076E-3</v>
      </c>
    </row>
    <row r="97" spans="1:34" x14ac:dyDescent="0.25">
      <c r="A97" t="s">
        <v>197</v>
      </c>
      <c r="B97" t="str">
        <f>INDEX([1]!town_population[Regional Planning Commission],MATCH(town_establishments[[#This Row],[Municipality]],[1]!town_population[Municipality],0))</f>
        <v>Northeastern Vermont Development Association</v>
      </c>
      <c r="C97">
        <v>1</v>
      </c>
      <c r="D97">
        <v>1</v>
      </c>
      <c r="E97">
        <v>2</v>
      </c>
      <c r="F97">
        <v>1</v>
      </c>
      <c r="H97">
        <v>2</v>
      </c>
      <c r="K97">
        <v>2</v>
      </c>
      <c r="L97">
        <v>1</v>
      </c>
      <c r="P97">
        <v>3</v>
      </c>
      <c r="Q97">
        <f t="shared" si="16"/>
        <v>13</v>
      </c>
      <c r="R97" s="67">
        <f t="shared" si="17"/>
        <v>7.6923076923076927E-2</v>
      </c>
      <c r="S97" s="67">
        <f t="shared" si="18"/>
        <v>7.6923076923076927E-2</v>
      </c>
      <c r="T97" s="67">
        <f t="shared" si="19"/>
        <v>0.15384615384615385</v>
      </c>
      <c r="U97" s="67">
        <f t="shared" si="20"/>
        <v>7.6923076923076927E-2</v>
      </c>
      <c r="V97" s="67">
        <f t="shared" si="21"/>
        <v>0</v>
      </c>
      <c r="W97" s="67">
        <f t="shared" si="22"/>
        <v>0.15384615384615385</v>
      </c>
      <c r="X97" s="67">
        <f t="shared" si="23"/>
        <v>0</v>
      </c>
      <c r="Y97" s="67">
        <f t="shared" si="24"/>
        <v>0</v>
      </c>
      <c r="Z97" s="67">
        <f t="shared" si="25"/>
        <v>0.15384615384615385</v>
      </c>
      <c r="AA97" s="67">
        <f t="shared" si="26"/>
        <v>7.6923076923076927E-2</v>
      </c>
      <c r="AB97" s="67">
        <f t="shared" si="27"/>
        <v>0</v>
      </c>
      <c r="AC97" s="67">
        <f t="shared" si="28"/>
        <v>0</v>
      </c>
      <c r="AD97" s="67">
        <f t="shared" si="29"/>
        <v>0</v>
      </c>
      <c r="AE97" s="67">
        <f t="shared" si="30"/>
        <v>0.23076923076923078</v>
      </c>
      <c r="AF97" s="67">
        <f t="shared" si="31"/>
        <v>6.827013969120891E-4</v>
      </c>
      <c r="AG97" s="67">
        <f>town_establishments[[#This Row],[share of state establishments]]/($AF$250-$AF$249)</f>
        <v>7.0617632679667553E-4</v>
      </c>
      <c r="AH97" s="67">
        <f>town_establishments[[#This Row],[share of state establishments (no residual)]]/(INDEX(regional_establishments[share of state establishments],MATCH(town_establishments[[#This Row],[Regional Planning Commission]],regional_establishments[Regional Planning Commission],0)))</f>
        <v>8.9102124742974631E-3</v>
      </c>
    </row>
    <row r="98" spans="1:34" x14ac:dyDescent="0.25">
      <c r="A98" t="s">
        <v>198</v>
      </c>
      <c r="B98" t="str">
        <f>INDEX([1]!town_population[Regional Planning Commission],MATCH(town_establishments[[#This Row],[Municipality]],[1]!town_population[Municipality],0))</f>
        <v>Northeastern Vermont Development Association</v>
      </c>
      <c r="C98">
        <v>2</v>
      </c>
      <c r="D98">
        <v>2</v>
      </c>
      <c r="E98">
        <v>2</v>
      </c>
      <c r="K98">
        <v>2</v>
      </c>
      <c r="L98">
        <v>1</v>
      </c>
      <c r="M98">
        <v>3</v>
      </c>
      <c r="O98">
        <v>3</v>
      </c>
      <c r="P98">
        <v>1</v>
      </c>
      <c r="Q98">
        <f t="shared" si="16"/>
        <v>16</v>
      </c>
      <c r="R98" s="67">
        <f t="shared" si="17"/>
        <v>0.125</v>
      </c>
      <c r="S98" s="67">
        <f t="shared" si="18"/>
        <v>0.125</v>
      </c>
      <c r="T98" s="67">
        <f t="shared" si="19"/>
        <v>0.125</v>
      </c>
      <c r="U98" s="67">
        <f t="shared" si="20"/>
        <v>0</v>
      </c>
      <c r="V98" s="67">
        <f t="shared" si="21"/>
        <v>0</v>
      </c>
      <c r="W98" s="67">
        <f t="shared" si="22"/>
        <v>0</v>
      </c>
      <c r="X98" s="67">
        <f t="shared" si="23"/>
        <v>0</v>
      </c>
      <c r="Y98" s="67">
        <f t="shared" si="24"/>
        <v>0</v>
      </c>
      <c r="Z98" s="67">
        <f t="shared" si="25"/>
        <v>0.125</v>
      </c>
      <c r="AA98" s="67">
        <f t="shared" si="26"/>
        <v>6.25E-2</v>
      </c>
      <c r="AB98" s="67">
        <f t="shared" si="27"/>
        <v>0.1875</v>
      </c>
      <c r="AC98" s="67">
        <f t="shared" si="28"/>
        <v>0</v>
      </c>
      <c r="AD98" s="67">
        <f t="shared" si="29"/>
        <v>0.1875</v>
      </c>
      <c r="AE98" s="67">
        <f t="shared" si="30"/>
        <v>6.25E-2</v>
      </c>
      <c r="AF98" s="67">
        <f t="shared" si="31"/>
        <v>8.4024787312257112E-4</v>
      </c>
      <c r="AG98" s="67">
        <f>town_establishments[[#This Row],[share of state establishments]]/($AF$250-$AF$249)</f>
        <v>8.6914009451898521E-4</v>
      </c>
      <c r="AH98" s="67">
        <f>town_establishments[[#This Row],[share of state establishments (no residual)]]/(INDEX(regional_establishments[share of state establishments],MATCH(town_establishments[[#This Row],[Regional Planning Commission]],regional_establishments[Regional Planning Commission],0)))</f>
        <v>1.0966415352981493E-2</v>
      </c>
    </row>
    <row r="99" spans="1:34" x14ac:dyDescent="0.25">
      <c r="A99" t="s">
        <v>199</v>
      </c>
      <c r="B99" t="str">
        <f>INDEX([1]!town_population[Regional Planning Commission],MATCH(town_establishments[[#This Row],[Municipality]],[1]!town_population[Municipality],0))</f>
        <v>Northeastern Vermont Development Association</v>
      </c>
      <c r="D99">
        <v>2</v>
      </c>
      <c r="E99">
        <v>2</v>
      </c>
      <c r="F99">
        <v>1</v>
      </c>
      <c r="I99">
        <v>1</v>
      </c>
      <c r="K99">
        <v>1</v>
      </c>
      <c r="L99">
        <v>1</v>
      </c>
      <c r="O99">
        <v>3</v>
      </c>
      <c r="P99">
        <v>1</v>
      </c>
      <c r="Q99">
        <f t="shared" si="16"/>
        <v>12</v>
      </c>
      <c r="R99" s="67">
        <f t="shared" si="17"/>
        <v>0</v>
      </c>
      <c r="S99" s="67">
        <f t="shared" si="18"/>
        <v>0.16666666666666666</v>
      </c>
      <c r="T99" s="67">
        <f t="shared" si="19"/>
        <v>0.16666666666666666</v>
      </c>
      <c r="U99" s="67">
        <f t="shared" si="20"/>
        <v>8.3333333333333329E-2</v>
      </c>
      <c r="V99" s="67">
        <f t="shared" si="21"/>
        <v>0</v>
      </c>
      <c r="W99" s="67">
        <f t="shared" si="22"/>
        <v>0</v>
      </c>
      <c r="X99" s="67">
        <f t="shared" si="23"/>
        <v>8.3333333333333329E-2</v>
      </c>
      <c r="Y99" s="67">
        <f t="shared" si="24"/>
        <v>0</v>
      </c>
      <c r="Z99" s="67">
        <f t="shared" si="25"/>
        <v>8.3333333333333329E-2</v>
      </c>
      <c r="AA99" s="67">
        <f t="shared" si="26"/>
        <v>8.3333333333333329E-2</v>
      </c>
      <c r="AB99" s="67">
        <f t="shared" si="27"/>
        <v>0</v>
      </c>
      <c r="AC99" s="67">
        <f t="shared" si="28"/>
        <v>0</v>
      </c>
      <c r="AD99" s="67">
        <f t="shared" si="29"/>
        <v>0.25</v>
      </c>
      <c r="AE99" s="67">
        <f t="shared" si="30"/>
        <v>8.3333333333333329E-2</v>
      </c>
      <c r="AF99" s="67">
        <f t="shared" si="31"/>
        <v>6.3018590484192839E-4</v>
      </c>
      <c r="AG99" s="67">
        <f>town_establishments[[#This Row],[share of state establishments]]/($AF$250-$AF$249)</f>
        <v>6.5185507088923894E-4</v>
      </c>
      <c r="AH99" s="67">
        <f>town_establishments[[#This Row],[share of state establishments (no residual)]]/(INDEX(regional_establishments[share of state establishments],MATCH(town_establishments[[#This Row],[Regional Planning Commission]],regional_establishments[Regional Planning Commission],0)))</f>
        <v>8.2248115147361203E-3</v>
      </c>
    </row>
    <row r="100" spans="1:34" x14ac:dyDescent="0.25">
      <c r="A100" t="s">
        <v>200</v>
      </c>
      <c r="B100" t="str">
        <f>INDEX([1]!town_population[Regional Planning Commission],MATCH(town_establishments[[#This Row],[Municipality]],[1]!town_population[Municipality],0))</f>
        <v>Northeastern Vermont Development Association</v>
      </c>
      <c r="C100">
        <v>1</v>
      </c>
      <c r="D100">
        <v>3</v>
      </c>
      <c r="E100">
        <v>2</v>
      </c>
      <c r="F100">
        <v>2</v>
      </c>
      <c r="H100">
        <v>1</v>
      </c>
      <c r="I100">
        <v>2</v>
      </c>
      <c r="K100">
        <v>4</v>
      </c>
      <c r="L100">
        <v>1</v>
      </c>
      <c r="M100">
        <v>2</v>
      </c>
      <c r="O100">
        <v>2</v>
      </c>
      <c r="P100">
        <v>8</v>
      </c>
      <c r="Q100">
        <f t="shared" si="16"/>
        <v>28</v>
      </c>
      <c r="R100" s="67">
        <f t="shared" si="17"/>
        <v>3.5714285714285712E-2</v>
      </c>
      <c r="S100" s="67">
        <f t="shared" si="18"/>
        <v>0.10714285714285714</v>
      </c>
      <c r="T100" s="67">
        <f t="shared" si="19"/>
        <v>7.1428571428571425E-2</v>
      </c>
      <c r="U100" s="67">
        <f t="shared" si="20"/>
        <v>7.1428571428571425E-2</v>
      </c>
      <c r="V100" s="67">
        <f t="shared" si="21"/>
        <v>0</v>
      </c>
      <c r="W100" s="67">
        <f t="shared" si="22"/>
        <v>3.5714285714285712E-2</v>
      </c>
      <c r="X100" s="67">
        <f t="shared" si="23"/>
        <v>7.1428571428571425E-2</v>
      </c>
      <c r="Y100" s="67">
        <f t="shared" si="24"/>
        <v>0</v>
      </c>
      <c r="Z100" s="67">
        <f t="shared" si="25"/>
        <v>0.14285714285714285</v>
      </c>
      <c r="AA100" s="67">
        <f t="shared" si="26"/>
        <v>3.5714285714285712E-2</v>
      </c>
      <c r="AB100" s="67">
        <f t="shared" si="27"/>
        <v>7.1428571428571425E-2</v>
      </c>
      <c r="AC100" s="67">
        <f t="shared" si="28"/>
        <v>0</v>
      </c>
      <c r="AD100" s="67">
        <f t="shared" si="29"/>
        <v>7.1428571428571425E-2</v>
      </c>
      <c r="AE100" s="67">
        <f t="shared" si="30"/>
        <v>0.2857142857142857</v>
      </c>
      <c r="AF100" s="67">
        <f t="shared" si="31"/>
        <v>1.4704337779644996E-3</v>
      </c>
      <c r="AG100" s="67">
        <f>town_establishments[[#This Row],[share of state establishments]]/($AF$250-$AF$249)</f>
        <v>1.5209951654082243E-3</v>
      </c>
      <c r="AH100" s="67">
        <f>town_establishments[[#This Row],[share of state establishments (no residual)]]/(INDEX(regional_establishments[share of state establishments],MATCH(town_establishments[[#This Row],[Regional Planning Commission]],regional_establishments[Regional Planning Commission],0)))</f>
        <v>1.9191226867717615E-2</v>
      </c>
    </row>
    <row r="101" spans="1:34" x14ac:dyDescent="0.25">
      <c r="A101" t="s">
        <v>201</v>
      </c>
      <c r="B101" t="str">
        <f>INDEX([1]!town_population[Regional Planning Commission],MATCH(town_establishments[[#This Row],[Municipality]],[1]!town_population[Municipality],0))</f>
        <v>Northeastern Vermont Development Association</v>
      </c>
      <c r="C101">
        <v>1</v>
      </c>
      <c r="D101">
        <v>5</v>
      </c>
      <c r="E101">
        <v>4</v>
      </c>
      <c r="F101">
        <v>4</v>
      </c>
      <c r="G101">
        <v>3</v>
      </c>
      <c r="I101">
        <v>11</v>
      </c>
      <c r="K101">
        <v>1</v>
      </c>
      <c r="L101">
        <v>1</v>
      </c>
      <c r="M101">
        <v>4</v>
      </c>
      <c r="N101">
        <v>1</v>
      </c>
      <c r="O101">
        <v>6</v>
      </c>
      <c r="P101">
        <v>3</v>
      </c>
      <c r="Q101">
        <f t="shared" si="16"/>
        <v>44</v>
      </c>
      <c r="R101" s="67">
        <f t="shared" si="17"/>
        <v>2.2727272727272728E-2</v>
      </c>
      <c r="S101" s="67">
        <f t="shared" si="18"/>
        <v>0.11363636363636363</v>
      </c>
      <c r="T101" s="67">
        <f t="shared" si="19"/>
        <v>9.0909090909090912E-2</v>
      </c>
      <c r="U101" s="67">
        <f t="shared" si="20"/>
        <v>9.0909090909090912E-2</v>
      </c>
      <c r="V101" s="67">
        <f t="shared" si="21"/>
        <v>6.8181818181818177E-2</v>
      </c>
      <c r="W101" s="67">
        <f t="shared" si="22"/>
        <v>0</v>
      </c>
      <c r="X101" s="67">
        <f t="shared" si="23"/>
        <v>0.25</v>
      </c>
      <c r="Y101" s="67">
        <f t="shared" si="24"/>
        <v>0</v>
      </c>
      <c r="Z101" s="67">
        <f t="shared" si="25"/>
        <v>2.2727272727272728E-2</v>
      </c>
      <c r="AA101" s="67">
        <f t="shared" si="26"/>
        <v>2.2727272727272728E-2</v>
      </c>
      <c r="AB101" s="67">
        <f t="shared" si="27"/>
        <v>9.0909090909090912E-2</v>
      </c>
      <c r="AC101" s="67">
        <f t="shared" si="28"/>
        <v>2.2727272727272728E-2</v>
      </c>
      <c r="AD101" s="67">
        <f t="shared" si="29"/>
        <v>0.13636363636363635</v>
      </c>
      <c r="AE101" s="67">
        <f t="shared" si="30"/>
        <v>6.8181818181818177E-2</v>
      </c>
      <c r="AF101" s="67">
        <f t="shared" si="31"/>
        <v>2.3106816510870707E-3</v>
      </c>
      <c r="AG101" s="67">
        <f>town_establishments[[#This Row],[share of state establishments]]/($AF$250-$AF$249)</f>
        <v>2.3901352599272094E-3</v>
      </c>
      <c r="AH101" s="67">
        <f>town_establishments[[#This Row],[share of state establishments (no residual)]]/(INDEX(regional_establishments[share of state establishments],MATCH(town_establishments[[#This Row],[Regional Planning Commission]],regional_establishments[Regional Planning Commission],0)))</f>
        <v>3.0157642220699107E-2</v>
      </c>
    </row>
    <row r="102" spans="1:34" x14ac:dyDescent="0.25">
      <c r="A102" t="s">
        <v>202</v>
      </c>
      <c r="B102" t="str">
        <f>INDEX([1]!town_population[Regional Planning Commission],MATCH(town_establishments[[#This Row],[Municipality]],[1]!town_population[Municipality],0))</f>
        <v>Northeastern Vermont Development Association</v>
      </c>
      <c r="C102">
        <v>10</v>
      </c>
      <c r="D102">
        <v>31</v>
      </c>
      <c r="E102">
        <v>9</v>
      </c>
      <c r="F102">
        <v>3</v>
      </c>
      <c r="G102">
        <v>5</v>
      </c>
      <c r="H102">
        <v>6</v>
      </c>
      <c r="I102">
        <v>9</v>
      </c>
      <c r="J102">
        <v>1</v>
      </c>
      <c r="K102">
        <v>8</v>
      </c>
      <c r="L102">
        <v>2</v>
      </c>
      <c r="M102">
        <v>9</v>
      </c>
      <c r="N102">
        <v>1</v>
      </c>
      <c r="O102">
        <v>13</v>
      </c>
      <c r="P102">
        <v>10</v>
      </c>
      <c r="Q102">
        <f t="shared" si="16"/>
        <v>117</v>
      </c>
      <c r="R102" s="67">
        <f t="shared" si="17"/>
        <v>8.5470085470085472E-2</v>
      </c>
      <c r="S102" s="67">
        <f t="shared" si="18"/>
        <v>0.26495726495726496</v>
      </c>
      <c r="T102" s="67">
        <f t="shared" si="19"/>
        <v>7.6923076923076927E-2</v>
      </c>
      <c r="U102" s="67">
        <f t="shared" si="20"/>
        <v>2.564102564102564E-2</v>
      </c>
      <c r="V102" s="67">
        <f t="shared" si="21"/>
        <v>4.2735042735042736E-2</v>
      </c>
      <c r="W102" s="67">
        <f t="shared" si="22"/>
        <v>5.128205128205128E-2</v>
      </c>
      <c r="X102" s="67">
        <f t="shared" si="23"/>
        <v>7.6923076923076927E-2</v>
      </c>
      <c r="Y102" s="67">
        <f t="shared" si="24"/>
        <v>8.5470085470085479E-3</v>
      </c>
      <c r="Z102" s="67">
        <f t="shared" si="25"/>
        <v>6.8376068376068383E-2</v>
      </c>
      <c r="AA102" s="67">
        <f t="shared" si="26"/>
        <v>1.7094017094017096E-2</v>
      </c>
      <c r="AB102" s="67">
        <f t="shared" si="27"/>
        <v>7.6923076923076927E-2</v>
      </c>
      <c r="AC102" s="67">
        <f t="shared" si="28"/>
        <v>8.5470085470085479E-3</v>
      </c>
      <c r="AD102" s="67">
        <f t="shared" si="29"/>
        <v>0.1111111111111111</v>
      </c>
      <c r="AE102" s="67">
        <f t="shared" si="30"/>
        <v>8.5470085470085472E-2</v>
      </c>
      <c r="AF102" s="67">
        <f t="shared" si="31"/>
        <v>6.1443125722088019E-3</v>
      </c>
      <c r="AG102" s="67">
        <f>town_establishments[[#This Row],[share of state establishments]]/($AF$250-$AF$249)</f>
        <v>6.3555869411700801E-3</v>
      </c>
      <c r="AH102" s="67">
        <f>town_establishments[[#This Row],[share of state establishments (no residual)]]/(INDEX(regional_establishments[share of state establishments],MATCH(town_establishments[[#This Row],[Regional Planning Commission]],regional_establishments[Regional Planning Commission],0)))</f>
        <v>8.0191912268677182E-2</v>
      </c>
    </row>
    <row r="103" spans="1:34" x14ac:dyDescent="0.25">
      <c r="A103" t="s">
        <v>203</v>
      </c>
      <c r="B103" t="str">
        <f>INDEX([1]!town_population[Regional Planning Commission],MATCH(town_establishments[[#This Row],[Municipality]],[1]!town_population[Municipality],0))</f>
        <v>Northeastern Vermont Development Association</v>
      </c>
      <c r="E103">
        <v>1</v>
      </c>
      <c r="H103">
        <v>1</v>
      </c>
      <c r="I103">
        <v>1</v>
      </c>
      <c r="P103">
        <v>2</v>
      </c>
      <c r="Q103">
        <f t="shared" si="16"/>
        <v>5</v>
      </c>
      <c r="R103" s="67">
        <f t="shared" si="17"/>
        <v>0</v>
      </c>
      <c r="S103" s="67">
        <f t="shared" si="18"/>
        <v>0</v>
      </c>
      <c r="T103" s="67">
        <f t="shared" si="19"/>
        <v>0.2</v>
      </c>
      <c r="U103" s="67">
        <f t="shared" si="20"/>
        <v>0</v>
      </c>
      <c r="V103" s="67">
        <f t="shared" si="21"/>
        <v>0</v>
      </c>
      <c r="W103" s="67">
        <f t="shared" si="22"/>
        <v>0.2</v>
      </c>
      <c r="X103" s="67">
        <f t="shared" si="23"/>
        <v>0.2</v>
      </c>
      <c r="Y103" s="67">
        <f t="shared" si="24"/>
        <v>0</v>
      </c>
      <c r="Z103" s="67">
        <f t="shared" si="25"/>
        <v>0</v>
      </c>
      <c r="AA103" s="67">
        <f t="shared" si="26"/>
        <v>0</v>
      </c>
      <c r="AB103" s="67">
        <f t="shared" si="27"/>
        <v>0</v>
      </c>
      <c r="AC103" s="67">
        <f t="shared" si="28"/>
        <v>0</v>
      </c>
      <c r="AD103" s="67">
        <f t="shared" si="29"/>
        <v>0</v>
      </c>
      <c r="AE103" s="67">
        <f t="shared" si="30"/>
        <v>0.4</v>
      </c>
      <c r="AF103" s="67">
        <f t="shared" si="31"/>
        <v>2.6257746035080349E-4</v>
      </c>
      <c r="AG103" s="67">
        <f>town_establishments[[#This Row],[share of state establishments]]/($AF$250-$AF$249)</f>
        <v>2.7160627953718287E-4</v>
      </c>
      <c r="AH103" s="67">
        <f>town_establishments[[#This Row],[share of state establishments (no residual)]]/(INDEX(regional_establishments[share of state establishments],MATCH(town_establishments[[#This Row],[Regional Planning Commission]],regional_establishments[Regional Planning Commission],0)))</f>
        <v>3.4270047978067165E-3</v>
      </c>
    </row>
    <row r="104" spans="1:34" x14ac:dyDescent="0.25">
      <c r="A104" t="s">
        <v>204</v>
      </c>
      <c r="B104" t="str">
        <f>INDEX([1]!town_population[Regional Planning Commission],MATCH(town_establishments[[#This Row],[Municipality]],[1]!town_population[Municipality],0))</f>
        <v>Northeastern Vermont Development Association</v>
      </c>
      <c r="D104">
        <v>3</v>
      </c>
      <c r="I104">
        <v>1</v>
      </c>
      <c r="K104">
        <v>1</v>
      </c>
      <c r="L104">
        <v>1</v>
      </c>
      <c r="M104">
        <v>2</v>
      </c>
      <c r="N104">
        <v>1</v>
      </c>
      <c r="O104">
        <v>1</v>
      </c>
      <c r="P104">
        <v>2</v>
      </c>
      <c r="Q104">
        <f t="shared" si="16"/>
        <v>12</v>
      </c>
      <c r="R104" s="67">
        <f t="shared" si="17"/>
        <v>0</v>
      </c>
      <c r="S104" s="67">
        <f t="shared" si="18"/>
        <v>0.25</v>
      </c>
      <c r="T104" s="67">
        <f t="shared" si="19"/>
        <v>0</v>
      </c>
      <c r="U104" s="67">
        <f t="shared" si="20"/>
        <v>0</v>
      </c>
      <c r="V104" s="67">
        <f t="shared" si="21"/>
        <v>0</v>
      </c>
      <c r="W104" s="67">
        <f t="shared" si="22"/>
        <v>0</v>
      </c>
      <c r="X104" s="67">
        <f t="shared" si="23"/>
        <v>8.3333333333333329E-2</v>
      </c>
      <c r="Y104" s="67">
        <f t="shared" si="24"/>
        <v>0</v>
      </c>
      <c r="Z104" s="67">
        <f t="shared" si="25"/>
        <v>8.3333333333333329E-2</v>
      </c>
      <c r="AA104" s="67">
        <f t="shared" si="26"/>
        <v>8.3333333333333329E-2</v>
      </c>
      <c r="AB104" s="67">
        <f t="shared" si="27"/>
        <v>0.16666666666666666</v>
      </c>
      <c r="AC104" s="67">
        <f t="shared" si="28"/>
        <v>8.3333333333333329E-2</v>
      </c>
      <c r="AD104" s="67">
        <f t="shared" si="29"/>
        <v>8.3333333333333329E-2</v>
      </c>
      <c r="AE104" s="67">
        <f t="shared" si="30"/>
        <v>0.16666666666666666</v>
      </c>
      <c r="AF104" s="67">
        <f t="shared" si="31"/>
        <v>6.3018590484192839E-4</v>
      </c>
      <c r="AG104" s="67">
        <f>town_establishments[[#This Row],[share of state establishments]]/($AF$250-$AF$249)</f>
        <v>6.5185507088923894E-4</v>
      </c>
      <c r="AH104" s="67">
        <f>town_establishments[[#This Row],[share of state establishments (no residual)]]/(INDEX(regional_establishments[share of state establishments],MATCH(town_establishments[[#This Row],[Regional Planning Commission]],regional_establishments[Regional Planning Commission],0)))</f>
        <v>8.2248115147361203E-3</v>
      </c>
    </row>
    <row r="105" spans="1:34" x14ac:dyDescent="0.25">
      <c r="A105" t="s">
        <v>205</v>
      </c>
      <c r="B105" t="str">
        <f>INDEX([1]!town_population[Regional Planning Commission],MATCH(town_establishments[[#This Row],[Municipality]],[1]!town_population[Municipality],0))</f>
        <v>Northeastern Vermont Development Association</v>
      </c>
      <c r="E105">
        <v>1</v>
      </c>
      <c r="I105">
        <v>1</v>
      </c>
      <c r="Q105">
        <f t="shared" si="16"/>
        <v>2</v>
      </c>
      <c r="R105" s="67">
        <f t="shared" si="17"/>
        <v>0</v>
      </c>
      <c r="S105" s="67">
        <f t="shared" si="18"/>
        <v>0</v>
      </c>
      <c r="T105" s="67">
        <f t="shared" si="19"/>
        <v>0.5</v>
      </c>
      <c r="U105" s="67">
        <f t="shared" si="20"/>
        <v>0</v>
      </c>
      <c r="V105" s="67">
        <f t="shared" si="21"/>
        <v>0</v>
      </c>
      <c r="W105" s="67">
        <f t="shared" si="22"/>
        <v>0</v>
      </c>
      <c r="X105" s="67">
        <f t="shared" si="23"/>
        <v>0.5</v>
      </c>
      <c r="Y105" s="67">
        <f t="shared" si="24"/>
        <v>0</v>
      </c>
      <c r="Z105" s="67">
        <f t="shared" si="25"/>
        <v>0</v>
      </c>
      <c r="AA105" s="67">
        <f t="shared" si="26"/>
        <v>0</v>
      </c>
      <c r="AB105" s="67">
        <f t="shared" si="27"/>
        <v>0</v>
      </c>
      <c r="AC105" s="67">
        <f t="shared" si="28"/>
        <v>0</v>
      </c>
      <c r="AD105" s="67">
        <f t="shared" si="29"/>
        <v>0</v>
      </c>
      <c r="AE105" s="67">
        <f t="shared" si="30"/>
        <v>0</v>
      </c>
      <c r="AF105" s="67">
        <f t="shared" si="31"/>
        <v>1.0503098414032139E-4</v>
      </c>
      <c r="AG105" s="67">
        <f>town_establishments[[#This Row],[share of state establishments]]/($AF$250-$AF$249)</f>
        <v>1.0864251181487315E-4</v>
      </c>
      <c r="AH105" s="67">
        <f>town_establishments[[#This Row],[share of state establishments (no residual)]]/(INDEX(regional_establishments[share of state establishments],MATCH(town_establishments[[#This Row],[Regional Planning Commission]],regional_establishments[Regional Planning Commission],0)))</f>
        <v>1.3708019191226866E-3</v>
      </c>
    </row>
    <row r="106" spans="1:34" x14ac:dyDescent="0.25">
      <c r="A106" t="s">
        <v>206</v>
      </c>
      <c r="B106" t="str">
        <f>INDEX([1]!town_population[Regional Planning Commission],MATCH(town_establishments[[#This Row],[Municipality]],[1]!town_population[Municipality],0))</f>
        <v>Northeastern Vermont Development Association</v>
      </c>
      <c r="C106">
        <v>3</v>
      </c>
      <c r="D106">
        <v>4</v>
      </c>
      <c r="E106">
        <v>1</v>
      </c>
      <c r="F106">
        <v>1</v>
      </c>
      <c r="I106">
        <v>3</v>
      </c>
      <c r="K106">
        <v>2</v>
      </c>
      <c r="L106">
        <v>1</v>
      </c>
      <c r="M106">
        <v>4</v>
      </c>
      <c r="N106">
        <v>2</v>
      </c>
      <c r="O106">
        <v>2</v>
      </c>
      <c r="P106">
        <v>4</v>
      </c>
      <c r="Q106">
        <f t="shared" si="16"/>
        <v>27</v>
      </c>
      <c r="R106" s="67">
        <f t="shared" si="17"/>
        <v>0.1111111111111111</v>
      </c>
      <c r="S106" s="67">
        <f t="shared" si="18"/>
        <v>0.14814814814814814</v>
      </c>
      <c r="T106" s="67">
        <f t="shared" si="19"/>
        <v>3.7037037037037035E-2</v>
      </c>
      <c r="U106" s="67">
        <f t="shared" si="20"/>
        <v>3.7037037037037035E-2</v>
      </c>
      <c r="V106" s="67">
        <f t="shared" si="21"/>
        <v>0</v>
      </c>
      <c r="W106" s="67">
        <f t="shared" si="22"/>
        <v>0</v>
      </c>
      <c r="X106" s="67">
        <f t="shared" si="23"/>
        <v>0.1111111111111111</v>
      </c>
      <c r="Y106" s="67">
        <f t="shared" si="24"/>
        <v>0</v>
      </c>
      <c r="Z106" s="67">
        <f t="shared" si="25"/>
        <v>7.407407407407407E-2</v>
      </c>
      <c r="AA106" s="67">
        <f t="shared" si="26"/>
        <v>3.7037037037037035E-2</v>
      </c>
      <c r="AB106" s="67">
        <f t="shared" si="27"/>
        <v>0.14814814814814814</v>
      </c>
      <c r="AC106" s="67">
        <f t="shared" si="28"/>
        <v>7.407407407407407E-2</v>
      </c>
      <c r="AD106" s="67">
        <f t="shared" si="29"/>
        <v>7.407407407407407E-2</v>
      </c>
      <c r="AE106" s="67">
        <f t="shared" si="30"/>
        <v>0.14814814814814814</v>
      </c>
      <c r="AF106" s="67">
        <f t="shared" si="31"/>
        <v>1.4179182858943388E-3</v>
      </c>
      <c r="AG106" s="67">
        <f>town_establishments[[#This Row],[share of state establishments]]/($AF$250-$AF$249)</f>
        <v>1.4666739095007876E-3</v>
      </c>
      <c r="AH106" s="67">
        <f>town_establishments[[#This Row],[share of state establishments (no residual)]]/(INDEX(regional_establishments[share of state establishments],MATCH(town_establishments[[#This Row],[Regional Planning Commission]],regional_establishments[Regional Planning Commission],0)))</f>
        <v>1.8505825908156269E-2</v>
      </c>
    </row>
    <row r="107" spans="1:34" x14ac:dyDescent="0.25">
      <c r="A107" t="s">
        <v>207</v>
      </c>
      <c r="B107" t="str">
        <f>INDEX([1]!town_population[Regional Planning Commission],MATCH(town_establishments[[#This Row],[Municipality]],[1]!town_population[Municipality],0))</f>
        <v>Northeastern Vermont Development Association</v>
      </c>
      <c r="D107">
        <v>2</v>
      </c>
      <c r="E107">
        <v>2</v>
      </c>
      <c r="F107">
        <v>1</v>
      </c>
      <c r="G107">
        <v>1</v>
      </c>
      <c r="H107">
        <v>1</v>
      </c>
      <c r="I107">
        <v>2</v>
      </c>
      <c r="K107">
        <v>2</v>
      </c>
      <c r="M107">
        <v>1</v>
      </c>
      <c r="P107">
        <v>4</v>
      </c>
      <c r="Q107">
        <f t="shared" si="16"/>
        <v>16</v>
      </c>
      <c r="R107" s="67">
        <f t="shared" si="17"/>
        <v>0</v>
      </c>
      <c r="S107" s="67">
        <f t="shared" si="18"/>
        <v>0.125</v>
      </c>
      <c r="T107" s="67">
        <f t="shared" si="19"/>
        <v>0.125</v>
      </c>
      <c r="U107" s="67">
        <f t="shared" si="20"/>
        <v>6.25E-2</v>
      </c>
      <c r="V107" s="67">
        <f t="shared" si="21"/>
        <v>6.25E-2</v>
      </c>
      <c r="W107" s="67">
        <f t="shared" si="22"/>
        <v>6.25E-2</v>
      </c>
      <c r="X107" s="67">
        <f t="shared" si="23"/>
        <v>0.125</v>
      </c>
      <c r="Y107" s="67">
        <f t="shared" si="24"/>
        <v>0</v>
      </c>
      <c r="Z107" s="67">
        <f t="shared" si="25"/>
        <v>0.125</v>
      </c>
      <c r="AA107" s="67">
        <f t="shared" si="26"/>
        <v>0</v>
      </c>
      <c r="AB107" s="67">
        <f t="shared" si="27"/>
        <v>6.25E-2</v>
      </c>
      <c r="AC107" s="67">
        <f t="shared" si="28"/>
        <v>0</v>
      </c>
      <c r="AD107" s="67">
        <f t="shared" si="29"/>
        <v>0</v>
      </c>
      <c r="AE107" s="67">
        <f t="shared" si="30"/>
        <v>0.25</v>
      </c>
      <c r="AF107" s="67">
        <f t="shared" si="31"/>
        <v>8.4024787312257112E-4</v>
      </c>
      <c r="AG107" s="67">
        <f>town_establishments[[#This Row],[share of state establishments]]/($AF$250-$AF$249)</f>
        <v>8.6914009451898521E-4</v>
      </c>
      <c r="AH107" s="67">
        <f>town_establishments[[#This Row],[share of state establishments (no residual)]]/(INDEX(regional_establishments[share of state establishments],MATCH(town_establishments[[#This Row],[Regional Planning Commission]],regional_establishments[Regional Planning Commission],0)))</f>
        <v>1.0966415352981493E-2</v>
      </c>
    </row>
    <row r="108" spans="1:34" x14ac:dyDescent="0.25">
      <c r="A108" t="s">
        <v>208</v>
      </c>
      <c r="B108" t="str">
        <f>INDEX([1]!town_population[Regional Planning Commission],MATCH(town_establishments[[#This Row],[Municipality]],[1]!town_population[Municipality],0))</f>
        <v>Northeastern Vermont Development Association</v>
      </c>
      <c r="E108">
        <v>1</v>
      </c>
      <c r="K108">
        <v>1</v>
      </c>
      <c r="L108">
        <v>1</v>
      </c>
      <c r="P108">
        <v>1</v>
      </c>
      <c r="Q108">
        <f t="shared" si="16"/>
        <v>4</v>
      </c>
      <c r="R108" s="67">
        <f t="shared" si="17"/>
        <v>0</v>
      </c>
      <c r="S108" s="67">
        <f t="shared" si="18"/>
        <v>0</v>
      </c>
      <c r="T108" s="67">
        <f t="shared" si="19"/>
        <v>0.25</v>
      </c>
      <c r="U108" s="67">
        <f t="shared" si="20"/>
        <v>0</v>
      </c>
      <c r="V108" s="67">
        <f t="shared" si="21"/>
        <v>0</v>
      </c>
      <c r="W108" s="67">
        <f t="shared" si="22"/>
        <v>0</v>
      </c>
      <c r="X108" s="67">
        <f t="shared" si="23"/>
        <v>0</v>
      </c>
      <c r="Y108" s="67">
        <f t="shared" si="24"/>
        <v>0</v>
      </c>
      <c r="Z108" s="67">
        <f t="shared" si="25"/>
        <v>0.25</v>
      </c>
      <c r="AA108" s="67">
        <f t="shared" si="26"/>
        <v>0.25</v>
      </c>
      <c r="AB108" s="67">
        <f t="shared" si="27"/>
        <v>0</v>
      </c>
      <c r="AC108" s="67">
        <f t="shared" si="28"/>
        <v>0</v>
      </c>
      <c r="AD108" s="67">
        <f t="shared" si="29"/>
        <v>0</v>
      </c>
      <c r="AE108" s="67">
        <f t="shared" si="30"/>
        <v>0.25</v>
      </c>
      <c r="AF108" s="67">
        <f t="shared" si="31"/>
        <v>2.1006196828064278E-4</v>
      </c>
      <c r="AG108" s="67">
        <f>town_establishments[[#This Row],[share of state establishments]]/($AF$250-$AF$249)</f>
        <v>2.172850236297463E-4</v>
      </c>
      <c r="AH108" s="67">
        <f>town_establishments[[#This Row],[share of state establishments (no residual)]]/(INDEX(regional_establishments[share of state establishments],MATCH(town_establishments[[#This Row],[Regional Planning Commission]],regional_establishments[Regional Planning Commission],0)))</f>
        <v>2.7416038382453733E-3</v>
      </c>
    </row>
    <row r="109" spans="1:34" x14ac:dyDescent="0.25">
      <c r="A109" t="s">
        <v>209</v>
      </c>
      <c r="B109" t="str">
        <f>INDEX([1]!town_population[Regional Planning Commission],MATCH(town_establishments[[#This Row],[Municipality]],[1]!town_population[Municipality],0))</f>
        <v>Northeastern Vermont Development Association</v>
      </c>
      <c r="C109">
        <v>5</v>
      </c>
      <c r="D109">
        <v>27</v>
      </c>
      <c r="E109">
        <v>4</v>
      </c>
      <c r="F109">
        <v>2</v>
      </c>
      <c r="G109">
        <v>3</v>
      </c>
      <c r="H109">
        <v>3</v>
      </c>
      <c r="I109">
        <v>17</v>
      </c>
      <c r="K109">
        <v>4</v>
      </c>
      <c r="L109">
        <v>5</v>
      </c>
      <c r="M109">
        <v>11</v>
      </c>
      <c r="N109">
        <v>1</v>
      </c>
      <c r="O109">
        <v>7</v>
      </c>
      <c r="P109">
        <v>9</v>
      </c>
      <c r="Q109">
        <f t="shared" si="16"/>
        <v>98</v>
      </c>
      <c r="R109" s="67">
        <f t="shared" si="17"/>
        <v>5.1020408163265307E-2</v>
      </c>
      <c r="S109" s="67">
        <f t="shared" si="18"/>
        <v>0.27551020408163263</v>
      </c>
      <c r="T109" s="67">
        <f t="shared" si="19"/>
        <v>4.0816326530612242E-2</v>
      </c>
      <c r="U109" s="67">
        <f t="shared" si="20"/>
        <v>2.0408163265306121E-2</v>
      </c>
      <c r="V109" s="67">
        <f t="shared" si="21"/>
        <v>3.0612244897959183E-2</v>
      </c>
      <c r="W109" s="67">
        <f t="shared" si="22"/>
        <v>3.0612244897959183E-2</v>
      </c>
      <c r="X109" s="67">
        <f t="shared" si="23"/>
        <v>0.17346938775510204</v>
      </c>
      <c r="Y109" s="67">
        <f t="shared" si="24"/>
        <v>0</v>
      </c>
      <c r="Z109" s="67">
        <f t="shared" si="25"/>
        <v>4.0816326530612242E-2</v>
      </c>
      <c r="AA109" s="67">
        <f t="shared" si="26"/>
        <v>5.1020408163265307E-2</v>
      </c>
      <c r="AB109" s="67">
        <f t="shared" si="27"/>
        <v>0.11224489795918367</v>
      </c>
      <c r="AC109" s="67">
        <f t="shared" si="28"/>
        <v>1.020408163265306E-2</v>
      </c>
      <c r="AD109" s="67">
        <f t="shared" si="29"/>
        <v>7.1428571428571425E-2</v>
      </c>
      <c r="AE109" s="67">
        <f t="shared" si="30"/>
        <v>9.1836734693877556E-2</v>
      </c>
      <c r="AF109" s="67">
        <f t="shared" si="31"/>
        <v>5.1465182228757483E-3</v>
      </c>
      <c r="AG109" s="67">
        <f>town_establishments[[#This Row],[share of state establishments]]/($AF$250-$AF$249)</f>
        <v>5.3234830789287849E-3</v>
      </c>
      <c r="AH109" s="67">
        <f>town_establishments[[#This Row],[share of state establishments (no residual)]]/(INDEX(regional_establishments[share of state establishments],MATCH(town_establishments[[#This Row],[Regional Planning Commission]],regional_establishments[Regional Planning Commission],0)))</f>
        <v>6.7169294037011648E-2</v>
      </c>
    </row>
    <row r="110" spans="1:34" x14ac:dyDescent="0.25">
      <c r="A110" t="s">
        <v>210</v>
      </c>
      <c r="B110" t="str">
        <f>INDEX([1]!town_population[Regional Planning Commission],MATCH(town_establishments[[#This Row],[Municipality]],[1]!town_population[Municipality],0))</f>
        <v>Northeastern Vermont Development Association</v>
      </c>
      <c r="L110">
        <v>1</v>
      </c>
      <c r="N110">
        <v>1</v>
      </c>
      <c r="P110">
        <v>1</v>
      </c>
      <c r="Q110">
        <f t="shared" si="16"/>
        <v>3</v>
      </c>
      <c r="R110" s="67">
        <f t="shared" si="17"/>
        <v>0</v>
      </c>
      <c r="S110" s="67">
        <f t="shared" si="18"/>
        <v>0</v>
      </c>
      <c r="T110" s="67">
        <f t="shared" si="19"/>
        <v>0</v>
      </c>
      <c r="U110" s="67">
        <f t="shared" si="20"/>
        <v>0</v>
      </c>
      <c r="V110" s="67">
        <f t="shared" si="21"/>
        <v>0</v>
      </c>
      <c r="W110" s="67">
        <f t="shared" si="22"/>
        <v>0</v>
      </c>
      <c r="X110" s="67">
        <f t="shared" si="23"/>
        <v>0</v>
      </c>
      <c r="Y110" s="67">
        <f t="shared" si="24"/>
        <v>0</v>
      </c>
      <c r="Z110" s="67">
        <f t="shared" si="25"/>
        <v>0</v>
      </c>
      <c r="AA110" s="67">
        <f t="shared" si="26"/>
        <v>0.33333333333333331</v>
      </c>
      <c r="AB110" s="67">
        <f t="shared" si="27"/>
        <v>0</v>
      </c>
      <c r="AC110" s="67">
        <f t="shared" si="28"/>
        <v>0.33333333333333331</v>
      </c>
      <c r="AD110" s="67">
        <f t="shared" si="29"/>
        <v>0</v>
      </c>
      <c r="AE110" s="67">
        <f t="shared" si="30"/>
        <v>0.33333333333333331</v>
      </c>
      <c r="AF110" s="67">
        <f t="shared" si="31"/>
        <v>1.575464762104821E-4</v>
      </c>
      <c r="AG110" s="67">
        <f>town_establishments[[#This Row],[share of state establishments]]/($AF$250-$AF$249)</f>
        <v>1.6296376772230973E-4</v>
      </c>
      <c r="AH110" s="67">
        <f>town_establishments[[#This Row],[share of state establishments (no residual)]]/(INDEX(regional_establishments[share of state establishments],MATCH(town_establishments[[#This Row],[Regional Planning Commission]],regional_establishments[Regional Planning Commission],0)))</f>
        <v>2.0562028786840301E-3</v>
      </c>
    </row>
    <row r="111" spans="1:34" x14ac:dyDescent="0.25">
      <c r="A111" t="s">
        <v>211</v>
      </c>
      <c r="B111" t="str">
        <f>INDEX([1]!town_population[Regional Planning Commission],MATCH(town_establishments[[#This Row],[Municipality]],[1]!town_population[Municipality],0))</f>
        <v>Northeastern Vermont Development Association</v>
      </c>
      <c r="C111">
        <v>2</v>
      </c>
      <c r="D111">
        <v>3</v>
      </c>
      <c r="E111">
        <v>2</v>
      </c>
      <c r="F111">
        <v>2</v>
      </c>
      <c r="I111">
        <v>1</v>
      </c>
      <c r="K111">
        <v>1</v>
      </c>
      <c r="L111">
        <v>1</v>
      </c>
      <c r="O111">
        <v>1</v>
      </c>
      <c r="P111">
        <v>3</v>
      </c>
      <c r="Q111">
        <f t="shared" si="16"/>
        <v>16</v>
      </c>
      <c r="R111" s="67">
        <f t="shared" si="17"/>
        <v>0.125</v>
      </c>
      <c r="S111" s="67">
        <f t="shared" si="18"/>
        <v>0.1875</v>
      </c>
      <c r="T111" s="67">
        <f t="shared" si="19"/>
        <v>0.125</v>
      </c>
      <c r="U111" s="67">
        <f t="shared" si="20"/>
        <v>0.125</v>
      </c>
      <c r="V111" s="67">
        <f t="shared" si="21"/>
        <v>0</v>
      </c>
      <c r="W111" s="67">
        <f t="shared" si="22"/>
        <v>0</v>
      </c>
      <c r="X111" s="67">
        <f t="shared" si="23"/>
        <v>6.25E-2</v>
      </c>
      <c r="Y111" s="67">
        <f t="shared" si="24"/>
        <v>0</v>
      </c>
      <c r="Z111" s="67">
        <f t="shared" si="25"/>
        <v>6.25E-2</v>
      </c>
      <c r="AA111" s="67">
        <f t="shared" si="26"/>
        <v>6.25E-2</v>
      </c>
      <c r="AB111" s="67">
        <f t="shared" si="27"/>
        <v>0</v>
      </c>
      <c r="AC111" s="67">
        <f t="shared" si="28"/>
        <v>0</v>
      </c>
      <c r="AD111" s="67">
        <f t="shared" si="29"/>
        <v>6.25E-2</v>
      </c>
      <c r="AE111" s="67">
        <f t="shared" si="30"/>
        <v>0.1875</v>
      </c>
      <c r="AF111" s="67">
        <f t="shared" si="31"/>
        <v>8.4024787312257112E-4</v>
      </c>
      <c r="AG111" s="67">
        <f>town_establishments[[#This Row],[share of state establishments]]/($AF$250-$AF$249)</f>
        <v>8.6914009451898521E-4</v>
      </c>
      <c r="AH111" s="67">
        <f>town_establishments[[#This Row],[share of state establishments (no residual)]]/(INDEX(regional_establishments[share of state establishments],MATCH(town_establishments[[#This Row],[Regional Planning Commission]],regional_establishments[Regional Planning Commission],0)))</f>
        <v>1.0966415352981493E-2</v>
      </c>
    </row>
    <row r="112" spans="1:34" x14ac:dyDescent="0.25">
      <c r="A112" t="s">
        <v>212</v>
      </c>
      <c r="B112" t="str">
        <f>INDEX([1]!town_population[Regional Planning Commission],MATCH(town_establishments[[#This Row],[Municipality]],[1]!town_population[Municipality],0))</f>
        <v>Northeastern Vermont Development Association</v>
      </c>
      <c r="D112">
        <v>2</v>
      </c>
      <c r="E112">
        <v>2</v>
      </c>
      <c r="I112">
        <v>2</v>
      </c>
      <c r="K112">
        <v>1</v>
      </c>
      <c r="L112">
        <v>1</v>
      </c>
      <c r="M112">
        <v>2</v>
      </c>
      <c r="O112">
        <v>4</v>
      </c>
      <c r="Q112">
        <f t="shared" si="16"/>
        <v>14</v>
      </c>
      <c r="R112" s="67">
        <f t="shared" si="17"/>
        <v>0</v>
      </c>
      <c r="S112" s="67">
        <f t="shared" si="18"/>
        <v>0.14285714285714285</v>
      </c>
      <c r="T112" s="67">
        <f t="shared" si="19"/>
        <v>0.14285714285714285</v>
      </c>
      <c r="U112" s="67">
        <f t="shared" si="20"/>
        <v>0</v>
      </c>
      <c r="V112" s="67">
        <f t="shared" si="21"/>
        <v>0</v>
      </c>
      <c r="W112" s="67">
        <f t="shared" si="22"/>
        <v>0</v>
      </c>
      <c r="X112" s="67">
        <f t="shared" si="23"/>
        <v>0.14285714285714285</v>
      </c>
      <c r="Y112" s="67">
        <f t="shared" si="24"/>
        <v>0</v>
      </c>
      <c r="Z112" s="67">
        <f t="shared" si="25"/>
        <v>7.1428571428571425E-2</v>
      </c>
      <c r="AA112" s="67">
        <f t="shared" si="26"/>
        <v>7.1428571428571425E-2</v>
      </c>
      <c r="AB112" s="67">
        <f t="shared" si="27"/>
        <v>0.14285714285714285</v>
      </c>
      <c r="AC112" s="67">
        <f t="shared" si="28"/>
        <v>0</v>
      </c>
      <c r="AD112" s="67">
        <f t="shared" si="29"/>
        <v>0.2857142857142857</v>
      </c>
      <c r="AE112" s="67">
        <f t="shared" si="30"/>
        <v>0</v>
      </c>
      <c r="AF112" s="67">
        <f t="shared" si="31"/>
        <v>7.3521688898224981E-4</v>
      </c>
      <c r="AG112" s="67">
        <f>town_establishments[[#This Row],[share of state establishments]]/($AF$250-$AF$249)</f>
        <v>7.6049758270411213E-4</v>
      </c>
      <c r="AH112" s="67">
        <f>town_establishments[[#This Row],[share of state establishments (no residual)]]/(INDEX(regional_establishments[share of state establishments],MATCH(town_establishments[[#This Row],[Regional Planning Commission]],regional_establishments[Regional Planning Commission],0)))</f>
        <v>9.5956134338588076E-3</v>
      </c>
    </row>
    <row r="113" spans="1:34" x14ac:dyDescent="0.25">
      <c r="A113" t="s">
        <v>213</v>
      </c>
      <c r="B113" t="str">
        <f>INDEX([1]!town_population[Regional Planning Commission],MATCH(town_establishments[[#This Row],[Municipality]],[1]!town_population[Municipality],0))</f>
        <v>Northeastern Vermont Development Association</v>
      </c>
      <c r="H113">
        <v>1</v>
      </c>
      <c r="K113">
        <v>2</v>
      </c>
      <c r="M113">
        <v>1</v>
      </c>
      <c r="Q113">
        <f t="shared" si="16"/>
        <v>4</v>
      </c>
      <c r="R113" s="67">
        <f t="shared" si="17"/>
        <v>0</v>
      </c>
      <c r="S113" s="67">
        <f t="shared" si="18"/>
        <v>0</v>
      </c>
      <c r="T113" s="67">
        <f t="shared" si="19"/>
        <v>0</v>
      </c>
      <c r="U113" s="67">
        <f t="shared" si="20"/>
        <v>0</v>
      </c>
      <c r="V113" s="67">
        <f t="shared" si="21"/>
        <v>0</v>
      </c>
      <c r="W113" s="67">
        <f t="shared" si="22"/>
        <v>0.25</v>
      </c>
      <c r="X113" s="67">
        <f t="shared" si="23"/>
        <v>0</v>
      </c>
      <c r="Y113" s="67">
        <f t="shared" si="24"/>
        <v>0</v>
      </c>
      <c r="Z113" s="67">
        <f t="shared" si="25"/>
        <v>0.5</v>
      </c>
      <c r="AA113" s="67">
        <f t="shared" si="26"/>
        <v>0</v>
      </c>
      <c r="AB113" s="67">
        <f t="shared" si="27"/>
        <v>0.25</v>
      </c>
      <c r="AC113" s="67">
        <f t="shared" si="28"/>
        <v>0</v>
      </c>
      <c r="AD113" s="67">
        <f t="shared" si="29"/>
        <v>0</v>
      </c>
      <c r="AE113" s="67">
        <f t="shared" si="30"/>
        <v>0</v>
      </c>
      <c r="AF113" s="67">
        <f t="shared" si="31"/>
        <v>2.1006196828064278E-4</v>
      </c>
      <c r="AG113" s="67">
        <f>town_establishments[[#This Row],[share of state establishments]]/($AF$250-$AF$249)</f>
        <v>2.172850236297463E-4</v>
      </c>
      <c r="AH113" s="67">
        <f>town_establishments[[#This Row],[share of state establishments (no residual)]]/(INDEX(regional_establishments[share of state establishments],MATCH(town_establishments[[#This Row],[Regional Planning Commission]],regional_establishments[Regional Planning Commission],0)))</f>
        <v>2.7416038382453733E-3</v>
      </c>
    </row>
    <row r="114" spans="1:34" x14ac:dyDescent="0.25">
      <c r="A114" t="s">
        <v>214</v>
      </c>
      <c r="B114" t="str">
        <f>INDEX([1]!town_population[Regional Planning Commission],MATCH(town_establishments[[#This Row],[Municipality]],[1]!town_population[Municipality],0))</f>
        <v>Northeastern Vermont Development Association</v>
      </c>
      <c r="E114">
        <v>1</v>
      </c>
      <c r="G114">
        <v>1</v>
      </c>
      <c r="I114">
        <v>1</v>
      </c>
      <c r="L114">
        <v>1</v>
      </c>
      <c r="N114">
        <v>1</v>
      </c>
      <c r="O114">
        <v>2</v>
      </c>
      <c r="Q114">
        <f t="shared" si="16"/>
        <v>7</v>
      </c>
      <c r="R114" s="67">
        <f t="shared" si="17"/>
        <v>0</v>
      </c>
      <c r="S114" s="67">
        <f t="shared" si="18"/>
        <v>0</v>
      </c>
      <c r="T114" s="67">
        <f t="shared" si="19"/>
        <v>0.14285714285714285</v>
      </c>
      <c r="U114" s="67">
        <f t="shared" si="20"/>
        <v>0</v>
      </c>
      <c r="V114" s="67">
        <f t="shared" si="21"/>
        <v>0.14285714285714285</v>
      </c>
      <c r="W114" s="67">
        <f t="shared" si="22"/>
        <v>0</v>
      </c>
      <c r="X114" s="67">
        <f t="shared" si="23"/>
        <v>0.14285714285714285</v>
      </c>
      <c r="Y114" s="67">
        <f t="shared" si="24"/>
        <v>0</v>
      </c>
      <c r="Z114" s="67">
        <f t="shared" si="25"/>
        <v>0</v>
      </c>
      <c r="AA114" s="67">
        <f t="shared" si="26"/>
        <v>0.14285714285714285</v>
      </c>
      <c r="AB114" s="67">
        <f t="shared" si="27"/>
        <v>0</v>
      </c>
      <c r="AC114" s="67">
        <f t="shared" si="28"/>
        <v>0.14285714285714285</v>
      </c>
      <c r="AD114" s="67">
        <f t="shared" si="29"/>
        <v>0.2857142857142857</v>
      </c>
      <c r="AE114" s="67">
        <f t="shared" si="30"/>
        <v>0</v>
      </c>
      <c r="AF114" s="67">
        <f t="shared" si="31"/>
        <v>3.676084444911249E-4</v>
      </c>
      <c r="AG114" s="67">
        <f>town_establishments[[#This Row],[share of state establishments]]/($AF$250-$AF$249)</f>
        <v>3.8024879135205606E-4</v>
      </c>
      <c r="AH114" s="67">
        <f>town_establishments[[#This Row],[share of state establishments (no residual)]]/(INDEX(regional_establishments[share of state establishments],MATCH(town_establishments[[#This Row],[Regional Planning Commission]],regional_establishments[Regional Planning Commission],0)))</f>
        <v>4.7978067169294038E-3</v>
      </c>
    </row>
    <row r="115" spans="1:34" x14ac:dyDescent="0.25">
      <c r="A115" t="s">
        <v>215</v>
      </c>
      <c r="B115" t="str">
        <f>INDEX([1]!town_population[Regional Planning Commission],MATCH(town_establishments[[#This Row],[Municipality]],[1]!town_population[Municipality],0))</f>
        <v>Northeastern Vermont Development Association</v>
      </c>
      <c r="C115">
        <v>1</v>
      </c>
      <c r="D115">
        <v>3</v>
      </c>
      <c r="E115">
        <v>1</v>
      </c>
      <c r="I115">
        <v>1</v>
      </c>
      <c r="J115">
        <v>1</v>
      </c>
      <c r="K115">
        <v>3</v>
      </c>
      <c r="L115">
        <v>1</v>
      </c>
      <c r="M115">
        <v>2</v>
      </c>
      <c r="P115">
        <v>2</v>
      </c>
      <c r="Q115">
        <f t="shared" si="16"/>
        <v>15</v>
      </c>
      <c r="R115" s="67">
        <f t="shared" si="17"/>
        <v>6.6666666666666666E-2</v>
      </c>
      <c r="S115" s="67">
        <f t="shared" si="18"/>
        <v>0.2</v>
      </c>
      <c r="T115" s="67">
        <f t="shared" si="19"/>
        <v>6.6666666666666666E-2</v>
      </c>
      <c r="U115" s="67">
        <f t="shared" si="20"/>
        <v>0</v>
      </c>
      <c r="V115" s="67">
        <f t="shared" si="21"/>
        <v>0</v>
      </c>
      <c r="W115" s="67">
        <f t="shared" si="22"/>
        <v>0</v>
      </c>
      <c r="X115" s="67">
        <f t="shared" si="23"/>
        <v>6.6666666666666666E-2</v>
      </c>
      <c r="Y115" s="67">
        <f t="shared" si="24"/>
        <v>6.6666666666666666E-2</v>
      </c>
      <c r="Z115" s="67">
        <f t="shared" si="25"/>
        <v>0.2</v>
      </c>
      <c r="AA115" s="67">
        <f t="shared" si="26"/>
        <v>6.6666666666666666E-2</v>
      </c>
      <c r="AB115" s="67">
        <f t="shared" si="27"/>
        <v>0.13333333333333333</v>
      </c>
      <c r="AC115" s="67">
        <f t="shared" si="28"/>
        <v>0</v>
      </c>
      <c r="AD115" s="67">
        <f t="shared" si="29"/>
        <v>0</v>
      </c>
      <c r="AE115" s="67">
        <f t="shared" si="30"/>
        <v>0.13333333333333333</v>
      </c>
      <c r="AF115" s="67">
        <f t="shared" si="31"/>
        <v>7.8773238105241041E-4</v>
      </c>
      <c r="AG115" s="67">
        <f>town_establishments[[#This Row],[share of state establishments]]/($AF$250-$AF$249)</f>
        <v>8.1481883861154862E-4</v>
      </c>
      <c r="AH115" s="67">
        <f>town_establishments[[#This Row],[share of state establishments (no residual)]]/(INDEX(regional_establishments[share of state establishments],MATCH(town_establishments[[#This Row],[Regional Planning Commission]],regional_establishments[Regional Planning Commission],0)))</f>
        <v>1.0281014393420149E-2</v>
      </c>
    </row>
    <row r="116" spans="1:34" x14ac:dyDescent="0.25">
      <c r="A116" t="s">
        <v>216</v>
      </c>
      <c r="B116" t="str">
        <f>INDEX([1]!town_population[Regional Planning Commission],MATCH(town_establishments[[#This Row],[Municipality]],[1]!town_population[Municipality],0))</f>
        <v>Northeastern Vermont Development Association</v>
      </c>
      <c r="C116">
        <v>8</v>
      </c>
      <c r="D116">
        <v>31</v>
      </c>
      <c r="E116">
        <v>3</v>
      </c>
      <c r="F116">
        <v>2</v>
      </c>
      <c r="G116">
        <v>8</v>
      </c>
      <c r="H116">
        <v>6</v>
      </c>
      <c r="I116">
        <v>11</v>
      </c>
      <c r="J116">
        <v>1</v>
      </c>
      <c r="K116">
        <v>10</v>
      </c>
      <c r="L116">
        <v>6</v>
      </c>
      <c r="M116">
        <v>18</v>
      </c>
      <c r="N116">
        <v>2</v>
      </c>
      <c r="O116">
        <v>23</v>
      </c>
      <c r="P116">
        <v>15</v>
      </c>
      <c r="Q116">
        <f t="shared" si="16"/>
        <v>144</v>
      </c>
      <c r="R116" s="67">
        <f t="shared" si="17"/>
        <v>5.5555555555555552E-2</v>
      </c>
      <c r="S116" s="67">
        <f t="shared" si="18"/>
        <v>0.21527777777777779</v>
      </c>
      <c r="T116" s="67">
        <f t="shared" si="19"/>
        <v>2.0833333333333332E-2</v>
      </c>
      <c r="U116" s="67">
        <f t="shared" si="20"/>
        <v>1.3888888888888888E-2</v>
      </c>
      <c r="V116" s="67">
        <f t="shared" si="21"/>
        <v>5.5555555555555552E-2</v>
      </c>
      <c r="W116" s="67">
        <f t="shared" si="22"/>
        <v>4.1666666666666664E-2</v>
      </c>
      <c r="X116" s="67">
        <f t="shared" si="23"/>
        <v>7.6388888888888895E-2</v>
      </c>
      <c r="Y116" s="67">
        <f t="shared" si="24"/>
        <v>6.9444444444444441E-3</v>
      </c>
      <c r="Z116" s="67">
        <f t="shared" si="25"/>
        <v>6.9444444444444448E-2</v>
      </c>
      <c r="AA116" s="67">
        <f t="shared" si="26"/>
        <v>4.1666666666666664E-2</v>
      </c>
      <c r="AB116" s="67">
        <f t="shared" si="27"/>
        <v>0.125</v>
      </c>
      <c r="AC116" s="67">
        <f t="shared" si="28"/>
        <v>1.3888888888888888E-2</v>
      </c>
      <c r="AD116" s="67">
        <f t="shared" si="29"/>
        <v>0.15972222222222221</v>
      </c>
      <c r="AE116" s="67">
        <f t="shared" si="30"/>
        <v>0.10416666666666667</v>
      </c>
      <c r="AF116" s="67">
        <f t="shared" si="31"/>
        <v>7.5622308581031403E-3</v>
      </c>
      <c r="AG116" s="67">
        <f>town_establishments[[#This Row],[share of state establishments]]/($AF$250-$AF$249)</f>
        <v>7.8222608506708681E-3</v>
      </c>
      <c r="AH116" s="67">
        <f>town_establishments[[#This Row],[share of state establishments (no residual)]]/(INDEX(regional_establishments[share of state establishments],MATCH(town_establishments[[#This Row],[Regional Planning Commission]],regional_establishments[Regional Planning Commission],0)))</f>
        <v>9.8697738176833458E-2</v>
      </c>
    </row>
    <row r="117" spans="1:34" x14ac:dyDescent="0.25">
      <c r="A117" t="s">
        <v>217</v>
      </c>
      <c r="B117" t="str">
        <f>INDEX([1]!town_population[Regional Planning Commission],MATCH(town_establishments[[#This Row],[Municipality]],[1]!town_population[Municipality],0))</f>
        <v>Northeastern Vermont Development Association</v>
      </c>
      <c r="E117">
        <v>1</v>
      </c>
      <c r="L117">
        <v>1</v>
      </c>
      <c r="M117">
        <v>1</v>
      </c>
      <c r="P117">
        <v>1</v>
      </c>
      <c r="Q117">
        <f t="shared" si="16"/>
        <v>4</v>
      </c>
      <c r="R117" s="67">
        <f t="shared" si="17"/>
        <v>0</v>
      </c>
      <c r="S117" s="67">
        <f t="shared" si="18"/>
        <v>0</v>
      </c>
      <c r="T117" s="67">
        <f t="shared" si="19"/>
        <v>0.25</v>
      </c>
      <c r="U117" s="67">
        <f t="shared" si="20"/>
        <v>0</v>
      </c>
      <c r="V117" s="67">
        <f t="shared" si="21"/>
        <v>0</v>
      </c>
      <c r="W117" s="67">
        <f t="shared" si="22"/>
        <v>0</v>
      </c>
      <c r="X117" s="67">
        <f t="shared" si="23"/>
        <v>0</v>
      </c>
      <c r="Y117" s="67">
        <f t="shared" si="24"/>
        <v>0</v>
      </c>
      <c r="Z117" s="67">
        <f t="shared" si="25"/>
        <v>0</v>
      </c>
      <c r="AA117" s="67">
        <f t="shared" si="26"/>
        <v>0.25</v>
      </c>
      <c r="AB117" s="67">
        <f t="shared" si="27"/>
        <v>0.25</v>
      </c>
      <c r="AC117" s="67">
        <f t="shared" si="28"/>
        <v>0</v>
      </c>
      <c r="AD117" s="67">
        <f t="shared" si="29"/>
        <v>0</v>
      </c>
      <c r="AE117" s="67">
        <f t="shared" si="30"/>
        <v>0.25</v>
      </c>
      <c r="AF117" s="67">
        <f t="shared" si="31"/>
        <v>2.1006196828064278E-4</v>
      </c>
      <c r="AG117" s="67">
        <f>town_establishments[[#This Row],[share of state establishments]]/($AF$250-$AF$249)</f>
        <v>2.172850236297463E-4</v>
      </c>
      <c r="AH117" s="67">
        <f>town_establishments[[#This Row],[share of state establishments (no residual)]]/(INDEX(regional_establishments[share of state establishments],MATCH(town_establishments[[#This Row],[Regional Planning Commission]],regional_establishments[Regional Planning Commission],0)))</f>
        <v>2.7416038382453733E-3</v>
      </c>
    </row>
    <row r="118" spans="1:34" x14ac:dyDescent="0.25">
      <c r="A118" t="s">
        <v>218</v>
      </c>
      <c r="B118" t="str">
        <f>INDEX([1]!town_population[Regional Planning Commission],MATCH(town_establishments[[#This Row],[Municipality]],[1]!town_population[Municipality],0))</f>
        <v>Northeastern Vermont Development Association</v>
      </c>
      <c r="D118">
        <v>1</v>
      </c>
      <c r="E118">
        <v>1</v>
      </c>
      <c r="G118">
        <v>1</v>
      </c>
      <c r="H118">
        <v>1</v>
      </c>
      <c r="I118">
        <v>1</v>
      </c>
      <c r="K118">
        <v>2</v>
      </c>
      <c r="P118">
        <v>1</v>
      </c>
      <c r="Q118">
        <f t="shared" si="16"/>
        <v>8</v>
      </c>
      <c r="R118" s="67">
        <f t="shared" si="17"/>
        <v>0</v>
      </c>
      <c r="S118" s="67">
        <f t="shared" si="18"/>
        <v>0.125</v>
      </c>
      <c r="T118" s="67">
        <f t="shared" si="19"/>
        <v>0.125</v>
      </c>
      <c r="U118" s="67">
        <f t="shared" si="20"/>
        <v>0</v>
      </c>
      <c r="V118" s="67">
        <f t="shared" si="21"/>
        <v>0.125</v>
      </c>
      <c r="W118" s="67">
        <f t="shared" si="22"/>
        <v>0.125</v>
      </c>
      <c r="X118" s="67">
        <f t="shared" si="23"/>
        <v>0.125</v>
      </c>
      <c r="Y118" s="67">
        <f t="shared" si="24"/>
        <v>0</v>
      </c>
      <c r="Z118" s="67">
        <f t="shared" si="25"/>
        <v>0.25</v>
      </c>
      <c r="AA118" s="67">
        <f t="shared" si="26"/>
        <v>0</v>
      </c>
      <c r="AB118" s="67">
        <f t="shared" si="27"/>
        <v>0</v>
      </c>
      <c r="AC118" s="67">
        <f t="shared" si="28"/>
        <v>0</v>
      </c>
      <c r="AD118" s="67">
        <f t="shared" si="29"/>
        <v>0</v>
      </c>
      <c r="AE118" s="67">
        <f t="shared" si="30"/>
        <v>0.125</v>
      </c>
      <c r="AF118" s="67">
        <f t="shared" si="31"/>
        <v>4.2012393656128556E-4</v>
      </c>
      <c r="AG118" s="67">
        <f>town_establishments[[#This Row],[share of state establishments]]/($AF$250-$AF$249)</f>
        <v>4.3457004725949261E-4</v>
      </c>
      <c r="AH118" s="67">
        <f>town_establishments[[#This Row],[share of state establishments (no residual)]]/(INDEX(regional_establishments[share of state establishments],MATCH(town_establishments[[#This Row],[Regional Planning Commission]],regional_establishments[Regional Planning Commission],0)))</f>
        <v>5.4832076764907466E-3</v>
      </c>
    </row>
    <row r="119" spans="1:34" x14ac:dyDescent="0.25">
      <c r="A119" t="s">
        <v>219</v>
      </c>
      <c r="B119" t="str">
        <f>INDEX([1]!town_population[Regional Planning Commission],MATCH(town_establishments[[#This Row],[Municipality]],[1]!town_population[Municipality],0))</f>
        <v>Northeastern Vermont Development Association</v>
      </c>
      <c r="I119">
        <v>1</v>
      </c>
      <c r="L119">
        <v>1</v>
      </c>
      <c r="M119">
        <v>1</v>
      </c>
      <c r="Q119">
        <f t="shared" si="16"/>
        <v>3</v>
      </c>
      <c r="R119" s="67">
        <f t="shared" si="17"/>
        <v>0</v>
      </c>
      <c r="S119" s="67">
        <f t="shared" si="18"/>
        <v>0</v>
      </c>
      <c r="T119" s="67">
        <f t="shared" si="19"/>
        <v>0</v>
      </c>
      <c r="U119" s="67">
        <f t="shared" si="20"/>
        <v>0</v>
      </c>
      <c r="V119" s="67">
        <f t="shared" si="21"/>
        <v>0</v>
      </c>
      <c r="W119" s="67">
        <f t="shared" si="22"/>
        <v>0</v>
      </c>
      <c r="X119" s="67">
        <f t="shared" si="23"/>
        <v>0.33333333333333331</v>
      </c>
      <c r="Y119" s="67">
        <f t="shared" si="24"/>
        <v>0</v>
      </c>
      <c r="Z119" s="67">
        <f t="shared" si="25"/>
        <v>0</v>
      </c>
      <c r="AA119" s="67">
        <f t="shared" si="26"/>
        <v>0.33333333333333331</v>
      </c>
      <c r="AB119" s="67">
        <f t="shared" si="27"/>
        <v>0.33333333333333331</v>
      </c>
      <c r="AC119" s="67">
        <f t="shared" si="28"/>
        <v>0</v>
      </c>
      <c r="AD119" s="67">
        <f t="shared" si="29"/>
        <v>0</v>
      </c>
      <c r="AE119" s="67">
        <f t="shared" si="30"/>
        <v>0</v>
      </c>
      <c r="AF119" s="67">
        <f t="shared" si="31"/>
        <v>1.575464762104821E-4</v>
      </c>
      <c r="AG119" s="67">
        <f>town_establishments[[#This Row],[share of state establishments]]/($AF$250-$AF$249)</f>
        <v>1.6296376772230973E-4</v>
      </c>
      <c r="AH119" s="67">
        <f>town_establishments[[#This Row],[share of state establishments (no residual)]]/(INDEX(regional_establishments[share of state establishments],MATCH(town_establishments[[#This Row],[Regional Planning Commission]],regional_establishments[Regional Planning Commission],0)))</f>
        <v>2.0562028786840301E-3</v>
      </c>
    </row>
    <row r="120" spans="1:34" x14ac:dyDescent="0.25">
      <c r="A120" t="s">
        <v>220</v>
      </c>
      <c r="B120" t="str">
        <f>INDEX([1]!town_population[Regional Planning Commission],MATCH(town_establishments[[#This Row],[Municipality]],[1]!town_population[Municipality],0))</f>
        <v>Northeastern Vermont Development Association</v>
      </c>
      <c r="C120">
        <v>7</v>
      </c>
      <c r="D120">
        <v>45</v>
      </c>
      <c r="E120">
        <v>5</v>
      </c>
      <c r="F120">
        <v>6</v>
      </c>
      <c r="G120">
        <v>16</v>
      </c>
      <c r="H120">
        <v>5</v>
      </c>
      <c r="I120">
        <v>21</v>
      </c>
      <c r="J120">
        <v>1</v>
      </c>
      <c r="K120">
        <v>7</v>
      </c>
      <c r="L120">
        <v>5</v>
      </c>
      <c r="M120">
        <v>36</v>
      </c>
      <c r="N120">
        <v>5</v>
      </c>
      <c r="O120">
        <v>20</v>
      </c>
      <c r="P120">
        <v>30</v>
      </c>
      <c r="Q120">
        <f t="shared" si="16"/>
        <v>209</v>
      </c>
      <c r="R120" s="67">
        <f t="shared" si="17"/>
        <v>3.3492822966507178E-2</v>
      </c>
      <c r="S120" s="67">
        <f t="shared" si="18"/>
        <v>0.21531100478468901</v>
      </c>
      <c r="T120" s="67">
        <f t="shared" si="19"/>
        <v>2.3923444976076555E-2</v>
      </c>
      <c r="U120" s="67">
        <f t="shared" si="20"/>
        <v>2.8708133971291867E-2</v>
      </c>
      <c r="V120" s="67">
        <f t="shared" si="21"/>
        <v>7.6555023923444973E-2</v>
      </c>
      <c r="W120" s="67">
        <f t="shared" si="22"/>
        <v>2.3923444976076555E-2</v>
      </c>
      <c r="X120" s="67">
        <f t="shared" si="23"/>
        <v>0.10047846889952153</v>
      </c>
      <c r="Y120" s="67">
        <f t="shared" si="24"/>
        <v>4.7846889952153108E-3</v>
      </c>
      <c r="Z120" s="67">
        <f t="shared" si="25"/>
        <v>3.3492822966507178E-2</v>
      </c>
      <c r="AA120" s="67">
        <f t="shared" si="26"/>
        <v>2.3923444976076555E-2</v>
      </c>
      <c r="AB120" s="67">
        <f t="shared" si="27"/>
        <v>0.17224880382775121</v>
      </c>
      <c r="AC120" s="67">
        <f t="shared" si="28"/>
        <v>2.3923444976076555E-2</v>
      </c>
      <c r="AD120" s="67">
        <f t="shared" si="29"/>
        <v>9.569377990430622E-2</v>
      </c>
      <c r="AE120" s="67">
        <f t="shared" si="30"/>
        <v>0.14354066985645933</v>
      </c>
      <c r="AF120" s="67">
        <f t="shared" si="31"/>
        <v>1.0975737842663586E-2</v>
      </c>
      <c r="AG120" s="67">
        <f>town_establishments[[#This Row],[share of state establishments]]/($AF$250-$AF$249)</f>
        <v>1.1353142484654246E-2</v>
      </c>
      <c r="AH120" s="67">
        <f>town_establishments[[#This Row],[share of state establishments (no residual)]]/(INDEX(regional_establishments[share of state establishments],MATCH(town_establishments[[#This Row],[Regional Planning Commission]],regional_establishments[Regional Planning Commission],0)))</f>
        <v>0.14324880054832076</v>
      </c>
    </row>
    <row r="121" spans="1:34" x14ac:dyDescent="0.25">
      <c r="A121" t="s">
        <v>221</v>
      </c>
      <c r="B121" t="str">
        <f>INDEX([1]!town_population[Regional Planning Commission],MATCH(town_establishments[[#This Row],[Municipality]],[1]!town_population[Municipality],0))</f>
        <v>Northeastern Vermont Development Association</v>
      </c>
      <c r="C121">
        <v>3</v>
      </c>
      <c r="D121">
        <v>10</v>
      </c>
      <c r="E121">
        <v>1</v>
      </c>
      <c r="G121">
        <v>1</v>
      </c>
      <c r="H121">
        <v>1</v>
      </c>
      <c r="I121">
        <v>5</v>
      </c>
      <c r="K121">
        <v>5</v>
      </c>
      <c r="L121">
        <v>1</v>
      </c>
      <c r="M121">
        <v>3</v>
      </c>
      <c r="O121">
        <v>1</v>
      </c>
      <c r="P121">
        <v>5</v>
      </c>
      <c r="Q121">
        <f t="shared" si="16"/>
        <v>36</v>
      </c>
      <c r="R121" s="67">
        <f t="shared" si="17"/>
        <v>8.3333333333333329E-2</v>
      </c>
      <c r="S121" s="67">
        <f t="shared" si="18"/>
        <v>0.27777777777777779</v>
      </c>
      <c r="T121" s="67">
        <f t="shared" si="19"/>
        <v>2.7777777777777776E-2</v>
      </c>
      <c r="U121" s="67">
        <f t="shared" si="20"/>
        <v>0</v>
      </c>
      <c r="V121" s="67">
        <f t="shared" si="21"/>
        <v>2.7777777777777776E-2</v>
      </c>
      <c r="W121" s="67">
        <f t="shared" si="22"/>
        <v>2.7777777777777776E-2</v>
      </c>
      <c r="X121" s="67">
        <f t="shared" si="23"/>
        <v>0.1388888888888889</v>
      </c>
      <c r="Y121" s="67">
        <f t="shared" si="24"/>
        <v>0</v>
      </c>
      <c r="Z121" s="67">
        <f t="shared" si="25"/>
        <v>0.1388888888888889</v>
      </c>
      <c r="AA121" s="67">
        <f t="shared" si="26"/>
        <v>2.7777777777777776E-2</v>
      </c>
      <c r="AB121" s="67">
        <f t="shared" si="27"/>
        <v>8.3333333333333329E-2</v>
      </c>
      <c r="AC121" s="67">
        <f t="shared" si="28"/>
        <v>0</v>
      </c>
      <c r="AD121" s="67">
        <f t="shared" si="29"/>
        <v>2.7777777777777776E-2</v>
      </c>
      <c r="AE121" s="67">
        <f t="shared" si="30"/>
        <v>0.1388888888888889</v>
      </c>
      <c r="AF121" s="67">
        <f t="shared" si="31"/>
        <v>1.8905577145257851E-3</v>
      </c>
      <c r="AG121" s="67">
        <f>town_establishments[[#This Row],[share of state establishments]]/($AF$250-$AF$249)</f>
        <v>1.955565212667717E-3</v>
      </c>
      <c r="AH121" s="67">
        <f>town_establishments[[#This Row],[share of state establishments (no residual)]]/(INDEX(regional_establishments[share of state establishments],MATCH(town_establishments[[#This Row],[Regional Planning Commission]],regional_establishments[Regional Planning Commission],0)))</f>
        <v>2.4674434544208364E-2</v>
      </c>
    </row>
    <row r="122" spans="1:34" x14ac:dyDescent="0.25">
      <c r="A122" t="s">
        <v>222</v>
      </c>
      <c r="B122" t="str">
        <f>INDEX([1]!town_population[Regional Planning Commission],MATCH(town_establishments[[#This Row],[Municipality]],[1]!town_population[Municipality],0))</f>
        <v>Northeastern Vermont Development Association</v>
      </c>
      <c r="D122">
        <v>3</v>
      </c>
      <c r="E122">
        <v>1</v>
      </c>
      <c r="K122">
        <v>1</v>
      </c>
      <c r="O122">
        <v>1</v>
      </c>
      <c r="P122">
        <v>1</v>
      </c>
      <c r="Q122">
        <f t="shared" si="16"/>
        <v>7</v>
      </c>
      <c r="R122" s="67">
        <f t="shared" si="17"/>
        <v>0</v>
      </c>
      <c r="S122" s="67">
        <f t="shared" si="18"/>
        <v>0.42857142857142855</v>
      </c>
      <c r="T122" s="67">
        <f t="shared" si="19"/>
        <v>0.14285714285714285</v>
      </c>
      <c r="U122" s="67">
        <f t="shared" si="20"/>
        <v>0</v>
      </c>
      <c r="V122" s="67">
        <f t="shared" si="21"/>
        <v>0</v>
      </c>
      <c r="W122" s="67">
        <f t="shared" si="22"/>
        <v>0</v>
      </c>
      <c r="X122" s="67">
        <f t="shared" si="23"/>
        <v>0</v>
      </c>
      <c r="Y122" s="67">
        <f t="shared" si="24"/>
        <v>0</v>
      </c>
      <c r="Z122" s="67">
        <f t="shared" si="25"/>
        <v>0.14285714285714285</v>
      </c>
      <c r="AA122" s="67">
        <f t="shared" si="26"/>
        <v>0</v>
      </c>
      <c r="AB122" s="67">
        <f t="shared" si="27"/>
        <v>0</v>
      </c>
      <c r="AC122" s="67">
        <f t="shared" si="28"/>
        <v>0</v>
      </c>
      <c r="AD122" s="67">
        <f t="shared" si="29"/>
        <v>0.14285714285714285</v>
      </c>
      <c r="AE122" s="67">
        <f t="shared" si="30"/>
        <v>0.14285714285714285</v>
      </c>
      <c r="AF122" s="67">
        <f t="shared" si="31"/>
        <v>3.676084444911249E-4</v>
      </c>
      <c r="AG122" s="67">
        <f>town_establishments[[#This Row],[share of state establishments]]/($AF$250-$AF$249)</f>
        <v>3.8024879135205606E-4</v>
      </c>
      <c r="AH122" s="67">
        <f>town_establishments[[#This Row],[share of state establishments (no residual)]]/(INDEX(regional_establishments[share of state establishments],MATCH(town_establishments[[#This Row],[Regional Planning Commission]],regional_establishments[Regional Planning Commission],0)))</f>
        <v>4.7978067169294038E-3</v>
      </c>
    </row>
    <row r="123" spans="1:34" x14ac:dyDescent="0.25">
      <c r="A123" t="s">
        <v>223</v>
      </c>
      <c r="B123" t="str">
        <f>INDEX([1]!town_population[Regional Planning Commission],MATCH(town_establishments[[#This Row],[Municipality]],[1]!town_population[Municipality],0))</f>
        <v>Northeastern Vermont Development Association</v>
      </c>
      <c r="E123">
        <v>1</v>
      </c>
      <c r="G123">
        <v>1</v>
      </c>
      <c r="I123">
        <v>1</v>
      </c>
      <c r="J123">
        <v>1</v>
      </c>
      <c r="K123">
        <v>1</v>
      </c>
      <c r="L123">
        <v>1</v>
      </c>
      <c r="Q123">
        <f t="shared" si="16"/>
        <v>6</v>
      </c>
      <c r="R123" s="67">
        <f t="shared" si="17"/>
        <v>0</v>
      </c>
      <c r="S123" s="67">
        <f t="shared" si="18"/>
        <v>0</v>
      </c>
      <c r="T123" s="67">
        <f t="shared" si="19"/>
        <v>0.16666666666666666</v>
      </c>
      <c r="U123" s="67">
        <f t="shared" si="20"/>
        <v>0</v>
      </c>
      <c r="V123" s="67">
        <f t="shared" si="21"/>
        <v>0.16666666666666666</v>
      </c>
      <c r="W123" s="67">
        <f t="shared" si="22"/>
        <v>0</v>
      </c>
      <c r="X123" s="67">
        <f t="shared" si="23"/>
        <v>0.16666666666666666</v>
      </c>
      <c r="Y123" s="67">
        <f t="shared" si="24"/>
        <v>0.16666666666666666</v>
      </c>
      <c r="Z123" s="67">
        <f t="shared" si="25"/>
        <v>0.16666666666666666</v>
      </c>
      <c r="AA123" s="67">
        <f t="shared" si="26"/>
        <v>0.16666666666666666</v>
      </c>
      <c r="AB123" s="67">
        <f t="shared" si="27"/>
        <v>0</v>
      </c>
      <c r="AC123" s="67">
        <f t="shared" si="28"/>
        <v>0</v>
      </c>
      <c r="AD123" s="67">
        <f t="shared" si="29"/>
        <v>0</v>
      </c>
      <c r="AE123" s="67">
        <f t="shared" si="30"/>
        <v>0</v>
      </c>
      <c r="AF123" s="67">
        <f t="shared" si="31"/>
        <v>3.150929524209642E-4</v>
      </c>
      <c r="AG123" s="67">
        <f>town_establishments[[#This Row],[share of state establishments]]/($AF$250-$AF$249)</f>
        <v>3.2592753544461947E-4</v>
      </c>
      <c r="AH123" s="67">
        <f>town_establishments[[#This Row],[share of state establishments (no residual)]]/(INDEX(regional_establishments[share of state establishments],MATCH(town_establishments[[#This Row],[Regional Planning Commission]],regional_establishments[Regional Planning Commission],0)))</f>
        <v>4.1124057573680602E-3</v>
      </c>
    </row>
    <row r="124" spans="1:34" x14ac:dyDescent="0.25">
      <c r="A124" t="s">
        <v>224</v>
      </c>
      <c r="B124" t="str">
        <f>INDEX([1]!town_population[Regional Planning Commission],MATCH(town_establishments[[#This Row],[Municipality]],[1]!town_population[Municipality],0))</f>
        <v>Northeastern Vermont Development Association</v>
      </c>
      <c r="C124">
        <v>1</v>
      </c>
      <c r="D124">
        <v>1</v>
      </c>
      <c r="E124">
        <v>2</v>
      </c>
      <c r="I124">
        <v>3</v>
      </c>
      <c r="K124">
        <v>1</v>
      </c>
      <c r="M124">
        <v>1</v>
      </c>
      <c r="P124">
        <v>3</v>
      </c>
      <c r="Q124">
        <f t="shared" si="16"/>
        <v>12</v>
      </c>
      <c r="R124" s="67">
        <f t="shared" si="17"/>
        <v>8.3333333333333329E-2</v>
      </c>
      <c r="S124" s="67">
        <f t="shared" si="18"/>
        <v>8.3333333333333329E-2</v>
      </c>
      <c r="T124" s="67">
        <f t="shared" si="19"/>
        <v>0.16666666666666666</v>
      </c>
      <c r="U124" s="67">
        <f t="shared" si="20"/>
        <v>0</v>
      </c>
      <c r="V124" s="67">
        <f t="shared" si="21"/>
        <v>0</v>
      </c>
      <c r="W124" s="67">
        <f t="shared" si="22"/>
        <v>0</v>
      </c>
      <c r="X124" s="67">
        <f t="shared" si="23"/>
        <v>0.25</v>
      </c>
      <c r="Y124" s="67">
        <f t="shared" si="24"/>
        <v>0</v>
      </c>
      <c r="Z124" s="67">
        <f t="shared" si="25"/>
        <v>8.3333333333333329E-2</v>
      </c>
      <c r="AA124" s="67">
        <f t="shared" si="26"/>
        <v>0</v>
      </c>
      <c r="AB124" s="67">
        <f t="shared" si="27"/>
        <v>8.3333333333333329E-2</v>
      </c>
      <c r="AC124" s="67">
        <f t="shared" si="28"/>
        <v>0</v>
      </c>
      <c r="AD124" s="67">
        <f t="shared" si="29"/>
        <v>0</v>
      </c>
      <c r="AE124" s="67">
        <f t="shared" si="30"/>
        <v>0.25</v>
      </c>
      <c r="AF124" s="67">
        <f t="shared" si="31"/>
        <v>6.3018590484192839E-4</v>
      </c>
      <c r="AG124" s="67">
        <f>town_establishments[[#This Row],[share of state establishments]]/($AF$250-$AF$249)</f>
        <v>6.5185507088923894E-4</v>
      </c>
      <c r="AH124" s="67">
        <f>town_establishments[[#This Row],[share of state establishments (no residual)]]/(INDEX(regional_establishments[share of state establishments],MATCH(town_establishments[[#This Row],[Regional Planning Commission]],regional_establishments[Regional Planning Commission],0)))</f>
        <v>8.2248115147361203E-3</v>
      </c>
    </row>
    <row r="125" spans="1:34" x14ac:dyDescent="0.25">
      <c r="A125" t="s">
        <v>225</v>
      </c>
      <c r="B125" t="str">
        <f>INDEX([1]!town_population[Regional Planning Commission],MATCH(town_establishments[[#This Row],[Municipality]],[1]!town_population[Municipality],0))</f>
        <v>Northeastern Vermont Development Association</v>
      </c>
      <c r="C125">
        <v>17</v>
      </c>
      <c r="D125">
        <v>70</v>
      </c>
      <c r="E125">
        <v>12</v>
      </c>
      <c r="F125">
        <v>10</v>
      </c>
      <c r="G125">
        <v>21</v>
      </c>
      <c r="H125">
        <v>7</v>
      </c>
      <c r="I125">
        <v>36</v>
      </c>
      <c r="K125">
        <v>18</v>
      </c>
      <c r="L125">
        <v>9</v>
      </c>
      <c r="M125">
        <v>36</v>
      </c>
      <c r="N125">
        <v>7</v>
      </c>
      <c r="O125">
        <v>27</v>
      </c>
      <c r="P125">
        <v>28</v>
      </c>
      <c r="Q125">
        <f t="shared" si="16"/>
        <v>298</v>
      </c>
      <c r="R125" s="67">
        <f t="shared" si="17"/>
        <v>5.7046979865771813E-2</v>
      </c>
      <c r="S125" s="67">
        <f t="shared" si="18"/>
        <v>0.2348993288590604</v>
      </c>
      <c r="T125" s="67">
        <f t="shared" si="19"/>
        <v>4.0268456375838924E-2</v>
      </c>
      <c r="U125" s="67">
        <f t="shared" si="20"/>
        <v>3.3557046979865772E-2</v>
      </c>
      <c r="V125" s="67">
        <f t="shared" si="21"/>
        <v>7.0469798657718116E-2</v>
      </c>
      <c r="W125" s="67">
        <f t="shared" si="22"/>
        <v>2.3489932885906041E-2</v>
      </c>
      <c r="X125" s="67">
        <f t="shared" si="23"/>
        <v>0.12080536912751678</v>
      </c>
      <c r="Y125" s="67">
        <f t="shared" si="24"/>
        <v>0</v>
      </c>
      <c r="Z125" s="67">
        <f t="shared" si="25"/>
        <v>6.0402684563758392E-2</v>
      </c>
      <c r="AA125" s="67">
        <f t="shared" si="26"/>
        <v>3.0201342281879196E-2</v>
      </c>
      <c r="AB125" s="67">
        <f t="shared" si="27"/>
        <v>0.12080536912751678</v>
      </c>
      <c r="AC125" s="67">
        <f t="shared" si="28"/>
        <v>2.3489932885906041E-2</v>
      </c>
      <c r="AD125" s="67">
        <f t="shared" si="29"/>
        <v>9.0604026845637578E-2</v>
      </c>
      <c r="AE125" s="67">
        <f t="shared" si="30"/>
        <v>9.3959731543624164E-2</v>
      </c>
      <c r="AF125" s="67">
        <f t="shared" si="31"/>
        <v>1.5649616636907889E-2</v>
      </c>
      <c r="AG125" s="67">
        <f>town_establishments[[#This Row],[share of state establishments]]/($AF$250-$AF$249)</f>
        <v>1.6187734260416101E-2</v>
      </c>
      <c r="AH125" s="67">
        <f>town_establishments[[#This Row],[share of state establishments (no residual)]]/(INDEX(regional_establishments[share of state establishments],MATCH(town_establishments[[#This Row],[Regional Planning Commission]],regional_establishments[Regional Planning Commission],0)))</f>
        <v>0.20424948594928033</v>
      </c>
    </row>
    <row r="126" spans="1:34" x14ac:dyDescent="0.25">
      <c r="A126" t="s">
        <v>226</v>
      </c>
      <c r="B126" t="str">
        <f>INDEX([1]!town_population[Regional Planning Commission],MATCH(town_establishments[[#This Row],[Municipality]],[1]!town_population[Municipality],0))</f>
        <v>Northeastern Vermont Development Association</v>
      </c>
      <c r="E126">
        <v>1</v>
      </c>
      <c r="I126">
        <v>1</v>
      </c>
      <c r="L126">
        <v>0</v>
      </c>
      <c r="Q126">
        <f t="shared" si="16"/>
        <v>2</v>
      </c>
      <c r="R126" s="67">
        <f t="shared" si="17"/>
        <v>0</v>
      </c>
      <c r="S126" s="67">
        <f t="shared" si="18"/>
        <v>0</v>
      </c>
      <c r="T126" s="67">
        <f t="shared" si="19"/>
        <v>0.5</v>
      </c>
      <c r="U126" s="67">
        <f t="shared" si="20"/>
        <v>0</v>
      </c>
      <c r="V126" s="67">
        <f t="shared" si="21"/>
        <v>0</v>
      </c>
      <c r="W126" s="67">
        <f t="shared" si="22"/>
        <v>0</v>
      </c>
      <c r="X126" s="67">
        <f t="shared" si="23"/>
        <v>0.5</v>
      </c>
      <c r="Y126" s="67">
        <f t="shared" si="24"/>
        <v>0</v>
      </c>
      <c r="Z126" s="67">
        <f t="shared" si="25"/>
        <v>0</v>
      </c>
      <c r="AA126" s="67">
        <f t="shared" si="26"/>
        <v>0</v>
      </c>
      <c r="AB126" s="67">
        <f t="shared" si="27"/>
        <v>0</v>
      </c>
      <c r="AC126" s="67">
        <f t="shared" si="28"/>
        <v>0</v>
      </c>
      <c r="AD126" s="67">
        <f t="shared" si="29"/>
        <v>0</v>
      </c>
      <c r="AE126" s="67">
        <f t="shared" si="30"/>
        <v>0</v>
      </c>
      <c r="AF126" s="67">
        <f t="shared" si="31"/>
        <v>1.0503098414032139E-4</v>
      </c>
      <c r="AG126" s="67">
        <f>town_establishments[[#This Row],[share of state establishments]]/($AF$250-$AF$249)</f>
        <v>1.0864251181487315E-4</v>
      </c>
      <c r="AH126" s="67">
        <f>town_establishments[[#This Row],[share of state establishments (no residual)]]/(INDEX(regional_establishments[share of state establishments],MATCH(town_establishments[[#This Row],[Regional Planning Commission]],regional_establishments[Regional Planning Commission],0)))</f>
        <v>1.3708019191226866E-3</v>
      </c>
    </row>
    <row r="127" spans="1:34" x14ac:dyDescent="0.25">
      <c r="A127" t="s">
        <v>227</v>
      </c>
      <c r="B127" t="str">
        <f>INDEX([1]!town_population[Regional Planning Commission],MATCH(town_establishments[[#This Row],[Municipality]],[1]!town_population[Municipality],0))</f>
        <v>Northeastern Vermont Development Association</v>
      </c>
      <c r="D127">
        <v>1</v>
      </c>
      <c r="I127">
        <v>1</v>
      </c>
      <c r="Q127">
        <f t="shared" si="16"/>
        <v>2</v>
      </c>
      <c r="R127" s="67">
        <f t="shared" si="17"/>
        <v>0</v>
      </c>
      <c r="S127" s="67">
        <f t="shared" si="18"/>
        <v>0.5</v>
      </c>
      <c r="T127" s="67">
        <f t="shared" si="19"/>
        <v>0</v>
      </c>
      <c r="U127" s="67">
        <f t="shared" si="20"/>
        <v>0</v>
      </c>
      <c r="V127" s="67">
        <f t="shared" si="21"/>
        <v>0</v>
      </c>
      <c r="W127" s="67">
        <f t="shared" si="22"/>
        <v>0</v>
      </c>
      <c r="X127" s="67">
        <f t="shared" si="23"/>
        <v>0.5</v>
      </c>
      <c r="Y127" s="67">
        <f t="shared" si="24"/>
        <v>0</v>
      </c>
      <c r="Z127" s="67">
        <f t="shared" si="25"/>
        <v>0</v>
      </c>
      <c r="AA127" s="67">
        <f t="shared" si="26"/>
        <v>0</v>
      </c>
      <c r="AB127" s="67">
        <f t="shared" si="27"/>
        <v>0</v>
      </c>
      <c r="AC127" s="67">
        <f t="shared" si="28"/>
        <v>0</v>
      </c>
      <c r="AD127" s="67">
        <f t="shared" si="29"/>
        <v>0</v>
      </c>
      <c r="AE127" s="67">
        <f t="shared" si="30"/>
        <v>0</v>
      </c>
      <c r="AF127" s="67">
        <f t="shared" si="31"/>
        <v>1.0503098414032139E-4</v>
      </c>
      <c r="AG127" s="67">
        <f>town_establishments[[#This Row],[share of state establishments]]/($AF$250-$AF$249)</f>
        <v>1.0864251181487315E-4</v>
      </c>
      <c r="AH127" s="67">
        <f>town_establishments[[#This Row],[share of state establishments (no residual)]]/(INDEX(regional_establishments[share of state establishments],MATCH(town_establishments[[#This Row],[Regional Planning Commission]],regional_establishments[Regional Planning Commission],0)))</f>
        <v>1.3708019191226866E-3</v>
      </c>
    </row>
    <row r="128" spans="1:34" x14ac:dyDescent="0.25">
      <c r="A128" t="s">
        <v>228</v>
      </c>
      <c r="B128" t="str">
        <f>INDEX([1]!town_population[Regional Planning Commission],MATCH(town_establishments[[#This Row],[Municipality]],[1]!town_population[Municipality],0))</f>
        <v>Northeastern Vermont Development Association</v>
      </c>
      <c r="E128">
        <v>2</v>
      </c>
      <c r="K128">
        <v>1</v>
      </c>
      <c r="L128">
        <v>1</v>
      </c>
      <c r="M128">
        <v>1</v>
      </c>
      <c r="N128">
        <v>1</v>
      </c>
      <c r="Q128">
        <f t="shared" si="16"/>
        <v>6</v>
      </c>
      <c r="R128" s="67">
        <f t="shared" si="17"/>
        <v>0</v>
      </c>
      <c r="S128" s="67">
        <f t="shared" si="18"/>
        <v>0</v>
      </c>
      <c r="T128" s="67">
        <f t="shared" si="19"/>
        <v>0.33333333333333331</v>
      </c>
      <c r="U128" s="67">
        <f t="shared" si="20"/>
        <v>0</v>
      </c>
      <c r="V128" s="67">
        <f t="shared" si="21"/>
        <v>0</v>
      </c>
      <c r="W128" s="67">
        <f t="shared" si="22"/>
        <v>0</v>
      </c>
      <c r="X128" s="67">
        <f t="shared" si="23"/>
        <v>0</v>
      </c>
      <c r="Y128" s="67">
        <f t="shared" si="24"/>
        <v>0</v>
      </c>
      <c r="Z128" s="67">
        <f t="shared" si="25"/>
        <v>0.16666666666666666</v>
      </c>
      <c r="AA128" s="67">
        <f t="shared" si="26"/>
        <v>0.16666666666666666</v>
      </c>
      <c r="AB128" s="67">
        <f t="shared" si="27"/>
        <v>0.16666666666666666</v>
      </c>
      <c r="AC128" s="67">
        <f t="shared" si="28"/>
        <v>0.16666666666666666</v>
      </c>
      <c r="AD128" s="67">
        <f t="shared" si="29"/>
        <v>0</v>
      </c>
      <c r="AE128" s="67">
        <f t="shared" si="30"/>
        <v>0</v>
      </c>
      <c r="AF128" s="67">
        <f t="shared" si="31"/>
        <v>3.150929524209642E-4</v>
      </c>
      <c r="AG128" s="67">
        <f>town_establishments[[#This Row],[share of state establishments]]/($AF$250-$AF$249)</f>
        <v>3.2592753544461947E-4</v>
      </c>
      <c r="AH128" s="67">
        <f>town_establishments[[#This Row],[share of state establishments (no residual)]]/(INDEX(regional_establishments[share of state establishments],MATCH(town_establishments[[#This Row],[Regional Planning Commission]],regional_establishments[Regional Planning Commission],0)))</f>
        <v>4.1124057573680602E-3</v>
      </c>
    </row>
    <row r="129" spans="1:34" x14ac:dyDescent="0.25">
      <c r="A129" t="s">
        <v>229</v>
      </c>
      <c r="B129" t="str">
        <f>INDEX([1]!town_population[Regional Planning Commission],MATCH(town_establishments[[#This Row],[Municipality]],[1]!town_population[Municipality],0))</f>
        <v>Northeastern Vermont Development Association</v>
      </c>
      <c r="C129">
        <v>2</v>
      </c>
      <c r="D129">
        <v>7</v>
      </c>
      <c r="E129">
        <v>3</v>
      </c>
      <c r="F129">
        <v>2</v>
      </c>
      <c r="G129">
        <v>1</v>
      </c>
      <c r="H129">
        <v>2</v>
      </c>
      <c r="I129">
        <v>2</v>
      </c>
      <c r="K129">
        <v>2</v>
      </c>
      <c r="L129">
        <v>1</v>
      </c>
      <c r="M129">
        <v>1</v>
      </c>
      <c r="O129">
        <v>1</v>
      </c>
      <c r="P129">
        <v>2</v>
      </c>
      <c r="Q129">
        <f t="shared" si="16"/>
        <v>26</v>
      </c>
      <c r="R129" s="67">
        <f t="shared" si="17"/>
        <v>7.6923076923076927E-2</v>
      </c>
      <c r="S129" s="67">
        <f t="shared" si="18"/>
        <v>0.26923076923076922</v>
      </c>
      <c r="T129" s="67">
        <f t="shared" si="19"/>
        <v>0.11538461538461539</v>
      </c>
      <c r="U129" s="67">
        <f t="shared" si="20"/>
        <v>7.6923076923076927E-2</v>
      </c>
      <c r="V129" s="67">
        <f t="shared" si="21"/>
        <v>3.8461538461538464E-2</v>
      </c>
      <c r="W129" s="67">
        <f t="shared" si="22"/>
        <v>7.6923076923076927E-2</v>
      </c>
      <c r="X129" s="67">
        <f t="shared" si="23"/>
        <v>7.6923076923076927E-2</v>
      </c>
      <c r="Y129" s="67">
        <f t="shared" si="24"/>
        <v>0</v>
      </c>
      <c r="Z129" s="67">
        <f t="shared" si="25"/>
        <v>7.6923076923076927E-2</v>
      </c>
      <c r="AA129" s="67">
        <f t="shared" si="26"/>
        <v>3.8461538461538464E-2</v>
      </c>
      <c r="AB129" s="67">
        <f t="shared" si="27"/>
        <v>3.8461538461538464E-2</v>
      </c>
      <c r="AC129" s="67">
        <f t="shared" si="28"/>
        <v>0</v>
      </c>
      <c r="AD129" s="67">
        <f t="shared" si="29"/>
        <v>3.8461538461538464E-2</v>
      </c>
      <c r="AE129" s="67">
        <f t="shared" si="30"/>
        <v>7.6923076923076927E-2</v>
      </c>
      <c r="AF129" s="67">
        <f t="shared" si="31"/>
        <v>1.3654027938241782E-3</v>
      </c>
      <c r="AG129" s="67">
        <f>town_establishments[[#This Row],[share of state establishments]]/($AF$250-$AF$249)</f>
        <v>1.4123526535933511E-3</v>
      </c>
      <c r="AH129" s="67">
        <f>town_establishments[[#This Row],[share of state establishments (no residual)]]/(INDEX(regional_establishments[share of state establishments],MATCH(town_establishments[[#This Row],[Regional Planning Commission]],regional_establishments[Regional Planning Commission],0)))</f>
        <v>1.7820424948594926E-2</v>
      </c>
    </row>
    <row r="130" spans="1:34" x14ac:dyDescent="0.25">
      <c r="A130" t="s">
        <v>230</v>
      </c>
      <c r="B130" t="str">
        <f>INDEX([1]!town_population[Regional Planning Commission],MATCH(town_establishments[[#This Row],[Municipality]],[1]!town_population[Municipality],0))</f>
        <v>Northeastern Vermont Development Association</v>
      </c>
      <c r="Q130">
        <f t="shared" si="16"/>
        <v>0</v>
      </c>
      <c r="R130" s="67">
        <f t="shared" si="17"/>
        <v>0</v>
      </c>
      <c r="S130" s="67">
        <f t="shared" si="18"/>
        <v>0</v>
      </c>
      <c r="T130" s="67">
        <f t="shared" si="19"/>
        <v>0</v>
      </c>
      <c r="U130" s="67">
        <f t="shared" si="20"/>
        <v>0</v>
      </c>
      <c r="V130" s="67">
        <f t="shared" si="21"/>
        <v>0</v>
      </c>
      <c r="W130" s="67">
        <f t="shared" si="22"/>
        <v>0</v>
      </c>
      <c r="X130" s="67">
        <f t="shared" si="23"/>
        <v>0</v>
      </c>
      <c r="Y130" s="67">
        <f t="shared" si="24"/>
        <v>0</v>
      </c>
      <c r="Z130" s="67">
        <f t="shared" si="25"/>
        <v>0</v>
      </c>
      <c r="AA130" s="67">
        <f t="shared" si="26"/>
        <v>0</v>
      </c>
      <c r="AB130" s="67">
        <f t="shared" si="27"/>
        <v>0</v>
      </c>
      <c r="AC130" s="67">
        <f t="shared" si="28"/>
        <v>0</v>
      </c>
      <c r="AD130" s="67">
        <f t="shared" si="29"/>
        <v>0</v>
      </c>
      <c r="AE130" s="67">
        <f t="shared" si="30"/>
        <v>0</v>
      </c>
      <c r="AF130" s="67">
        <f t="shared" si="31"/>
        <v>0</v>
      </c>
      <c r="AG130" s="67">
        <f>town_establishments[[#This Row],[share of state establishments]]/($AF$250-$AF$249)</f>
        <v>0</v>
      </c>
      <c r="AH130" s="67">
        <f>town_establishments[[#This Row],[share of state establishments (no residual)]]/(INDEX(regional_establishments[share of state establishments],MATCH(town_establishments[[#This Row],[Regional Planning Commission]],regional_establishments[Regional Planning Commission],0)))</f>
        <v>0</v>
      </c>
    </row>
    <row r="131" spans="1:34" x14ac:dyDescent="0.25">
      <c r="A131" t="s">
        <v>231</v>
      </c>
      <c r="B131" t="str">
        <f>INDEX([1]!town_population[Regional Planning Commission],MATCH(town_establishments[[#This Row],[Municipality]],[1]!town_population[Municipality],0))</f>
        <v>Northeastern Vermont Development Association</v>
      </c>
      <c r="I131">
        <v>1</v>
      </c>
      <c r="K131">
        <v>1</v>
      </c>
      <c r="L131">
        <v>1</v>
      </c>
      <c r="Q131">
        <f t="shared" ref="Q131:Q194" si="32">SUM(C131:P131)</f>
        <v>3</v>
      </c>
      <c r="R131" s="67">
        <f t="shared" ref="R131:R194" si="33">IF($Q131&lt;&gt;0,C131/$Q131,0)</f>
        <v>0</v>
      </c>
      <c r="S131" s="67">
        <f t="shared" ref="S131:S194" si="34">IF($Q131&lt;&gt;0,D131/$Q131,0)</f>
        <v>0</v>
      </c>
      <c r="T131" s="67">
        <f t="shared" ref="T131:T194" si="35">IF($Q131&lt;&gt;0,E131/$Q131,0)</f>
        <v>0</v>
      </c>
      <c r="U131" s="67">
        <f t="shared" ref="U131:U194" si="36">IF($Q131&lt;&gt;0,F131/$Q131,0)</f>
        <v>0</v>
      </c>
      <c r="V131" s="67">
        <f t="shared" ref="V131:V194" si="37">IF($Q131&lt;&gt;0,G131/$Q131,0)</f>
        <v>0</v>
      </c>
      <c r="W131" s="67">
        <f t="shared" ref="W131:W194" si="38">IF($Q131&lt;&gt;0,H131/$Q131,0)</f>
        <v>0</v>
      </c>
      <c r="X131" s="67">
        <f t="shared" ref="X131:X194" si="39">IF($Q131&lt;&gt;0,I131/$Q131,0)</f>
        <v>0.33333333333333331</v>
      </c>
      <c r="Y131" s="67">
        <f t="shared" ref="Y131:Y194" si="40">IF($Q131&lt;&gt;0,J131/$Q131,0)</f>
        <v>0</v>
      </c>
      <c r="Z131" s="67">
        <f t="shared" ref="Z131:Z194" si="41">IF($Q131&lt;&gt;0,K131/$Q131,0)</f>
        <v>0.33333333333333331</v>
      </c>
      <c r="AA131" s="67">
        <f t="shared" ref="AA131:AA194" si="42">IF($Q131&lt;&gt;0,L131/$Q131,0)</f>
        <v>0.33333333333333331</v>
      </c>
      <c r="AB131" s="67">
        <f t="shared" ref="AB131:AB194" si="43">IF($Q131&lt;&gt;0,M131/$Q131,0)</f>
        <v>0</v>
      </c>
      <c r="AC131" s="67">
        <f t="shared" ref="AC131:AC194" si="44">IF($Q131&lt;&gt;0,N131/$Q131,0)</f>
        <v>0</v>
      </c>
      <c r="AD131" s="67">
        <f t="shared" ref="AD131:AD194" si="45">IF($Q131&lt;&gt;0,O131/$Q131,0)</f>
        <v>0</v>
      </c>
      <c r="AE131" s="67">
        <f t="shared" ref="AE131:AE194" si="46">IF($Q131&lt;&gt;0,P131/$Q131,0)</f>
        <v>0</v>
      </c>
      <c r="AF131" s="67">
        <f t="shared" ref="AF131:AF194" si="47">Q131/Q$250</f>
        <v>1.575464762104821E-4</v>
      </c>
      <c r="AG131" s="67">
        <f>town_establishments[[#This Row],[share of state establishments]]/($AF$250-$AF$249)</f>
        <v>1.6296376772230973E-4</v>
      </c>
      <c r="AH131" s="67">
        <f>town_establishments[[#This Row],[share of state establishments (no residual)]]/(INDEX(regional_establishments[share of state establishments],MATCH(town_establishments[[#This Row],[Regional Planning Commission]],regional_establishments[Regional Planning Commission],0)))</f>
        <v>2.0562028786840301E-3</v>
      </c>
    </row>
    <row r="132" spans="1:34" x14ac:dyDescent="0.25">
      <c r="A132" t="s">
        <v>232</v>
      </c>
      <c r="B132" t="str">
        <f>INDEX([1]!town_population[Regional Planning Commission],MATCH(town_establishments[[#This Row],[Municipality]],[1]!town_population[Municipality],0))</f>
        <v>Northeastern Vermont Development Association</v>
      </c>
      <c r="C132">
        <v>5</v>
      </c>
      <c r="E132">
        <v>1</v>
      </c>
      <c r="F132">
        <v>1</v>
      </c>
      <c r="I132">
        <v>2</v>
      </c>
      <c r="K132">
        <v>1</v>
      </c>
      <c r="L132">
        <v>1</v>
      </c>
      <c r="M132">
        <v>1</v>
      </c>
      <c r="O132">
        <v>1</v>
      </c>
      <c r="P132">
        <v>2</v>
      </c>
      <c r="Q132">
        <f t="shared" si="32"/>
        <v>15</v>
      </c>
      <c r="R132" s="67">
        <f t="shared" si="33"/>
        <v>0.33333333333333331</v>
      </c>
      <c r="S132" s="67">
        <f t="shared" si="34"/>
        <v>0</v>
      </c>
      <c r="T132" s="67">
        <f t="shared" si="35"/>
        <v>6.6666666666666666E-2</v>
      </c>
      <c r="U132" s="67">
        <f t="shared" si="36"/>
        <v>6.6666666666666666E-2</v>
      </c>
      <c r="V132" s="67">
        <f t="shared" si="37"/>
        <v>0</v>
      </c>
      <c r="W132" s="67">
        <f t="shared" si="38"/>
        <v>0</v>
      </c>
      <c r="X132" s="67">
        <f t="shared" si="39"/>
        <v>0.13333333333333333</v>
      </c>
      <c r="Y132" s="67">
        <f t="shared" si="40"/>
        <v>0</v>
      </c>
      <c r="Z132" s="67">
        <f t="shared" si="41"/>
        <v>6.6666666666666666E-2</v>
      </c>
      <c r="AA132" s="67">
        <f t="shared" si="42"/>
        <v>6.6666666666666666E-2</v>
      </c>
      <c r="AB132" s="67">
        <f t="shared" si="43"/>
        <v>6.6666666666666666E-2</v>
      </c>
      <c r="AC132" s="67">
        <f t="shared" si="44"/>
        <v>0</v>
      </c>
      <c r="AD132" s="67">
        <f t="shared" si="45"/>
        <v>6.6666666666666666E-2</v>
      </c>
      <c r="AE132" s="67">
        <f t="shared" si="46"/>
        <v>0.13333333333333333</v>
      </c>
      <c r="AF132" s="67">
        <f t="shared" si="47"/>
        <v>7.8773238105241041E-4</v>
      </c>
      <c r="AG132" s="67">
        <f>town_establishments[[#This Row],[share of state establishments]]/($AF$250-$AF$249)</f>
        <v>8.1481883861154862E-4</v>
      </c>
      <c r="AH132" s="67">
        <f>town_establishments[[#This Row],[share of state establishments (no residual)]]/(INDEX(regional_establishments[share of state establishments],MATCH(town_establishments[[#This Row],[Regional Planning Commission]],regional_establishments[Regional Planning Commission],0)))</f>
        <v>1.0281014393420149E-2</v>
      </c>
    </row>
    <row r="133" spans="1:34" x14ac:dyDescent="0.25">
      <c r="A133" t="s">
        <v>233</v>
      </c>
      <c r="B133" t="str">
        <f>INDEX([1]!town_population[Regional Planning Commission],MATCH(town_establishments[[#This Row],[Municipality]],[1]!town_population[Municipality],0))</f>
        <v>Northeastern Vermont Development Association</v>
      </c>
      <c r="D133">
        <v>2</v>
      </c>
      <c r="H133">
        <v>1</v>
      </c>
      <c r="I133">
        <v>1</v>
      </c>
      <c r="K133">
        <v>1</v>
      </c>
      <c r="M133">
        <v>1</v>
      </c>
      <c r="P133">
        <v>1</v>
      </c>
      <c r="Q133">
        <f t="shared" si="32"/>
        <v>7</v>
      </c>
      <c r="R133" s="67">
        <f t="shared" si="33"/>
        <v>0</v>
      </c>
      <c r="S133" s="67">
        <f t="shared" si="34"/>
        <v>0.2857142857142857</v>
      </c>
      <c r="T133" s="67">
        <f t="shared" si="35"/>
        <v>0</v>
      </c>
      <c r="U133" s="67">
        <f t="shared" si="36"/>
        <v>0</v>
      </c>
      <c r="V133" s="67">
        <f t="shared" si="37"/>
        <v>0</v>
      </c>
      <c r="W133" s="67">
        <f t="shared" si="38"/>
        <v>0.14285714285714285</v>
      </c>
      <c r="X133" s="67">
        <f t="shared" si="39"/>
        <v>0.14285714285714285</v>
      </c>
      <c r="Y133" s="67">
        <f t="shared" si="40"/>
        <v>0</v>
      </c>
      <c r="Z133" s="67">
        <f t="shared" si="41"/>
        <v>0.14285714285714285</v>
      </c>
      <c r="AA133" s="67">
        <f t="shared" si="42"/>
        <v>0</v>
      </c>
      <c r="AB133" s="67">
        <f t="shared" si="43"/>
        <v>0.14285714285714285</v>
      </c>
      <c r="AC133" s="67">
        <f t="shared" si="44"/>
        <v>0</v>
      </c>
      <c r="AD133" s="67">
        <f t="shared" si="45"/>
        <v>0</v>
      </c>
      <c r="AE133" s="67">
        <f t="shared" si="46"/>
        <v>0.14285714285714285</v>
      </c>
      <c r="AF133" s="67">
        <f t="shared" si="47"/>
        <v>3.676084444911249E-4</v>
      </c>
      <c r="AG133" s="67">
        <f>town_establishments[[#This Row],[share of state establishments]]/($AF$250-$AF$249)</f>
        <v>3.8024879135205606E-4</v>
      </c>
      <c r="AH133" s="67">
        <f>town_establishments[[#This Row],[share of state establishments (no residual)]]/(INDEX(regional_establishments[share of state establishments],MATCH(town_establishments[[#This Row],[Regional Planning Commission]],regional_establishments[Regional Planning Commission],0)))</f>
        <v>4.7978067169294038E-3</v>
      </c>
    </row>
    <row r="134" spans="1:34" x14ac:dyDescent="0.25">
      <c r="A134" t="s">
        <v>234</v>
      </c>
      <c r="B134" t="str">
        <f>INDEX([1]!town_population[Regional Planning Commission],MATCH(town_establishments[[#This Row],[Municipality]],[1]!town_population[Municipality],0))</f>
        <v>Northeastern Vermont Development Association</v>
      </c>
      <c r="D134">
        <v>1</v>
      </c>
      <c r="I134">
        <v>1</v>
      </c>
      <c r="O134">
        <v>3</v>
      </c>
      <c r="Q134">
        <f t="shared" si="32"/>
        <v>5</v>
      </c>
      <c r="R134" s="67">
        <f t="shared" si="33"/>
        <v>0</v>
      </c>
      <c r="S134" s="67">
        <f t="shared" si="34"/>
        <v>0.2</v>
      </c>
      <c r="T134" s="67">
        <f t="shared" si="35"/>
        <v>0</v>
      </c>
      <c r="U134" s="67">
        <f t="shared" si="36"/>
        <v>0</v>
      </c>
      <c r="V134" s="67">
        <f t="shared" si="37"/>
        <v>0</v>
      </c>
      <c r="W134" s="67">
        <f t="shared" si="38"/>
        <v>0</v>
      </c>
      <c r="X134" s="67">
        <f t="shared" si="39"/>
        <v>0.2</v>
      </c>
      <c r="Y134" s="67">
        <f t="shared" si="40"/>
        <v>0</v>
      </c>
      <c r="Z134" s="67">
        <f t="shared" si="41"/>
        <v>0</v>
      </c>
      <c r="AA134" s="67">
        <f t="shared" si="42"/>
        <v>0</v>
      </c>
      <c r="AB134" s="67">
        <f t="shared" si="43"/>
        <v>0</v>
      </c>
      <c r="AC134" s="67">
        <f t="shared" si="44"/>
        <v>0</v>
      </c>
      <c r="AD134" s="67">
        <f t="shared" si="45"/>
        <v>0.6</v>
      </c>
      <c r="AE134" s="67">
        <f t="shared" si="46"/>
        <v>0</v>
      </c>
      <c r="AF134" s="67">
        <f t="shared" si="47"/>
        <v>2.6257746035080349E-4</v>
      </c>
      <c r="AG134" s="67">
        <f>town_establishments[[#This Row],[share of state establishments]]/($AF$250-$AF$249)</f>
        <v>2.7160627953718287E-4</v>
      </c>
      <c r="AH134" s="67">
        <f>town_establishments[[#This Row],[share of state establishments (no residual)]]/(INDEX(regional_establishments[share of state establishments],MATCH(town_establishments[[#This Row],[Regional Planning Commission]],regional_establishments[Regional Planning Commission],0)))</f>
        <v>3.4270047978067165E-3</v>
      </c>
    </row>
    <row r="135" spans="1:34" x14ac:dyDescent="0.25">
      <c r="A135" t="s">
        <v>235</v>
      </c>
      <c r="B135" t="str">
        <f>INDEX([1]!town_population[Regional Planning Commission],MATCH(town_establishments[[#This Row],[Municipality]],[1]!town_population[Municipality],0))</f>
        <v>Northeastern Vermont Development Association</v>
      </c>
      <c r="D135">
        <v>1</v>
      </c>
      <c r="P135">
        <v>1</v>
      </c>
      <c r="Q135">
        <f t="shared" si="32"/>
        <v>2</v>
      </c>
      <c r="R135" s="67">
        <f t="shared" si="33"/>
        <v>0</v>
      </c>
      <c r="S135" s="67">
        <f t="shared" si="34"/>
        <v>0.5</v>
      </c>
      <c r="T135" s="67">
        <f t="shared" si="35"/>
        <v>0</v>
      </c>
      <c r="U135" s="67">
        <f t="shared" si="36"/>
        <v>0</v>
      </c>
      <c r="V135" s="67">
        <f t="shared" si="37"/>
        <v>0</v>
      </c>
      <c r="W135" s="67">
        <f t="shared" si="38"/>
        <v>0</v>
      </c>
      <c r="X135" s="67">
        <f t="shared" si="39"/>
        <v>0</v>
      </c>
      <c r="Y135" s="67">
        <f t="shared" si="40"/>
        <v>0</v>
      </c>
      <c r="Z135" s="67">
        <f t="shared" si="41"/>
        <v>0</v>
      </c>
      <c r="AA135" s="67">
        <f t="shared" si="42"/>
        <v>0</v>
      </c>
      <c r="AB135" s="67">
        <f t="shared" si="43"/>
        <v>0</v>
      </c>
      <c r="AC135" s="67">
        <f t="shared" si="44"/>
        <v>0</v>
      </c>
      <c r="AD135" s="67">
        <f t="shared" si="45"/>
        <v>0</v>
      </c>
      <c r="AE135" s="67">
        <f t="shared" si="46"/>
        <v>0.5</v>
      </c>
      <c r="AF135" s="67">
        <f t="shared" si="47"/>
        <v>1.0503098414032139E-4</v>
      </c>
      <c r="AG135" s="67">
        <f>town_establishments[[#This Row],[share of state establishments]]/($AF$250-$AF$249)</f>
        <v>1.0864251181487315E-4</v>
      </c>
      <c r="AH135" s="67">
        <f>town_establishments[[#This Row],[share of state establishments (no residual)]]/(INDEX(regional_establishments[share of state establishments],MATCH(town_establishments[[#This Row],[Regional Planning Commission]],regional_establishments[Regional Planning Commission],0)))</f>
        <v>1.3708019191226866E-3</v>
      </c>
    </row>
    <row r="136" spans="1:34" x14ac:dyDescent="0.25">
      <c r="A136" t="s">
        <v>236</v>
      </c>
      <c r="B136" t="str">
        <f>INDEX([1]!town_population[Regional Planning Commission],MATCH(town_establishments[[#This Row],[Municipality]],[1]!town_population[Municipality],0))</f>
        <v>Northwest Regional Planning Commission</v>
      </c>
      <c r="C136">
        <v>4</v>
      </c>
      <c r="D136">
        <v>8</v>
      </c>
      <c r="E136">
        <v>5</v>
      </c>
      <c r="G136">
        <v>2</v>
      </c>
      <c r="H136">
        <v>1</v>
      </c>
      <c r="I136">
        <v>2</v>
      </c>
      <c r="K136">
        <v>3</v>
      </c>
      <c r="L136">
        <v>1</v>
      </c>
      <c r="M136">
        <v>1</v>
      </c>
      <c r="N136">
        <v>1</v>
      </c>
      <c r="O136">
        <v>5</v>
      </c>
      <c r="P136">
        <v>2</v>
      </c>
      <c r="Q136">
        <f t="shared" si="32"/>
        <v>35</v>
      </c>
      <c r="R136" s="67">
        <f t="shared" si="33"/>
        <v>0.11428571428571428</v>
      </c>
      <c r="S136" s="67">
        <f t="shared" si="34"/>
        <v>0.22857142857142856</v>
      </c>
      <c r="T136" s="67">
        <f t="shared" si="35"/>
        <v>0.14285714285714285</v>
      </c>
      <c r="U136" s="67">
        <f t="shared" si="36"/>
        <v>0</v>
      </c>
      <c r="V136" s="67">
        <f t="shared" si="37"/>
        <v>5.7142857142857141E-2</v>
      </c>
      <c r="W136" s="67">
        <f t="shared" si="38"/>
        <v>2.8571428571428571E-2</v>
      </c>
      <c r="X136" s="67">
        <f t="shared" si="39"/>
        <v>5.7142857142857141E-2</v>
      </c>
      <c r="Y136" s="67">
        <f t="shared" si="40"/>
        <v>0</v>
      </c>
      <c r="Z136" s="67">
        <f t="shared" si="41"/>
        <v>8.5714285714285715E-2</v>
      </c>
      <c r="AA136" s="67">
        <f t="shared" si="42"/>
        <v>2.8571428571428571E-2</v>
      </c>
      <c r="AB136" s="67">
        <f t="shared" si="43"/>
        <v>2.8571428571428571E-2</v>
      </c>
      <c r="AC136" s="67">
        <f t="shared" si="44"/>
        <v>2.8571428571428571E-2</v>
      </c>
      <c r="AD136" s="67">
        <f t="shared" si="45"/>
        <v>0.14285714285714285</v>
      </c>
      <c r="AE136" s="67">
        <f t="shared" si="46"/>
        <v>5.7142857142857141E-2</v>
      </c>
      <c r="AF136" s="67">
        <f t="shared" si="47"/>
        <v>1.8380422224556245E-3</v>
      </c>
      <c r="AG136" s="67">
        <f>town_establishments[[#This Row],[share of state establishments]]/($AF$250-$AF$249)</f>
        <v>1.9012439567602803E-3</v>
      </c>
      <c r="AH136" s="67">
        <f>town_establishments[[#This Row],[share of state establishments (no residual)]]/(INDEX(regional_establishments[share of state establishments],MATCH(town_establishments[[#This Row],[Regional Planning Commission]],regional_establishments[Regional Planning Commission],0)))</f>
        <v>3.4246575342465758E-2</v>
      </c>
    </row>
    <row r="137" spans="1:34" x14ac:dyDescent="0.25">
      <c r="A137" t="s">
        <v>237</v>
      </c>
      <c r="B137" t="str">
        <f>INDEX([1]!town_population[Regional Planning Commission],MATCH(town_establishments[[#This Row],[Municipality]],[1]!town_population[Municipality],0))</f>
        <v>Northwest Regional Planning Commission</v>
      </c>
      <c r="C137">
        <v>1</v>
      </c>
      <c r="D137">
        <v>1</v>
      </c>
      <c r="E137">
        <v>1</v>
      </c>
      <c r="I137">
        <v>1</v>
      </c>
      <c r="K137">
        <v>2</v>
      </c>
      <c r="L137">
        <v>1</v>
      </c>
      <c r="N137">
        <v>1</v>
      </c>
      <c r="P137">
        <v>1</v>
      </c>
      <c r="Q137">
        <f t="shared" si="32"/>
        <v>9</v>
      </c>
      <c r="R137" s="67">
        <f t="shared" si="33"/>
        <v>0.1111111111111111</v>
      </c>
      <c r="S137" s="67">
        <f t="shared" si="34"/>
        <v>0.1111111111111111</v>
      </c>
      <c r="T137" s="67">
        <f t="shared" si="35"/>
        <v>0.1111111111111111</v>
      </c>
      <c r="U137" s="67">
        <f t="shared" si="36"/>
        <v>0</v>
      </c>
      <c r="V137" s="67">
        <f t="shared" si="37"/>
        <v>0</v>
      </c>
      <c r="W137" s="67">
        <f t="shared" si="38"/>
        <v>0</v>
      </c>
      <c r="X137" s="67">
        <f t="shared" si="39"/>
        <v>0.1111111111111111</v>
      </c>
      <c r="Y137" s="67">
        <f t="shared" si="40"/>
        <v>0</v>
      </c>
      <c r="Z137" s="67">
        <f t="shared" si="41"/>
        <v>0.22222222222222221</v>
      </c>
      <c r="AA137" s="67">
        <f t="shared" si="42"/>
        <v>0.1111111111111111</v>
      </c>
      <c r="AB137" s="67">
        <f t="shared" si="43"/>
        <v>0</v>
      </c>
      <c r="AC137" s="67">
        <f t="shared" si="44"/>
        <v>0.1111111111111111</v>
      </c>
      <c r="AD137" s="67">
        <f t="shared" si="45"/>
        <v>0</v>
      </c>
      <c r="AE137" s="67">
        <f t="shared" si="46"/>
        <v>0.1111111111111111</v>
      </c>
      <c r="AF137" s="67">
        <f t="shared" si="47"/>
        <v>4.7263942863144627E-4</v>
      </c>
      <c r="AG137" s="67">
        <f>town_establishments[[#This Row],[share of state establishments]]/($AF$250-$AF$249)</f>
        <v>4.8889130316692926E-4</v>
      </c>
      <c r="AH137" s="67">
        <f>town_establishments[[#This Row],[share of state establishments (no residual)]]/(INDEX(regional_establishments[share of state establishments],MATCH(town_establishments[[#This Row],[Regional Planning Commission]],regional_establishments[Regional Planning Commission],0)))</f>
        <v>8.8062622309197664E-3</v>
      </c>
    </row>
    <row r="138" spans="1:34" x14ac:dyDescent="0.25">
      <c r="A138" t="s">
        <v>238</v>
      </c>
      <c r="B138" t="str">
        <f>INDEX([1]!town_population[Regional Planning Commission],MATCH(town_establishments[[#This Row],[Municipality]],[1]!town_population[Municipality],0))</f>
        <v>Northwest Regional Planning Commission</v>
      </c>
      <c r="C138">
        <v>1</v>
      </c>
      <c r="D138">
        <v>1</v>
      </c>
      <c r="E138">
        <v>2</v>
      </c>
      <c r="L138">
        <v>1</v>
      </c>
      <c r="O138">
        <v>1</v>
      </c>
      <c r="P138">
        <v>1</v>
      </c>
      <c r="Q138">
        <f t="shared" si="32"/>
        <v>7</v>
      </c>
      <c r="R138" s="67">
        <f t="shared" si="33"/>
        <v>0.14285714285714285</v>
      </c>
      <c r="S138" s="67">
        <f t="shared" si="34"/>
        <v>0.14285714285714285</v>
      </c>
      <c r="T138" s="67">
        <f t="shared" si="35"/>
        <v>0.2857142857142857</v>
      </c>
      <c r="U138" s="67">
        <f t="shared" si="36"/>
        <v>0</v>
      </c>
      <c r="V138" s="67">
        <f t="shared" si="37"/>
        <v>0</v>
      </c>
      <c r="W138" s="67">
        <f t="shared" si="38"/>
        <v>0</v>
      </c>
      <c r="X138" s="67">
        <f t="shared" si="39"/>
        <v>0</v>
      </c>
      <c r="Y138" s="67">
        <f t="shared" si="40"/>
        <v>0</v>
      </c>
      <c r="Z138" s="67">
        <f t="shared" si="41"/>
        <v>0</v>
      </c>
      <c r="AA138" s="67">
        <f t="shared" si="42"/>
        <v>0.14285714285714285</v>
      </c>
      <c r="AB138" s="67">
        <f t="shared" si="43"/>
        <v>0</v>
      </c>
      <c r="AC138" s="67">
        <f t="shared" si="44"/>
        <v>0</v>
      </c>
      <c r="AD138" s="67">
        <f t="shared" si="45"/>
        <v>0.14285714285714285</v>
      </c>
      <c r="AE138" s="67">
        <f t="shared" si="46"/>
        <v>0.14285714285714285</v>
      </c>
      <c r="AF138" s="67">
        <f t="shared" si="47"/>
        <v>3.676084444911249E-4</v>
      </c>
      <c r="AG138" s="67">
        <f>town_establishments[[#This Row],[share of state establishments]]/($AF$250-$AF$249)</f>
        <v>3.8024879135205606E-4</v>
      </c>
      <c r="AH138" s="67">
        <f>town_establishments[[#This Row],[share of state establishments (no residual)]]/(INDEX(regional_establishments[share of state establishments],MATCH(town_establishments[[#This Row],[Regional Planning Commission]],regional_establishments[Regional Planning Commission],0)))</f>
        <v>6.8493150684931512E-3</v>
      </c>
    </row>
    <row r="139" spans="1:34" x14ac:dyDescent="0.25">
      <c r="A139" t="s">
        <v>239</v>
      </c>
      <c r="B139" t="str">
        <f>INDEX([1]!town_population[Regional Planning Commission],MATCH(town_establishments[[#This Row],[Municipality]],[1]!town_population[Municipality],0))</f>
        <v>Northwest Regional Planning Commission</v>
      </c>
      <c r="C139">
        <v>3</v>
      </c>
      <c r="D139">
        <v>23</v>
      </c>
      <c r="E139">
        <v>8</v>
      </c>
      <c r="F139">
        <v>1</v>
      </c>
      <c r="G139">
        <v>6</v>
      </c>
      <c r="H139">
        <v>1</v>
      </c>
      <c r="I139">
        <v>9</v>
      </c>
      <c r="K139">
        <v>4</v>
      </c>
      <c r="L139">
        <v>1</v>
      </c>
      <c r="M139">
        <v>6</v>
      </c>
      <c r="N139">
        <v>1</v>
      </c>
      <c r="O139">
        <v>10</v>
      </c>
      <c r="P139">
        <v>12</v>
      </c>
      <c r="Q139">
        <f t="shared" si="32"/>
        <v>85</v>
      </c>
      <c r="R139" s="67">
        <f t="shared" si="33"/>
        <v>3.5294117647058823E-2</v>
      </c>
      <c r="S139" s="67">
        <f t="shared" si="34"/>
        <v>0.27058823529411763</v>
      </c>
      <c r="T139" s="67">
        <f t="shared" si="35"/>
        <v>9.4117647058823528E-2</v>
      </c>
      <c r="U139" s="67">
        <f t="shared" si="36"/>
        <v>1.1764705882352941E-2</v>
      </c>
      <c r="V139" s="67">
        <f t="shared" si="37"/>
        <v>7.0588235294117646E-2</v>
      </c>
      <c r="W139" s="67">
        <f t="shared" si="38"/>
        <v>1.1764705882352941E-2</v>
      </c>
      <c r="X139" s="67">
        <f t="shared" si="39"/>
        <v>0.10588235294117647</v>
      </c>
      <c r="Y139" s="67">
        <f t="shared" si="40"/>
        <v>0</v>
      </c>
      <c r="Z139" s="67">
        <f t="shared" si="41"/>
        <v>4.7058823529411764E-2</v>
      </c>
      <c r="AA139" s="67">
        <f t="shared" si="42"/>
        <v>1.1764705882352941E-2</v>
      </c>
      <c r="AB139" s="67">
        <f t="shared" si="43"/>
        <v>7.0588235294117646E-2</v>
      </c>
      <c r="AC139" s="67">
        <f t="shared" si="44"/>
        <v>1.1764705882352941E-2</v>
      </c>
      <c r="AD139" s="67">
        <f t="shared" si="45"/>
        <v>0.11764705882352941</v>
      </c>
      <c r="AE139" s="67">
        <f t="shared" si="46"/>
        <v>0.14117647058823529</v>
      </c>
      <c r="AF139" s="67">
        <f t="shared" si="47"/>
        <v>4.4638168259636592E-3</v>
      </c>
      <c r="AG139" s="67">
        <f>town_establishments[[#This Row],[share of state establishments]]/($AF$250-$AF$249)</f>
        <v>4.617306752132109E-3</v>
      </c>
      <c r="AH139" s="67">
        <f>town_establishments[[#This Row],[share of state establishments (no residual)]]/(INDEX(regional_establishments[share of state establishments],MATCH(town_establishments[[#This Row],[Regional Planning Commission]],regional_establishments[Regional Planning Commission],0)))</f>
        <v>8.3170254403131125E-2</v>
      </c>
    </row>
    <row r="140" spans="1:34" x14ac:dyDescent="0.25">
      <c r="A140" t="s">
        <v>240</v>
      </c>
      <c r="B140" t="str">
        <f>INDEX([1]!town_population[Regional Planning Commission],MATCH(town_establishments[[#This Row],[Municipality]],[1]!town_population[Municipality],0))</f>
        <v>Northwest Regional Planning Commission</v>
      </c>
      <c r="C140">
        <v>9</v>
      </c>
      <c r="D140">
        <v>8</v>
      </c>
      <c r="E140">
        <v>3</v>
      </c>
      <c r="F140">
        <v>1</v>
      </c>
      <c r="G140">
        <v>4</v>
      </c>
      <c r="H140">
        <v>3</v>
      </c>
      <c r="I140">
        <v>13</v>
      </c>
      <c r="K140">
        <v>4</v>
      </c>
      <c r="L140">
        <v>3</v>
      </c>
      <c r="M140">
        <v>6</v>
      </c>
      <c r="O140">
        <v>2</v>
      </c>
      <c r="P140">
        <v>7</v>
      </c>
      <c r="Q140">
        <f t="shared" si="32"/>
        <v>63</v>
      </c>
      <c r="R140" s="67">
        <f t="shared" si="33"/>
        <v>0.14285714285714285</v>
      </c>
      <c r="S140" s="67">
        <f t="shared" si="34"/>
        <v>0.12698412698412698</v>
      </c>
      <c r="T140" s="67">
        <f t="shared" si="35"/>
        <v>4.7619047619047616E-2</v>
      </c>
      <c r="U140" s="67">
        <f t="shared" si="36"/>
        <v>1.5873015873015872E-2</v>
      </c>
      <c r="V140" s="67">
        <f t="shared" si="37"/>
        <v>6.3492063492063489E-2</v>
      </c>
      <c r="W140" s="67">
        <f t="shared" si="38"/>
        <v>4.7619047619047616E-2</v>
      </c>
      <c r="X140" s="67">
        <f t="shared" si="39"/>
        <v>0.20634920634920634</v>
      </c>
      <c r="Y140" s="67">
        <f t="shared" si="40"/>
        <v>0</v>
      </c>
      <c r="Z140" s="67">
        <f t="shared" si="41"/>
        <v>6.3492063492063489E-2</v>
      </c>
      <c r="AA140" s="67">
        <f t="shared" si="42"/>
        <v>4.7619047619047616E-2</v>
      </c>
      <c r="AB140" s="67">
        <f t="shared" si="43"/>
        <v>9.5238095238095233E-2</v>
      </c>
      <c r="AC140" s="67">
        <f t="shared" si="44"/>
        <v>0</v>
      </c>
      <c r="AD140" s="67">
        <f t="shared" si="45"/>
        <v>3.1746031746031744E-2</v>
      </c>
      <c r="AE140" s="67">
        <f t="shared" si="46"/>
        <v>0.1111111111111111</v>
      </c>
      <c r="AF140" s="67">
        <f t="shared" si="47"/>
        <v>3.3084760004201239E-3</v>
      </c>
      <c r="AG140" s="67">
        <f>town_establishments[[#This Row],[share of state establishments]]/($AF$250-$AF$249)</f>
        <v>3.4222391221685046E-3</v>
      </c>
      <c r="AH140" s="67">
        <f>town_establishments[[#This Row],[share of state establishments (no residual)]]/(INDEX(regional_establishments[share of state establishments],MATCH(town_establishments[[#This Row],[Regional Planning Commission]],regional_establishments[Regional Planning Commission],0)))</f>
        <v>6.164383561643836E-2</v>
      </c>
    </row>
    <row r="141" spans="1:34" x14ac:dyDescent="0.25">
      <c r="A141" t="s">
        <v>241</v>
      </c>
      <c r="B141" t="str">
        <f>INDEX([1]!town_population[Regional Planning Commission],MATCH(town_establishments[[#This Row],[Municipality]],[1]!town_population[Municipality],0))</f>
        <v>Northwest Regional Planning Commission</v>
      </c>
      <c r="C141">
        <v>3</v>
      </c>
      <c r="D141">
        <v>1</v>
      </c>
      <c r="E141">
        <v>3</v>
      </c>
      <c r="G141">
        <v>1</v>
      </c>
      <c r="I141">
        <v>2</v>
      </c>
      <c r="J141">
        <v>1</v>
      </c>
      <c r="K141">
        <v>1</v>
      </c>
      <c r="L141">
        <v>2</v>
      </c>
      <c r="M141">
        <v>2</v>
      </c>
      <c r="P141">
        <v>2</v>
      </c>
      <c r="Q141">
        <f t="shared" si="32"/>
        <v>18</v>
      </c>
      <c r="R141" s="67">
        <f t="shared" si="33"/>
        <v>0.16666666666666666</v>
      </c>
      <c r="S141" s="67">
        <f t="shared" si="34"/>
        <v>5.5555555555555552E-2</v>
      </c>
      <c r="T141" s="67">
        <f t="shared" si="35"/>
        <v>0.16666666666666666</v>
      </c>
      <c r="U141" s="67">
        <f t="shared" si="36"/>
        <v>0</v>
      </c>
      <c r="V141" s="67">
        <f t="shared" si="37"/>
        <v>5.5555555555555552E-2</v>
      </c>
      <c r="W141" s="67">
        <f t="shared" si="38"/>
        <v>0</v>
      </c>
      <c r="X141" s="67">
        <f t="shared" si="39"/>
        <v>0.1111111111111111</v>
      </c>
      <c r="Y141" s="67">
        <f t="shared" si="40"/>
        <v>5.5555555555555552E-2</v>
      </c>
      <c r="Z141" s="67">
        <f t="shared" si="41"/>
        <v>5.5555555555555552E-2</v>
      </c>
      <c r="AA141" s="67">
        <f t="shared" si="42"/>
        <v>0.1111111111111111</v>
      </c>
      <c r="AB141" s="67">
        <f t="shared" si="43"/>
        <v>0.1111111111111111</v>
      </c>
      <c r="AC141" s="67">
        <f t="shared" si="44"/>
        <v>0</v>
      </c>
      <c r="AD141" s="67">
        <f t="shared" si="45"/>
        <v>0</v>
      </c>
      <c r="AE141" s="67">
        <f t="shared" si="46"/>
        <v>0.1111111111111111</v>
      </c>
      <c r="AF141" s="67">
        <f t="shared" si="47"/>
        <v>9.4527885726289253E-4</v>
      </c>
      <c r="AG141" s="67">
        <f>town_establishments[[#This Row],[share of state establishments]]/($AF$250-$AF$249)</f>
        <v>9.7778260633385851E-4</v>
      </c>
      <c r="AH141" s="67">
        <f>town_establishments[[#This Row],[share of state establishments (no residual)]]/(INDEX(regional_establishments[share of state establishments],MATCH(town_establishments[[#This Row],[Regional Planning Commission]],regional_establishments[Regional Planning Commission],0)))</f>
        <v>1.7612524461839533E-2</v>
      </c>
    </row>
    <row r="142" spans="1:34" x14ac:dyDescent="0.25">
      <c r="A142" t="s">
        <v>242</v>
      </c>
      <c r="B142" t="str">
        <f>INDEX([1]!town_population[Regional Planning Commission],MATCH(town_establishments[[#This Row],[Municipality]],[1]!town_population[Municipality],0))</f>
        <v>Northwest Regional Planning Commission</v>
      </c>
      <c r="C142">
        <v>1</v>
      </c>
      <c r="D142">
        <v>1</v>
      </c>
      <c r="L142">
        <v>1</v>
      </c>
      <c r="O142">
        <v>1</v>
      </c>
      <c r="Q142">
        <f t="shared" si="32"/>
        <v>4</v>
      </c>
      <c r="R142" s="67">
        <f t="shared" si="33"/>
        <v>0.25</v>
      </c>
      <c r="S142" s="67">
        <f t="shared" si="34"/>
        <v>0.25</v>
      </c>
      <c r="T142" s="67">
        <f t="shared" si="35"/>
        <v>0</v>
      </c>
      <c r="U142" s="67">
        <f t="shared" si="36"/>
        <v>0</v>
      </c>
      <c r="V142" s="67">
        <f t="shared" si="37"/>
        <v>0</v>
      </c>
      <c r="W142" s="67">
        <f t="shared" si="38"/>
        <v>0</v>
      </c>
      <c r="X142" s="67">
        <f t="shared" si="39"/>
        <v>0</v>
      </c>
      <c r="Y142" s="67">
        <f t="shared" si="40"/>
        <v>0</v>
      </c>
      <c r="Z142" s="67">
        <f t="shared" si="41"/>
        <v>0</v>
      </c>
      <c r="AA142" s="67">
        <f t="shared" si="42"/>
        <v>0.25</v>
      </c>
      <c r="AB142" s="67">
        <f t="shared" si="43"/>
        <v>0</v>
      </c>
      <c r="AC142" s="67">
        <f t="shared" si="44"/>
        <v>0</v>
      </c>
      <c r="AD142" s="67">
        <f t="shared" si="45"/>
        <v>0.25</v>
      </c>
      <c r="AE142" s="67">
        <f t="shared" si="46"/>
        <v>0</v>
      </c>
      <c r="AF142" s="67">
        <f t="shared" si="47"/>
        <v>2.1006196828064278E-4</v>
      </c>
      <c r="AG142" s="67">
        <f>town_establishments[[#This Row],[share of state establishments]]/($AF$250-$AF$249)</f>
        <v>2.172850236297463E-4</v>
      </c>
      <c r="AH142" s="67">
        <f>town_establishments[[#This Row],[share of state establishments (no residual)]]/(INDEX(regional_establishments[share of state establishments],MATCH(town_establishments[[#This Row],[Regional Planning Commission]],regional_establishments[Regional Planning Commission],0)))</f>
        <v>3.9138943248532287E-3</v>
      </c>
    </row>
    <row r="143" spans="1:34" x14ac:dyDescent="0.25">
      <c r="A143" t="s">
        <v>243</v>
      </c>
      <c r="B143" t="str">
        <f>INDEX([1]!town_population[Regional Planning Commission],MATCH(town_establishments[[#This Row],[Municipality]],[1]!town_population[Municipality],0))</f>
        <v>Northwest Regional Planning Commission</v>
      </c>
      <c r="C143">
        <v>2</v>
      </c>
      <c r="D143">
        <v>2</v>
      </c>
      <c r="E143">
        <v>3</v>
      </c>
      <c r="F143">
        <v>1</v>
      </c>
      <c r="H143">
        <v>1</v>
      </c>
      <c r="I143">
        <v>2</v>
      </c>
      <c r="L143">
        <v>1</v>
      </c>
      <c r="M143">
        <v>1</v>
      </c>
      <c r="Q143">
        <f t="shared" si="32"/>
        <v>13</v>
      </c>
      <c r="R143" s="67">
        <f t="shared" si="33"/>
        <v>0.15384615384615385</v>
      </c>
      <c r="S143" s="67">
        <f t="shared" si="34"/>
        <v>0.15384615384615385</v>
      </c>
      <c r="T143" s="67">
        <f t="shared" si="35"/>
        <v>0.23076923076923078</v>
      </c>
      <c r="U143" s="67">
        <f t="shared" si="36"/>
        <v>7.6923076923076927E-2</v>
      </c>
      <c r="V143" s="67">
        <f t="shared" si="37"/>
        <v>0</v>
      </c>
      <c r="W143" s="67">
        <f t="shared" si="38"/>
        <v>7.6923076923076927E-2</v>
      </c>
      <c r="X143" s="67">
        <f t="shared" si="39"/>
        <v>0.15384615384615385</v>
      </c>
      <c r="Y143" s="67">
        <f t="shared" si="40"/>
        <v>0</v>
      </c>
      <c r="Z143" s="67">
        <f t="shared" si="41"/>
        <v>0</v>
      </c>
      <c r="AA143" s="67">
        <f t="shared" si="42"/>
        <v>7.6923076923076927E-2</v>
      </c>
      <c r="AB143" s="67">
        <f t="shared" si="43"/>
        <v>7.6923076923076927E-2</v>
      </c>
      <c r="AC143" s="67">
        <f t="shared" si="44"/>
        <v>0</v>
      </c>
      <c r="AD143" s="67">
        <f t="shared" si="45"/>
        <v>0</v>
      </c>
      <c r="AE143" s="67">
        <f t="shared" si="46"/>
        <v>0</v>
      </c>
      <c r="AF143" s="67">
        <f t="shared" si="47"/>
        <v>6.827013969120891E-4</v>
      </c>
      <c r="AG143" s="67">
        <f>town_establishments[[#This Row],[share of state establishments]]/($AF$250-$AF$249)</f>
        <v>7.0617632679667553E-4</v>
      </c>
      <c r="AH143" s="67">
        <f>town_establishments[[#This Row],[share of state establishments (no residual)]]/(INDEX(regional_establishments[share of state establishments],MATCH(town_establishments[[#This Row],[Regional Planning Commission]],regional_establishments[Regional Planning Commission],0)))</f>
        <v>1.2720156555772995E-2</v>
      </c>
    </row>
    <row r="144" spans="1:34" x14ac:dyDescent="0.25">
      <c r="A144" t="s">
        <v>244</v>
      </c>
      <c r="B144" t="str">
        <f>INDEX([1]!town_population[Regional Planning Commission],MATCH(town_establishments[[#This Row],[Municipality]],[1]!town_population[Municipality],0))</f>
        <v>Northwest Regional Planning Commission</v>
      </c>
      <c r="C144">
        <v>4</v>
      </c>
      <c r="D144">
        <v>7</v>
      </c>
      <c r="E144">
        <v>2</v>
      </c>
      <c r="G144">
        <v>2</v>
      </c>
      <c r="H144">
        <v>1</v>
      </c>
      <c r="I144">
        <v>3</v>
      </c>
      <c r="K144">
        <v>3</v>
      </c>
      <c r="L144">
        <v>1</v>
      </c>
      <c r="M144">
        <v>3</v>
      </c>
      <c r="N144">
        <v>1</v>
      </c>
      <c r="O144">
        <v>2</v>
      </c>
      <c r="P144">
        <v>6</v>
      </c>
      <c r="Q144">
        <f t="shared" si="32"/>
        <v>35</v>
      </c>
      <c r="R144" s="67">
        <f t="shared" si="33"/>
        <v>0.11428571428571428</v>
      </c>
      <c r="S144" s="67">
        <f t="shared" si="34"/>
        <v>0.2</v>
      </c>
      <c r="T144" s="67">
        <f t="shared" si="35"/>
        <v>5.7142857142857141E-2</v>
      </c>
      <c r="U144" s="67">
        <f t="shared" si="36"/>
        <v>0</v>
      </c>
      <c r="V144" s="67">
        <f t="shared" si="37"/>
        <v>5.7142857142857141E-2</v>
      </c>
      <c r="W144" s="67">
        <f t="shared" si="38"/>
        <v>2.8571428571428571E-2</v>
      </c>
      <c r="X144" s="67">
        <f t="shared" si="39"/>
        <v>8.5714285714285715E-2</v>
      </c>
      <c r="Y144" s="67">
        <f t="shared" si="40"/>
        <v>0</v>
      </c>
      <c r="Z144" s="67">
        <f t="shared" si="41"/>
        <v>8.5714285714285715E-2</v>
      </c>
      <c r="AA144" s="67">
        <f t="shared" si="42"/>
        <v>2.8571428571428571E-2</v>
      </c>
      <c r="AB144" s="67">
        <f t="shared" si="43"/>
        <v>8.5714285714285715E-2</v>
      </c>
      <c r="AC144" s="67">
        <f t="shared" si="44"/>
        <v>2.8571428571428571E-2</v>
      </c>
      <c r="AD144" s="67">
        <f t="shared" si="45"/>
        <v>5.7142857142857141E-2</v>
      </c>
      <c r="AE144" s="67">
        <f t="shared" si="46"/>
        <v>0.17142857142857143</v>
      </c>
      <c r="AF144" s="67">
        <f t="shared" si="47"/>
        <v>1.8380422224556245E-3</v>
      </c>
      <c r="AG144" s="67">
        <f>town_establishments[[#This Row],[share of state establishments]]/($AF$250-$AF$249)</f>
        <v>1.9012439567602803E-3</v>
      </c>
      <c r="AH144" s="67">
        <f>town_establishments[[#This Row],[share of state establishments (no residual)]]/(INDEX(regional_establishments[share of state establishments],MATCH(town_establishments[[#This Row],[Regional Planning Commission]],regional_establishments[Regional Planning Commission],0)))</f>
        <v>3.4246575342465758E-2</v>
      </c>
    </row>
    <row r="145" spans="1:34" x14ac:dyDescent="0.25">
      <c r="A145" t="s">
        <v>245</v>
      </c>
      <c r="B145" t="str">
        <f>INDEX([1]!town_population[Regional Planning Commission],MATCH(town_establishments[[#This Row],[Municipality]],[1]!town_population[Municipality],0))</f>
        <v>Northwest Regional Planning Commission</v>
      </c>
      <c r="C145">
        <v>5</v>
      </c>
      <c r="D145">
        <v>4</v>
      </c>
      <c r="E145">
        <v>1</v>
      </c>
      <c r="G145">
        <v>2</v>
      </c>
      <c r="H145">
        <v>3</v>
      </c>
      <c r="I145">
        <v>9</v>
      </c>
      <c r="K145">
        <v>5</v>
      </c>
      <c r="L145">
        <v>1</v>
      </c>
      <c r="M145">
        <v>2</v>
      </c>
      <c r="N145">
        <v>1</v>
      </c>
      <c r="O145">
        <v>4</v>
      </c>
      <c r="P145">
        <v>6</v>
      </c>
      <c r="Q145">
        <f t="shared" si="32"/>
        <v>43</v>
      </c>
      <c r="R145" s="67">
        <f t="shared" si="33"/>
        <v>0.11627906976744186</v>
      </c>
      <c r="S145" s="67">
        <f t="shared" si="34"/>
        <v>9.3023255813953487E-2</v>
      </c>
      <c r="T145" s="67">
        <f t="shared" si="35"/>
        <v>2.3255813953488372E-2</v>
      </c>
      <c r="U145" s="67">
        <f t="shared" si="36"/>
        <v>0</v>
      </c>
      <c r="V145" s="67">
        <f t="shared" si="37"/>
        <v>4.6511627906976744E-2</v>
      </c>
      <c r="W145" s="67">
        <f t="shared" si="38"/>
        <v>6.9767441860465115E-2</v>
      </c>
      <c r="X145" s="67">
        <f t="shared" si="39"/>
        <v>0.20930232558139536</v>
      </c>
      <c r="Y145" s="67">
        <f t="shared" si="40"/>
        <v>0</v>
      </c>
      <c r="Z145" s="67">
        <f t="shared" si="41"/>
        <v>0.11627906976744186</v>
      </c>
      <c r="AA145" s="67">
        <f t="shared" si="42"/>
        <v>2.3255813953488372E-2</v>
      </c>
      <c r="AB145" s="67">
        <f t="shared" si="43"/>
        <v>4.6511627906976744E-2</v>
      </c>
      <c r="AC145" s="67">
        <f t="shared" si="44"/>
        <v>2.3255813953488372E-2</v>
      </c>
      <c r="AD145" s="67">
        <f t="shared" si="45"/>
        <v>9.3023255813953487E-2</v>
      </c>
      <c r="AE145" s="67">
        <f t="shared" si="46"/>
        <v>0.13953488372093023</v>
      </c>
      <c r="AF145" s="67">
        <f t="shared" si="47"/>
        <v>2.2581661590169101E-3</v>
      </c>
      <c r="AG145" s="67">
        <f>town_establishments[[#This Row],[share of state establishments]]/($AF$250-$AF$249)</f>
        <v>2.3358140040197731E-3</v>
      </c>
      <c r="AH145" s="67">
        <f>town_establishments[[#This Row],[share of state establishments (no residual)]]/(INDEX(regional_establishments[share of state establishments],MATCH(town_establishments[[#This Row],[Regional Planning Commission]],regional_establishments[Regional Planning Commission],0)))</f>
        <v>4.2074363992172216E-2</v>
      </c>
    </row>
    <row r="146" spans="1:34" x14ac:dyDescent="0.25">
      <c r="A146" t="s">
        <v>246</v>
      </c>
      <c r="B146" t="str">
        <f>INDEX([1]!town_population[Regional Planning Commission],MATCH(town_establishments[[#This Row],[Municipality]],[1]!town_population[Municipality],0))</f>
        <v>Northwest Regional Planning Commission</v>
      </c>
      <c r="C146">
        <v>2</v>
      </c>
      <c r="D146">
        <v>4</v>
      </c>
      <c r="E146">
        <v>4</v>
      </c>
      <c r="I146">
        <v>2</v>
      </c>
      <c r="K146">
        <v>4</v>
      </c>
      <c r="L146">
        <v>1</v>
      </c>
      <c r="M146">
        <v>3</v>
      </c>
      <c r="O146">
        <v>2</v>
      </c>
      <c r="P146">
        <v>1</v>
      </c>
      <c r="Q146">
        <f t="shared" si="32"/>
        <v>23</v>
      </c>
      <c r="R146" s="67">
        <f t="shared" si="33"/>
        <v>8.6956521739130432E-2</v>
      </c>
      <c r="S146" s="67">
        <f t="shared" si="34"/>
        <v>0.17391304347826086</v>
      </c>
      <c r="T146" s="67">
        <f t="shared" si="35"/>
        <v>0.17391304347826086</v>
      </c>
      <c r="U146" s="67">
        <f t="shared" si="36"/>
        <v>0</v>
      </c>
      <c r="V146" s="67">
        <f t="shared" si="37"/>
        <v>0</v>
      </c>
      <c r="W146" s="67">
        <f t="shared" si="38"/>
        <v>0</v>
      </c>
      <c r="X146" s="67">
        <f t="shared" si="39"/>
        <v>8.6956521739130432E-2</v>
      </c>
      <c r="Y146" s="67">
        <f t="shared" si="40"/>
        <v>0</v>
      </c>
      <c r="Z146" s="67">
        <f t="shared" si="41"/>
        <v>0.17391304347826086</v>
      </c>
      <c r="AA146" s="67">
        <f t="shared" si="42"/>
        <v>4.3478260869565216E-2</v>
      </c>
      <c r="AB146" s="67">
        <f t="shared" si="43"/>
        <v>0.13043478260869565</v>
      </c>
      <c r="AC146" s="67">
        <f t="shared" si="44"/>
        <v>0</v>
      </c>
      <c r="AD146" s="67">
        <f t="shared" si="45"/>
        <v>8.6956521739130432E-2</v>
      </c>
      <c r="AE146" s="67">
        <f t="shared" si="46"/>
        <v>4.3478260869565216E-2</v>
      </c>
      <c r="AF146" s="67">
        <f t="shared" si="47"/>
        <v>1.207856317613696E-3</v>
      </c>
      <c r="AG146" s="67">
        <f>town_establishments[[#This Row],[share of state establishments]]/($AF$250-$AF$249)</f>
        <v>1.2493888858710412E-3</v>
      </c>
      <c r="AH146" s="67">
        <f>town_establishments[[#This Row],[share of state establishments (no residual)]]/(INDEX(regional_establishments[share of state establishments],MATCH(town_establishments[[#This Row],[Regional Planning Commission]],regional_establishments[Regional Planning Commission],0)))</f>
        <v>2.2504892367906065E-2</v>
      </c>
    </row>
    <row r="147" spans="1:34" x14ac:dyDescent="0.25">
      <c r="A147" t="s">
        <v>247</v>
      </c>
      <c r="B147" t="str">
        <f>INDEX([1]!town_population[Regional Planning Commission],MATCH(town_establishments[[#This Row],[Municipality]],[1]!town_population[Municipality],0))</f>
        <v>Northwest Regional Planning Commission</v>
      </c>
      <c r="D147">
        <v>2</v>
      </c>
      <c r="E147">
        <v>1</v>
      </c>
      <c r="G147">
        <v>1</v>
      </c>
      <c r="K147">
        <v>2</v>
      </c>
      <c r="L147">
        <v>1</v>
      </c>
      <c r="O147">
        <v>3</v>
      </c>
      <c r="P147">
        <v>1</v>
      </c>
      <c r="Q147">
        <f t="shared" si="32"/>
        <v>11</v>
      </c>
      <c r="R147" s="67">
        <f t="shared" si="33"/>
        <v>0</v>
      </c>
      <c r="S147" s="67">
        <f t="shared" si="34"/>
        <v>0.18181818181818182</v>
      </c>
      <c r="T147" s="67">
        <f t="shared" si="35"/>
        <v>9.0909090909090912E-2</v>
      </c>
      <c r="U147" s="67">
        <f t="shared" si="36"/>
        <v>0</v>
      </c>
      <c r="V147" s="67">
        <f t="shared" si="37"/>
        <v>9.0909090909090912E-2</v>
      </c>
      <c r="W147" s="67">
        <f t="shared" si="38"/>
        <v>0</v>
      </c>
      <c r="X147" s="67">
        <f t="shared" si="39"/>
        <v>0</v>
      </c>
      <c r="Y147" s="67">
        <f t="shared" si="40"/>
        <v>0</v>
      </c>
      <c r="Z147" s="67">
        <f t="shared" si="41"/>
        <v>0.18181818181818182</v>
      </c>
      <c r="AA147" s="67">
        <f t="shared" si="42"/>
        <v>9.0909090909090912E-2</v>
      </c>
      <c r="AB147" s="67">
        <f t="shared" si="43"/>
        <v>0</v>
      </c>
      <c r="AC147" s="67">
        <f t="shared" si="44"/>
        <v>0</v>
      </c>
      <c r="AD147" s="67">
        <f t="shared" si="45"/>
        <v>0.27272727272727271</v>
      </c>
      <c r="AE147" s="67">
        <f t="shared" si="46"/>
        <v>9.0909090909090912E-2</v>
      </c>
      <c r="AF147" s="67">
        <f t="shared" si="47"/>
        <v>5.7767041277176768E-4</v>
      </c>
      <c r="AG147" s="67">
        <f>town_establishments[[#This Row],[share of state establishments]]/($AF$250-$AF$249)</f>
        <v>5.9753381498180234E-4</v>
      </c>
      <c r="AH147" s="67">
        <f>town_establishments[[#This Row],[share of state establishments (no residual)]]/(INDEX(regional_establishments[share of state establishments],MATCH(town_establishments[[#This Row],[Regional Planning Commission]],regional_establishments[Regional Planning Commission],0)))</f>
        <v>1.0763209393346381E-2</v>
      </c>
    </row>
    <row r="148" spans="1:34" x14ac:dyDescent="0.25">
      <c r="A148" t="s">
        <v>248</v>
      </c>
      <c r="B148" t="str">
        <f>INDEX([1]!town_population[Regional Planning Commission],MATCH(town_establishments[[#This Row],[Municipality]],[1]!town_population[Municipality],0))</f>
        <v>Northwest Regional Planning Commission</v>
      </c>
      <c r="C148">
        <v>3</v>
      </c>
      <c r="D148">
        <v>2</v>
      </c>
      <c r="E148">
        <v>2</v>
      </c>
      <c r="H148">
        <v>1</v>
      </c>
      <c r="I148">
        <v>7</v>
      </c>
      <c r="K148">
        <v>2</v>
      </c>
      <c r="L148">
        <v>1</v>
      </c>
      <c r="O148">
        <v>7</v>
      </c>
      <c r="P148">
        <v>1</v>
      </c>
      <c r="Q148">
        <f t="shared" si="32"/>
        <v>26</v>
      </c>
      <c r="R148" s="67">
        <f t="shared" si="33"/>
        <v>0.11538461538461539</v>
      </c>
      <c r="S148" s="67">
        <f t="shared" si="34"/>
        <v>7.6923076923076927E-2</v>
      </c>
      <c r="T148" s="67">
        <f t="shared" si="35"/>
        <v>7.6923076923076927E-2</v>
      </c>
      <c r="U148" s="67">
        <f t="shared" si="36"/>
        <v>0</v>
      </c>
      <c r="V148" s="67">
        <f t="shared" si="37"/>
        <v>0</v>
      </c>
      <c r="W148" s="67">
        <f t="shared" si="38"/>
        <v>3.8461538461538464E-2</v>
      </c>
      <c r="X148" s="67">
        <f t="shared" si="39"/>
        <v>0.26923076923076922</v>
      </c>
      <c r="Y148" s="67">
        <f t="shared" si="40"/>
        <v>0</v>
      </c>
      <c r="Z148" s="67">
        <f t="shared" si="41"/>
        <v>7.6923076923076927E-2</v>
      </c>
      <c r="AA148" s="67">
        <f t="shared" si="42"/>
        <v>3.8461538461538464E-2</v>
      </c>
      <c r="AB148" s="67">
        <f t="shared" si="43"/>
        <v>0</v>
      </c>
      <c r="AC148" s="67">
        <f t="shared" si="44"/>
        <v>0</v>
      </c>
      <c r="AD148" s="67">
        <f t="shared" si="45"/>
        <v>0.26923076923076922</v>
      </c>
      <c r="AE148" s="67">
        <f t="shared" si="46"/>
        <v>3.8461538461538464E-2</v>
      </c>
      <c r="AF148" s="67">
        <f t="shared" si="47"/>
        <v>1.3654027938241782E-3</v>
      </c>
      <c r="AG148" s="67">
        <f>town_establishments[[#This Row],[share of state establishments]]/($AF$250-$AF$249)</f>
        <v>1.4123526535933511E-3</v>
      </c>
      <c r="AH148" s="67">
        <f>town_establishments[[#This Row],[share of state establishments (no residual)]]/(INDEX(regional_establishments[share of state establishments],MATCH(town_establishments[[#This Row],[Regional Planning Commission]],regional_establishments[Regional Planning Commission],0)))</f>
        <v>2.544031311154599E-2</v>
      </c>
    </row>
    <row r="149" spans="1:34" x14ac:dyDescent="0.25">
      <c r="A149" t="s">
        <v>249</v>
      </c>
      <c r="B149" t="str">
        <f>INDEX([1]!town_population[Regional Planning Commission],MATCH(town_establishments[[#This Row],[Municipality]],[1]!town_population[Municipality],0))</f>
        <v>Northwest Regional Planning Commission</v>
      </c>
      <c r="C149">
        <v>2</v>
      </c>
      <c r="D149">
        <v>3</v>
      </c>
      <c r="E149">
        <v>1</v>
      </c>
      <c r="G149">
        <v>1</v>
      </c>
      <c r="H149">
        <v>0</v>
      </c>
      <c r="I149">
        <v>5</v>
      </c>
      <c r="K149">
        <v>4</v>
      </c>
      <c r="L149">
        <v>2</v>
      </c>
      <c r="N149">
        <v>2</v>
      </c>
      <c r="O149">
        <v>4</v>
      </c>
      <c r="P149">
        <v>2</v>
      </c>
      <c r="Q149">
        <f t="shared" si="32"/>
        <v>26</v>
      </c>
      <c r="R149" s="67">
        <f t="shared" si="33"/>
        <v>7.6923076923076927E-2</v>
      </c>
      <c r="S149" s="67">
        <f t="shared" si="34"/>
        <v>0.11538461538461539</v>
      </c>
      <c r="T149" s="67">
        <f t="shared" si="35"/>
        <v>3.8461538461538464E-2</v>
      </c>
      <c r="U149" s="67">
        <f t="shared" si="36"/>
        <v>0</v>
      </c>
      <c r="V149" s="67">
        <f t="shared" si="37"/>
        <v>3.8461538461538464E-2</v>
      </c>
      <c r="W149" s="67">
        <f t="shared" si="38"/>
        <v>0</v>
      </c>
      <c r="X149" s="67">
        <f t="shared" si="39"/>
        <v>0.19230769230769232</v>
      </c>
      <c r="Y149" s="67">
        <f t="shared" si="40"/>
        <v>0</v>
      </c>
      <c r="Z149" s="67">
        <f t="shared" si="41"/>
        <v>0.15384615384615385</v>
      </c>
      <c r="AA149" s="67">
        <f t="shared" si="42"/>
        <v>7.6923076923076927E-2</v>
      </c>
      <c r="AB149" s="67">
        <f t="shared" si="43"/>
        <v>0</v>
      </c>
      <c r="AC149" s="67">
        <f t="shared" si="44"/>
        <v>7.6923076923076927E-2</v>
      </c>
      <c r="AD149" s="67">
        <f t="shared" si="45"/>
        <v>0.15384615384615385</v>
      </c>
      <c r="AE149" s="67">
        <f t="shared" si="46"/>
        <v>7.6923076923076927E-2</v>
      </c>
      <c r="AF149" s="67">
        <f t="shared" si="47"/>
        <v>1.3654027938241782E-3</v>
      </c>
      <c r="AG149" s="67">
        <f>town_establishments[[#This Row],[share of state establishments]]/($AF$250-$AF$249)</f>
        <v>1.4123526535933511E-3</v>
      </c>
      <c r="AH149" s="67">
        <f>town_establishments[[#This Row],[share of state establishments (no residual)]]/(INDEX(regional_establishments[share of state establishments],MATCH(town_establishments[[#This Row],[Regional Planning Commission]],regional_establishments[Regional Planning Commission],0)))</f>
        <v>2.544031311154599E-2</v>
      </c>
    </row>
    <row r="150" spans="1:34" x14ac:dyDescent="0.25">
      <c r="A150" t="s">
        <v>250</v>
      </c>
      <c r="B150" t="str">
        <f>INDEX([1]!town_population[Regional Planning Commission],MATCH(town_establishments[[#This Row],[Municipality]],[1]!town_population[Municipality],0))</f>
        <v>Northwest Regional Planning Commission</v>
      </c>
      <c r="D150">
        <v>6</v>
      </c>
      <c r="E150">
        <v>2</v>
      </c>
      <c r="F150">
        <v>1</v>
      </c>
      <c r="G150">
        <v>2</v>
      </c>
      <c r="H150">
        <v>1</v>
      </c>
      <c r="I150">
        <v>1</v>
      </c>
      <c r="K150">
        <v>2</v>
      </c>
      <c r="L150">
        <v>2</v>
      </c>
      <c r="M150">
        <v>3</v>
      </c>
      <c r="N150">
        <v>1</v>
      </c>
      <c r="O150">
        <v>2</v>
      </c>
      <c r="P150">
        <v>2</v>
      </c>
      <c r="Q150">
        <f t="shared" si="32"/>
        <v>25</v>
      </c>
      <c r="R150" s="67">
        <f t="shared" si="33"/>
        <v>0</v>
      </c>
      <c r="S150" s="67">
        <f t="shared" si="34"/>
        <v>0.24</v>
      </c>
      <c r="T150" s="67">
        <f t="shared" si="35"/>
        <v>0.08</v>
      </c>
      <c r="U150" s="67">
        <f t="shared" si="36"/>
        <v>0.04</v>
      </c>
      <c r="V150" s="67">
        <f t="shared" si="37"/>
        <v>0.08</v>
      </c>
      <c r="W150" s="67">
        <f t="shared" si="38"/>
        <v>0.04</v>
      </c>
      <c r="X150" s="67">
        <f t="shared" si="39"/>
        <v>0.04</v>
      </c>
      <c r="Y150" s="67">
        <f t="shared" si="40"/>
        <v>0</v>
      </c>
      <c r="Z150" s="67">
        <f t="shared" si="41"/>
        <v>0.08</v>
      </c>
      <c r="AA150" s="67">
        <f t="shared" si="42"/>
        <v>0.08</v>
      </c>
      <c r="AB150" s="67">
        <f t="shared" si="43"/>
        <v>0.12</v>
      </c>
      <c r="AC150" s="67">
        <f t="shared" si="44"/>
        <v>0.04</v>
      </c>
      <c r="AD150" s="67">
        <f t="shared" si="45"/>
        <v>0.08</v>
      </c>
      <c r="AE150" s="67">
        <f t="shared" si="46"/>
        <v>0.08</v>
      </c>
      <c r="AF150" s="67">
        <f t="shared" si="47"/>
        <v>1.3128873017540174E-3</v>
      </c>
      <c r="AG150" s="67">
        <f>town_establishments[[#This Row],[share of state establishments]]/($AF$250-$AF$249)</f>
        <v>1.3580313976859144E-3</v>
      </c>
      <c r="AH150" s="67">
        <f>town_establishments[[#This Row],[share of state establishments (no residual)]]/(INDEX(regional_establishments[share of state establishments],MATCH(town_establishments[[#This Row],[Regional Planning Commission]],regional_establishments[Regional Planning Commission],0)))</f>
        <v>2.446183953033268E-2</v>
      </c>
    </row>
    <row r="151" spans="1:34" x14ac:dyDescent="0.25">
      <c r="A151" t="s">
        <v>251</v>
      </c>
      <c r="B151" t="str">
        <f>INDEX([1]!town_population[Regional Planning Commission],MATCH(town_establishments[[#This Row],[Municipality]],[1]!town_population[Municipality],0))</f>
        <v>Northwest Regional Planning Commission</v>
      </c>
      <c r="C151">
        <v>16</v>
      </c>
      <c r="D151">
        <v>62</v>
      </c>
      <c r="E151">
        <v>9</v>
      </c>
      <c r="F151">
        <v>9</v>
      </c>
      <c r="G151">
        <v>20</v>
      </c>
      <c r="H151">
        <v>10</v>
      </c>
      <c r="I151">
        <v>44</v>
      </c>
      <c r="J151">
        <v>1</v>
      </c>
      <c r="K151">
        <v>35</v>
      </c>
      <c r="L151">
        <v>1</v>
      </c>
      <c r="M151">
        <v>57</v>
      </c>
      <c r="N151">
        <v>2</v>
      </c>
      <c r="O151">
        <v>32</v>
      </c>
      <c r="P151">
        <v>27</v>
      </c>
      <c r="Q151">
        <f t="shared" si="32"/>
        <v>325</v>
      </c>
      <c r="R151" s="67">
        <f t="shared" si="33"/>
        <v>4.9230769230769231E-2</v>
      </c>
      <c r="S151" s="67">
        <f t="shared" si="34"/>
        <v>0.19076923076923077</v>
      </c>
      <c r="T151" s="67">
        <f t="shared" si="35"/>
        <v>2.7692307692307693E-2</v>
      </c>
      <c r="U151" s="67">
        <f t="shared" si="36"/>
        <v>2.7692307692307693E-2</v>
      </c>
      <c r="V151" s="67">
        <f t="shared" si="37"/>
        <v>6.1538461538461542E-2</v>
      </c>
      <c r="W151" s="67">
        <f t="shared" si="38"/>
        <v>3.0769230769230771E-2</v>
      </c>
      <c r="X151" s="67">
        <f t="shared" si="39"/>
        <v>0.13538461538461538</v>
      </c>
      <c r="Y151" s="67">
        <f t="shared" si="40"/>
        <v>3.0769230769230769E-3</v>
      </c>
      <c r="Z151" s="67">
        <f t="shared" si="41"/>
        <v>0.1076923076923077</v>
      </c>
      <c r="AA151" s="67">
        <f t="shared" si="42"/>
        <v>3.0769230769230769E-3</v>
      </c>
      <c r="AB151" s="67">
        <f t="shared" si="43"/>
        <v>0.17538461538461539</v>
      </c>
      <c r="AC151" s="67">
        <f t="shared" si="44"/>
        <v>6.1538461538461538E-3</v>
      </c>
      <c r="AD151" s="67">
        <f t="shared" si="45"/>
        <v>9.8461538461538461E-2</v>
      </c>
      <c r="AE151" s="67">
        <f t="shared" si="46"/>
        <v>8.3076923076923076E-2</v>
      </c>
      <c r="AF151" s="67">
        <f t="shared" si="47"/>
        <v>1.7067534922802226E-2</v>
      </c>
      <c r="AG151" s="67">
        <f>town_establishments[[#This Row],[share of state establishments]]/($AF$250-$AF$249)</f>
        <v>1.7654408169916886E-2</v>
      </c>
      <c r="AH151" s="67">
        <f>town_establishments[[#This Row],[share of state establishments (no residual)]]/(INDEX(regional_establishments[share of state establishments],MATCH(town_establishments[[#This Row],[Regional Planning Commission]],regional_establishments[Regional Planning Commission],0)))</f>
        <v>0.31800391389432486</v>
      </c>
    </row>
    <row r="152" spans="1:34" x14ac:dyDescent="0.25">
      <c r="A152" t="s">
        <v>252</v>
      </c>
      <c r="B152" t="str">
        <f>INDEX([1]!town_population[Regional Planning Commission],MATCH(town_establishments[[#This Row],[Municipality]],[1]!town_population[Municipality],0))</f>
        <v>Northwest Regional Planning Commission</v>
      </c>
      <c r="C152">
        <v>5</v>
      </c>
      <c r="D152">
        <v>24</v>
      </c>
      <c r="E152">
        <v>1</v>
      </c>
      <c r="G152">
        <v>6</v>
      </c>
      <c r="H152">
        <v>4</v>
      </c>
      <c r="I152">
        <v>9</v>
      </c>
      <c r="K152">
        <v>4</v>
      </c>
      <c r="L152">
        <v>3</v>
      </c>
      <c r="M152">
        <v>13</v>
      </c>
      <c r="O152">
        <v>12</v>
      </c>
      <c r="P152">
        <v>14</v>
      </c>
      <c r="Q152">
        <f t="shared" si="32"/>
        <v>95</v>
      </c>
      <c r="R152" s="67">
        <f t="shared" si="33"/>
        <v>5.2631578947368418E-2</v>
      </c>
      <c r="S152" s="67">
        <f t="shared" si="34"/>
        <v>0.25263157894736843</v>
      </c>
      <c r="T152" s="67">
        <f t="shared" si="35"/>
        <v>1.0526315789473684E-2</v>
      </c>
      <c r="U152" s="67">
        <f t="shared" si="36"/>
        <v>0</v>
      </c>
      <c r="V152" s="67">
        <f t="shared" si="37"/>
        <v>6.3157894736842107E-2</v>
      </c>
      <c r="W152" s="67">
        <f t="shared" si="38"/>
        <v>4.2105263157894736E-2</v>
      </c>
      <c r="X152" s="67">
        <f t="shared" si="39"/>
        <v>9.4736842105263161E-2</v>
      </c>
      <c r="Y152" s="67">
        <f t="shared" si="40"/>
        <v>0</v>
      </c>
      <c r="Z152" s="67">
        <f t="shared" si="41"/>
        <v>4.2105263157894736E-2</v>
      </c>
      <c r="AA152" s="67">
        <f t="shared" si="42"/>
        <v>3.1578947368421054E-2</v>
      </c>
      <c r="AB152" s="67">
        <f t="shared" si="43"/>
        <v>0.1368421052631579</v>
      </c>
      <c r="AC152" s="67">
        <f t="shared" si="44"/>
        <v>0</v>
      </c>
      <c r="AD152" s="67">
        <f t="shared" si="45"/>
        <v>0.12631578947368421</v>
      </c>
      <c r="AE152" s="67">
        <f t="shared" si="46"/>
        <v>0.14736842105263157</v>
      </c>
      <c r="AF152" s="67">
        <f t="shared" si="47"/>
        <v>4.9889717466652661E-3</v>
      </c>
      <c r="AG152" s="67">
        <f>town_establishments[[#This Row],[share of state establishments]]/($AF$250-$AF$249)</f>
        <v>5.1605193112064752E-3</v>
      </c>
      <c r="AH152" s="67">
        <f>town_establishments[[#This Row],[share of state establishments (no residual)]]/(INDEX(regional_establishments[share of state establishments],MATCH(town_establishments[[#This Row],[Regional Planning Commission]],regional_establishments[Regional Planning Commission],0)))</f>
        <v>9.2954990215264197E-2</v>
      </c>
    </row>
    <row r="153" spans="1:34" x14ac:dyDescent="0.25">
      <c r="A153" t="s">
        <v>253</v>
      </c>
      <c r="B153" t="str">
        <f>INDEX([1]!town_population[Regional Planning Commission],MATCH(town_establishments[[#This Row],[Municipality]],[1]!town_population[Municipality],0))</f>
        <v>Northwest Regional Planning Commission</v>
      </c>
      <c r="C153">
        <v>2</v>
      </c>
      <c r="D153">
        <v>4</v>
      </c>
      <c r="E153">
        <v>1</v>
      </c>
      <c r="I153">
        <v>0</v>
      </c>
      <c r="K153">
        <v>1</v>
      </c>
      <c r="L153">
        <v>1</v>
      </c>
      <c r="O153">
        <v>2</v>
      </c>
      <c r="P153">
        <v>3</v>
      </c>
      <c r="Q153">
        <f t="shared" si="32"/>
        <v>14</v>
      </c>
      <c r="R153" s="67">
        <f t="shared" si="33"/>
        <v>0.14285714285714285</v>
      </c>
      <c r="S153" s="67">
        <f t="shared" si="34"/>
        <v>0.2857142857142857</v>
      </c>
      <c r="T153" s="67">
        <f t="shared" si="35"/>
        <v>7.1428571428571425E-2</v>
      </c>
      <c r="U153" s="67">
        <f t="shared" si="36"/>
        <v>0</v>
      </c>
      <c r="V153" s="67">
        <f t="shared" si="37"/>
        <v>0</v>
      </c>
      <c r="W153" s="67">
        <f t="shared" si="38"/>
        <v>0</v>
      </c>
      <c r="X153" s="67">
        <f t="shared" si="39"/>
        <v>0</v>
      </c>
      <c r="Y153" s="67">
        <f t="shared" si="40"/>
        <v>0</v>
      </c>
      <c r="Z153" s="67">
        <f t="shared" si="41"/>
        <v>7.1428571428571425E-2</v>
      </c>
      <c r="AA153" s="67">
        <f t="shared" si="42"/>
        <v>7.1428571428571425E-2</v>
      </c>
      <c r="AB153" s="67">
        <f t="shared" si="43"/>
        <v>0</v>
      </c>
      <c r="AC153" s="67">
        <f t="shared" si="44"/>
        <v>0</v>
      </c>
      <c r="AD153" s="67">
        <f t="shared" si="45"/>
        <v>0.14285714285714285</v>
      </c>
      <c r="AE153" s="67">
        <f t="shared" si="46"/>
        <v>0.21428571428571427</v>
      </c>
      <c r="AF153" s="67">
        <f t="shared" si="47"/>
        <v>7.3521688898224981E-4</v>
      </c>
      <c r="AG153" s="67">
        <f>town_establishments[[#This Row],[share of state establishments]]/($AF$250-$AF$249)</f>
        <v>7.6049758270411213E-4</v>
      </c>
      <c r="AH153" s="67">
        <f>town_establishments[[#This Row],[share of state establishments (no residual)]]/(INDEX(regional_establishments[share of state establishments],MATCH(town_establishments[[#This Row],[Regional Planning Commission]],regional_establishments[Regional Planning Commission],0)))</f>
        <v>1.3698630136986302E-2</v>
      </c>
    </row>
    <row r="154" spans="1:34" x14ac:dyDescent="0.25">
      <c r="A154" t="s">
        <v>254</v>
      </c>
      <c r="B154" t="str">
        <f>INDEX([1]!town_population[Regional Planning Commission],MATCH(town_establishments[[#This Row],[Municipality]],[1]!town_population[Municipality],0))</f>
        <v>Northwest Regional Planning Commission</v>
      </c>
      <c r="C154">
        <v>1</v>
      </c>
      <c r="D154">
        <v>11</v>
      </c>
      <c r="E154">
        <v>1</v>
      </c>
      <c r="F154">
        <v>3</v>
      </c>
      <c r="G154">
        <v>2</v>
      </c>
      <c r="H154">
        <v>3</v>
      </c>
      <c r="I154">
        <v>7</v>
      </c>
      <c r="K154">
        <v>1</v>
      </c>
      <c r="L154">
        <v>1</v>
      </c>
      <c r="M154">
        <v>2</v>
      </c>
      <c r="O154">
        <v>9</v>
      </c>
      <c r="P154">
        <v>3</v>
      </c>
      <c r="Q154">
        <f t="shared" si="32"/>
        <v>44</v>
      </c>
      <c r="R154" s="67">
        <f t="shared" si="33"/>
        <v>2.2727272727272728E-2</v>
      </c>
      <c r="S154" s="67">
        <f t="shared" si="34"/>
        <v>0.25</v>
      </c>
      <c r="T154" s="67">
        <f t="shared" si="35"/>
        <v>2.2727272727272728E-2</v>
      </c>
      <c r="U154" s="67">
        <f t="shared" si="36"/>
        <v>6.8181818181818177E-2</v>
      </c>
      <c r="V154" s="67">
        <f t="shared" si="37"/>
        <v>4.5454545454545456E-2</v>
      </c>
      <c r="W154" s="67">
        <f t="shared" si="38"/>
        <v>6.8181818181818177E-2</v>
      </c>
      <c r="X154" s="67">
        <f t="shared" si="39"/>
        <v>0.15909090909090909</v>
      </c>
      <c r="Y154" s="67">
        <f t="shared" si="40"/>
        <v>0</v>
      </c>
      <c r="Z154" s="67">
        <f t="shared" si="41"/>
        <v>2.2727272727272728E-2</v>
      </c>
      <c r="AA154" s="67">
        <f t="shared" si="42"/>
        <v>2.2727272727272728E-2</v>
      </c>
      <c r="AB154" s="67">
        <f t="shared" si="43"/>
        <v>4.5454545454545456E-2</v>
      </c>
      <c r="AC154" s="67">
        <f t="shared" si="44"/>
        <v>0</v>
      </c>
      <c r="AD154" s="67">
        <f t="shared" si="45"/>
        <v>0.20454545454545456</v>
      </c>
      <c r="AE154" s="67">
        <f t="shared" si="46"/>
        <v>6.8181818181818177E-2</v>
      </c>
      <c r="AF154" s="67">
        <f t="shared" si="47"/>
        <v>2.3106816510870707E-3</v>
      </c>
      <c r="AG154" s="67">
        <f>town_establishments[[#This Row],[share of state establishments]]/($AF$250-$AF$249)</f>
        <v>2.3901352599272094E-3</v>
      </c>
      <c r="AH154" s="67">
        <f>town_establishments[[#This Row],[share of state establishments (no residual)]]/(INDEX(regional_establishments[share of state establishments],MATCH(town_establishments[[#This Row],[Regional Planning Commission]],regional_establishments[Regional Planning Commission],0)))</f>
        <v>4.3052837573385523E-2</v>
      </c>
    </row>
    <row r="155" spans="1:34" x14ac:dyDescent="0.25">
      <c r="A155" t="s">
        <v>255</v>
      </c>
      <c r="B155" t="str">
        <f>INDEX([1]!town_population[Regional Planning Commission],MATCH(town_establishments[[#This Row],[Municipality]],[1]!town_population[Municipality],0))</f>
        <v>Northwest Regional Planning Commission</v>
      </c>
      <c r="C155">
        <v>11</v>
      </c>
      <c r="D155">
        <v>26</v>
      </c>
      <c r="E155">
        <v>11</v>
      </c>
      <c r="G155">
        <v>7</v>
      </c>
      <c r="H155">
        <v>1</v>
      </c>
      <c r="I155">
        <v>13</v>
      </c>
      <c r="J155">
        <v>0</v>
      </c>
      <c r="K155">
        <v>14</v>
      </c>
      <c r="L155">
        <v>2</v>
      </c>
      <c r="M155">
        <v>10</v>
      </c>
      <c r="N155">
        <v>2</v>
      </c>
      <c r="O155">
        <v>12</v>
      </c>
      <c r="P155">
        <v>12</v>
      </c>
      <c r="Q155">
        <f t="shared" si="32"/>
        <v>121</v>
      </c>
      <c r="R155" s="67">
        <f t="shared" si="33"/>
        <v>9.0909090909090912E-2</v>
      </c>
      <c r="S155" s="67">
        <f t="shared" si="34"/>
        <v>0.21487603305785125</v>
      </c>
      <c r="T155" s="67">
        <f t="shared" si="35"/>
        <v>9.0909090909090912E-2</v>
      </c>
      <c r="U155" s="67">
        <f t="shared" si="36"/>
        <v>0</v>
      </c>
      <c r="V155" s="67">
        <f t="shared" si="37"/>
        <v>5.7851239669421489E-2</v>
      </c>
      <c r="W155" s="67">
        <f t="shared" si="38"/>
        <v>8.2644628099173556E-3</v>
      </c>
      <c r="X155" s="67">
        <f t="shared" si="39"/>
        <v>0.10743801652892562</v>
      </c>
      <c r="Y155" s="67">
        <f t="shared" si="40"/>
        <v>0</v>
      </c>
      <c r="Z155" s="67">
        <f t="shared" si="41"/>
        <v>0.11570247933884298</v>
      </c>
      <c r="AA155" s="67">
        <f t="shared" si="42"/>
        <v>1.6528925619834711E-2</v>
      </c>
      <c r="AB155" s="67">
        <f t="shared" si="43"/>
        <v>8.2644628099173556E-2</v>
      </c>
      <c r="AC155" s="67">
        <f t="shared" si="44"/>
        <v>1.6528925619834711E-2</v>
      </c>
      <c r="AD155" s="67">
        <f t="shared" si="45"/>
        <v>9.9173553719008267E-2</v>
      </c>
      <c r="AE155" s="67">
        <f t="shared" si="46"/>
        <v>9.9173553719008267E-2</v>
      </c>
      <c r="AF155" s="67">
        <f t="shared" si="47"/>
        <v>6.3543745404894443E-3</v>
      </c>
      <c r="AG155" s="67">
        <f>town_establishments[[#This Row],[share of state establishments]]/($AF$250-$AF$249)</f>
        <v>6.5728719647998261E-3</v>
      </c>
      <c r="AH155" s="67">
        <f>town_establishments[[#This Row],[share of state establishments (no residual)]]/(INDEX(regional_establishments[share of state establishments],MATCH(town_establishments[[#This Row],[Regional Planning Commission]],regional_establishments[Regional Planning Commission],0)))</f>
        <v>0.11839530332681018</v>
      </c>
    </row>
    <row r="156" spans="1:34" x14ac:dyDescent="0.25">
      <c r="A156" t="s">
        <v>256</v>
      </c>
      <c r="B156" t="str">
        <f>INDEX([1]!town_population[Regional Planning Commission],MATCH(town_establishments[[#This Row],[Municipality]],[1]!town_population[Municipality],0))</f>
        <v>Rutland Regional Planning Commission</v>
      </c>
      <c r="C156">
        <v>4</v>
      </c>
      <c r="D156">
        <v>3</v>
      </c>
      <c r="F156">
        <v>0</v>
      </c>
      <c r="G156">
        <v>1</v>
      </c>
      <c r="H156">
        <v>0</v>
      </c>
      <c r="I156">
        <v>2</v>
      </c>
      <c r="K156">
        <v>2</v>
      </c>
      <c r="L156">
        <v>1</v>
      </c>
      <c r="O156">
        <v>1</v>
      </c>
      <c r="Q156">
        <f t="shared" si="32"/>
        <v>14</v>
      </c>
      <c r="R156" s="67">
        <f t="shared" si="33"/>
        <v>0.2857142857142857</v>
      </c>
      <c r="S156" s="67">
        <f t="shared" si="34"/>
        <v>0.21428571428571427</v>
      </c>
      <c r="T156" s="67">
        <f t="shared" si="35"/>
        <v>0</v>
      </c>
      <c r="U156" s="67">
        <f t="shared" si="36"/>
        <v>0</v>
      </c>
      <c r="V156" s="67">
        <f t="shared" si="37"/>
        <v>7.1428571428571425E-2</v>
      </c>
      <c r="W156" s="67">
        <f t="shared" si="38"/>
        <v>0</v>
      </c>
      <c r="X156" s="67">
        <f t="shared" si="39"/>
        <v>0.14285714285714285</v>
      </c>
      <c r="Y156" s="67">
        <f t="shared" si="40"/>
        <v>0</v>
      </c>
      <c r="Z156" s="67">
        <f t="shared" si="41"/>
        <v>0.14285714285714285</v>
      </c>
      <c r="AA156" s="67">
        <f t="shared" si="42"/>
        <v>7.1428571428571425E-2</v>
      </c>
      <c r="AB156" s="67">
        <f t="shared" si="43"/>
        <v>0</v>
      </c>
      <c r="AC156" s="67">
        <f t="shared" si="44"/>
        <v>0</v>
      </c>
      <c r="AD156" s="67">
        <f t="shared" si="45"/>
        <v>7.1428571428571425E-2</v>
      </c>
      <c r="AE156" s="67">
        <f t="shared" si="46"/>
        <v>0</v>
      </c>
      <c r="AF156" s="67">
        <f t="shared" si="47"/>
        <v>7.3521688898224981E-4</v>
      </c>
      <c r="AG156" s="67">
        <f>town_establishments[[#This Row],[share of state establishments]]/($AF$250-$AF$249)</f>
        <v>7.6049758270411213E-4</v>
      </c>
      <c r="AH156" s="67">
        <f>town_establishments[[#This Row],[share of state establishments (no residual)]]/(INDEX(regional_establishments[share of state establishments],MATCH(town_establishments[[#This Row],[Regional Planning Commission]],regional_establishments[Regional Planning Commission],0)))</f>
        <v>7.874015748031496E-3</v>
      </c>
    </row>
    <row r="157" spans="1:34" x14ac:dyDescent="0.25">
      <c r="A157" t="s">
        <v>257</v>
      </c>
      <c r="B157" t="str">
        <f>INDEX([1]!town_population[Regional Planning Commission],MATCH(town_establishments[[#This Row],[Municipality]],[1]!town_population[Municipality],0))</f>
        <v>Rutland Regional Planning Commission</v>
      </c>
      <c r="C157">
        <v>7</v>
      </c>
      <c r="D157">
        <v>25</v>
      </c>
      <c r="E157">
        <v>1</v>
      </c>
      <c r="F157">
        <v>4</v>
      </c>
      <c r="G157">
        <v>2</v>
      </c>
      <c r="H157">
        <v>1</v>
      </c>
      <c r="I157">
        <v>6</v>
      </c>
      <c r="K157">
        <v>4</v>
      </c>
      <c r="L157">
        <v>2</v>
      </c>
      <c r="M157">
        <v>9</v>
      </c>
      <c r="N157">
        <v>2</v>
      </c>
      <c r="O157">
        <v>12</v>
      </c>
      <c r="P157">
        <v>11</v>
      </c>
      <c r="Q157">
        <f t="shared" si="32"/>
        <v>86</v>
      </c>
      <c r="R157" s="67">
        <f t="shared" si="33"/>
        <v>8.1395348837209308E-2</v>
      </c>
      <c r="S157" s="67">
        <f t="shared" si="34"/>
        <v>0.29069767441860467</v>
      </c>
      <c r="T157" s="67">
        <f t="shared" si="35"/>
        <v>1.1627906976744186E-2</v>
      </c>
      <c r="U157" s="67">
        <f t="shared" si="36"/>
        <v>4.6511627906976744E-2</v>
      </c>
      <c r="V157" s="67">
        <f t="shared" si="37"/>
        <v>2.3255813953488372E-2</v>
      </c>
      <c r="W157" s="67">
        <f t="shared" si="38"/>
        <v>1.1627906976744186E-2</v>
      </c>
      <c r="X157" s="67">
        <f t="shared" si="39"/>
        <v>6.9767441860465115E-2</v>
      </c>
      <c r="Y157" s="67">
        <f t="shared" si="40"/>
        <v>0</v>
      </c>
      <c r="Z157" s="67">
        <f t="shared" si="41"/>
        <v>4.6511627906976744E-2</v>
      </c>
      <c r="AA157" s="67">
        <f t="shared" si="42"/>
        <v>2.3255813953488372E-2</v>
      </c>
      <c r="AB157" s="67">
        <f t="shared" si="43"/>
        <v>0.10465116279069768</v>
      </c>
      <c r="AC157" s="67">
        <f t="shared" si="44"/>
        <v>2.3255813953488372E-2</v>
      </c>
      <c r="AD157" s="67">
        <f t="shared" si="45"/>
        <v>0.13953488372093023</v>
      </c>
      <c r="AE157" s="67">
        <f t="shared" si="46"/>
        <v>0.12790697674418605</v>
      </c>
      <c r="AF157" s="67">
        <f t="shared" si="47"/>
        <v>4.5163323180338203E-3</v>
      </c>
      <c r="AG157" s="67">
        <f>town_establishments[[#This Row],[share of state establishments]]/($AF$250-$AF$249)</f>
        <v>4.6716280080395462E-3</v>
      </c>
      <c r="AH157" s="67">
        <f>town_establishments[[#This Row],[share of state establishments (no residual)]]/(INDEX(regional_establishments[share of state establishments],MATCH(town_establishments[[#This Row],[Regional Planning Commission]],regional_establishments[Regional Planning Commission],0)))</f>
        <v>4.8368953880764905E-2</v>
      </c>
    </row>
    <row r="158" spans="1:34" x14ac:dyDescent="0.25">
      <c r="A158" t="s">
        <v>258</v>
      </c>
      <c r="B158" t="str">
        <f>INDEX([1]!town_population[Regional Planning Commission],MATCH(town_establishments[[#This Row],[Municipality]],[1]!town_population[Municipality],0))</f>
        <v>Rutland Regional Planning Commission</v>
      </c>
      <c r="C158">
        <v>6</v>
      </c>
      <c r="D158">
        <v>20</v>
      </c>
      <c r="E158">
        <v>1</v>
      </c>
      <c r="F158">
        <v>2</v>
      </c>
      <c r="G158">
        <v>5</v>
      </c>
      <c r="H158">
        <v>3</v>
      </c>
      <c r="I158">
        <v>9</v>
      </c>
      <c r="J158">
        <v>1</v>
      </c>
      <c r="K158">
        <v>10</v>
      </c>
      <c r="L158">
        <v>1</v>
      </c>
      <c r="M158">
        <v>11</v>
      </c>
      <c r="N158">
        <v>2</v>
      </c>
      <c r="O158">
        <v>15</v>
      </c>
      <c r="P158">
        <v>15</v>
      </c>
      <c r="Q158">
        <f t="shared" si="32"/>
        <v>101</v>
      </c>
      <c r="R158" s="67">
        <f t="shared" si="33"/>
        <v>5.9405940594059403E-2</v>
      </c>
      <c r="S158" s="67">
        <f t="shared" si="34"/>
        <v>0.19801980198019803</v>
      </c>
      <c r="T158" s="67">
        <f t="shared" si="35"/>
        <v>9.9009900990099011E-3</v>
      </c>
      <c r="U158" s="67">
        <f t="shared" si="36"/>
        <v>1.9801980198019802E-2</v>
      </c>
      <c r="V158" s="67">
        <f t="shared" si="37"/>
        <v>4.9504950495049507E-2</v>
      </c>
      <c r="W158" s="67">
        <f t="shared" si="38"/>
        <v>2.9702970297029702E-2</v>
      </c>
      <c r="X158" s="67">
        <f t="shared" si="39"/>
        <v>8.9108910891089105E-2</v>
      </c>
      <c r="Y158" s="67">
        <f t="shared" si="40"/>
        <v>9.9009900990099011E-3</v>
      </c>
      <c r="Z158" s="67">
        <f t="shared" si="41"/>
        <v>9.9009900990099015E-2</v>
      </c>
      <c r="AA158" s="67">
        <f t="shared" si="42"/>
        <v>9.9009900990099011E-3</v>
      </c>
      <c r="AB158" s="67">
        <f t="shared" si="43"/>
        <v>0.10891089108910891</v>
      </c>
      <c r="AC158" s="67">
        <f t="shared" si="44"/>
        <v>1.9801980198019802E-2</v>
      </c>
      <c r="AD158" s="67">
        <f t="shared" si="45"/>
        <v>0.14851485148514851</v>
      </c>
      <c r="AE158" s="67">
        <f t="shared" si="46"/>
        <v>0.14851485148514851</v>
      </c>
      <c r="AF158" s="67">
        <f t="shared" si="47"/>
        <v>5.3040646990862306E-3</v>
      </c>
      <c r="AG158" s="67">
        <f>town_establishments[[#This Row],[share of state establishments]]/($AF$250-$AF$249)</f>
        <v>5.4864468466510946E-3</v>
      </c>
      <c r="AH158" s="67">
        <f>town_establishments[[#This Row],[share of state establishments (no residual)]]/(INDEX(regional_establishments[share of state establishments],MATCH(town_establishments[[#This Row],[Regional Planning Commission]],regional_establishments[Regional Planning Commission],0)))</f>
        <v>5.6805399325084362E-2</v>
      </c>
    </row>
    <row r="159" spans="1:34" x14ac:dyDescent="0.25">
      <c r="A159" t="s">
        <v>259</v>
      </c>
      <c r="B159" t="str">
        <f>INDEX([1]!town_population[Regional Planning Commission],MATCH(town_establishments[[#This Row],[Municipality]],[1]!town_population[Municipality],0))</f>
        <v>Rutland Regional Planning Commission</v>
      </c>
      <c r="C159">
        <v>1</v>
      </c>
      <c r="D159">
        <v>2</v>
      </c>
      <c r="E159">
        <v>1</v>
      </c>
      <c r="F159">
        <v>1</v>
      </c>
      <c r="H159">
        <v>1</v>
      </c>
      <c r="I159">
        <v>11</v>
      </c>
      <c r="K159">
        <v>3</v>
      </c>
      <c r="L159">
        <v>1</v>
      </c>
      <c r="N159">
        <v>1</v>
      </c>
      <c r="O159">
        <v>2</v>
      </c>
      <c r="P159">
        <v>3</v>
      </c>
      <c r="Q159">
        <f t="shared" si="32"/>
        <v>27</v>
      </c>
      <c r="R159" s="67">
        <f t="shared" si="33"/>
        <v>3.7037037037037035E-2</v>
      </c>
      <c r="S159" s="67">
        <f t="shared" si="34"/>
        <v>7.407407407407407E-2</v>
      </c>
      <c r="T159" s="67">
        <f t="shared" si="35"/>
        <v>3.7037037037037035E-2</v>
      </c>
      <c r="U159" s="67">
        <f t="shared" si="36"/>
        <v>3.7037037037037035E-2</v>
      </c>
      <c r="V159" s="67">
        <f t="shared" si="37"/>
        <v>0</v>
      </c>
      <c r="W159" s="67">
        <f t="shared" si="38"/>
        <v>3.7037037037037035E-2</v>
      </c>
      <c r="X159" s="67">
        <f t="shared" si="39"/>
        <v>0.40740740740740738</v>
      </c>
      <c r="Y159" s="67">
        <f t="shared" si="40"/>
        <v>0</v>
      </c>
      <c r="Z159" s="67">
        <f t="shared" si="41"/>
        <v>0.1111111111111111</v>
      </c>
      <c r="AA159" s="67">
        <f t="shared" si="42"/>
        <v>3.7037037037037035E-2</v>
      </c>
      <c r="AB159" s="67">
        <f t="shared" si="43"/>
        <v>0</v>
      </c>
      <c r="AC159" s="67">
        <f t="shared" si="44"/>
        <v>3.7037037037037035E-2</v>
      </c>
      <c r="AD159" s="67">
        <f t="shared" si="45"/>
        <v>7.407407407407407E-2</v>
      </c>
      <c r="AE159" s="67">
        <f t="shared" si="46"/>
        <v>0.1111111111111111</v>
      </c>
      <c r="AF159" s="67">
        <f t="shared" si="47"/>
        <v>1.4179182858943388E-3</v>
      </c>
      <c r="AG159" s="67">
        <f>town_establishments[[#This Row],[share of state establishments]]/($AF$250-$AF$249)</f>
        <v>1.4666739095007876E-3</v>
      </c>
      <c r="AH159" s="67">
        <f>town_establishments[[#This Row],[share of state establishments (no residual)]]/(INDEX(regional_establishments[share of state establishments],MATCH(town_establishments[[#This Row],[Regional Planning Commission]],regional_establishments[Regional Planning Commission],0)))</f>
        <v>1.5185601799775026E-2</v>
      </c>
    </row>
    <row r="160" spans="1:34" x14ac:dyDescent="0.25">
      <c r="A160" t="s">
        <v>260</v>
      </c>
      <c r="B160" t="str">
        <f>INDEX([1]!town_population[Regional Planning Commission],MATCH(town_establishments[[#This Row],[Municipality]],[1]!town_population[Municipality],0))</f>
        <v>Rutland Regional Planning Commission</v>
      </c>
      <c r="C160">
        <v>6</v>
      </c>
      <c r="D160">
        <v>10</v>
      </c>
      <c r="E160">
        <v>4</v>
      </c>
      <c r="F160">
        <v>1</v>
      </c>
      <c r="I160">
        <v>9</v>
      </c>
      <c r="K160">
        <v>8</v>
      </c>
      <c r="L160">
        <v>3</v>
      </c>
      <c r="M160">
        <v>2</v>
      </c>
      <c r="N160">
        <v>2</v>
      </c>
      <c r="O160">
        <v>2</v>
      </c>
      <c r="P160">
        <v>9</v>
      </c>
      <c r="Q160">
        <f t="shared" si="32"/>
        <v>56</v>
      </c>
      <c r="R160" s="67">
        <f t="shared" si="33"/>
        <v>0.10714285714285714</v>
      </c>
      <c r="S160" s="67">
        <f t="shared" si="34"/>
        <v>0.17857142857142858</v>
      </c>
      <c r="T160" s="67">
        <f t="shared" si="35"/>
        <v>7.1428571428571425E-2</v>
      </c>
      <c r="U160" s="67">
        <f t="shared" si="36"/>
        <v>1.7857142857142856E-2</v>
      </c>
      <c r="V160" s="67">
        <f t="shared" si="37"/>
        <v>0</v>
      </c>
      <c r="W160" s="67">
        <f t="shared" si="38"/>
        <v>0</v>
      </c>
      <c r="X160" s="67">
        <f t="shared" si="39"/>
        <v>0.16071428571428573</v>
      </c>
      <c r="Y160" s="67">
        <f t="shared" si="40"/>
        <v>0</v>
      </c>
      <c r="Z160" s="67">
        <f t="shared" si="41"/>
        <v>0.14285714285714285</v>
      </c>
      <c r="AA160" s="67">
        <f t="shared" si="42"/>
        <v>5.3571428571428568E-2</v>
      </c>
      <c r="AB160" s="67">
        <f t="shared" si="43"/>
        <v>3.5714285714285712E-2</v>
      </c>
      <c r="AC160" s="67">
        <f t="shared" si="44"/>
        <v>3.5714285714285712E-2</v>
      </c>
      <c r="AD160" s="67">
        <f t="shared" si="45"/>
        <v>3.5714285714285712E-2</v>
      </c>
      <c r="AE160" s="67">
        <f t="shared" si="46"/>
        <v>0.16071428571428573</v>
      </c>
      <c r="AF160" s="67">
        <f t="shared" si="47"/>
        <v>2.9408675559289992E-3</v>
      </c>
      <c r="AG160" s="67">
        <f>town_establishments[[#This Row],[share of state establishments]]/($AF$250-$AF$249)</f>
        <v>3.0419903308164485E-3</v>
      </c>
      <c r="AH160" s="67">
        <f>town_establishments[[#This Row],[share of state establishments (no residual)]]/(INDEX(regional_establishments[share of state establishments],MATCH(town_establishments[[#This Row],[Regional Planning Commission]],regional_establishments[Regional Planning Commission],0)))</f>
        <v>3.1496062992125984E-2</v>
      </c>
    </row>
    <row r="161" spans="1:34" x14ac:dyDescent="0.25">
      <c r="A161" t="s">
        <v>261</v>
      </c>
      <c r="B161" t="str">
        <f>INDEX([1]!town_population[Regional Planning Commission],MATCH(town_establishments[[#This Row],[Municipality]],[1]!town_population[Municipality],0))</f>
        <v>Rutland Regional Planning Commission</v>
      </c>
      <c r="C161">
        <v>1</v>
      </c>
      <c r="D161">
        <v>2</v>
      </c>
      <c r="E161">
        <v>1</v>
      </c>
      <c r="F161">
        <v>1</v>
      </c>
      <c r="I161">
        <v>3</v>
      </c>
      <c r="K161">
        <v>1</v>
      </c>
      <c r="L161">
        <v>1</v>
      </c>
      <c r="M161">
        <v>1</v>
      </c>
      <c r="N161">
        <v>2</v>
      </c>
      <c r="P161">
        <v>2</v>
      </c>
      <c r="Q161">
        <f t="shared" si="32"/>
        <v>15</v>
      </c>
      <c r="R161" s="67">
        <f t="shared" si="33"/>
        <v>6.6666666666666666E-2</v>
      </c>
      <c r="S161" s="67">
        <f t="shared" si="34"/>
        <v>0.13333333333333333</v>
      </c>
      <c r="T161" s="67">
        <f t="shared" si="35"/>
        <v>6.6666666666666666E-2</v>
      </c>
      <c r="U161" s="67">
        <f t="shared" si="36"/>
        <v>6.6666666666666666E-2</v>
      </c>
      <c r="V161" s="67">
        <f t="shared" si="37"/>
        <v>0</v>
      </c>
      <c r="W161" s="67">
        <f t="shared" si="38"/>
        <v>0</v>
      </c>
      <c r="X161" s="67">
        <f t="shared" si="39"/>
        <v>0.2</v>
      </c>
      <c r="Y161" s="67">
        <f t="shared" si="40"/>
        <v>0</v>
      </c>
      <c r="Z161" s="67">
        <f t="shared" si="41"/>
        <v>6.6666666666666666E-2</v>
      </c>
      <c r="AA161" s="67">
        <f t="shared" si="42"/>
        <v>6.6666666666666666E-2</v>
      </c>
      <c r="AB161" s="67">
        <f t="shared" si="43"/>
        <v>6.6666666666666666E-2</v>
      </c>
      <c r="AC161" s="67">
        <f t="shared" si="44"/>
        <v>0.13333333333333333</v>
      </c>
      <c r="AD161" s="67">
        <f t="shared" si="45"/>
        <v>0</v>
      </c>
      <c r="AE161" s="67">
        <f t="shared" si="46"/>
        <v>0.13333333333333333</v>
      </c>
      <c r="AF161" s="67">
        <f t="shared" si="47"/>
        <v>7.8773238105241041E-4</v>
      </c>
      <c r="AG161" s="67">
        <f>town_establishments[[#This Row],[share of state establishments]]/($AF$250-$AF$249)</f>
        <v>8.1481883861154862E-4</v>
      </c>
      <c r="AH161" s="67">
        <f>town_establishments[[#This Row],[share of state establishments (no residual)]]/(INDEX(regional_establishments[share of state establishments],MATCH(town_establishments[[#This Row],[Regional Planning Commission]],regional_establishments[Regional Planning Commission],0)))</f>
        <v>8.4364454443194587E-3</v>
      </c>
    </row>
    <row r="162" spans="1:34" x14ac:dyDescent="0.25">
      <c r="A162" t="s">
        <v>262</v>
      </c>
      <c r="B162" t="str">
        <f>INDEX([1]!town_population[Regional Planning Commission],MATCH(town_establishments[[#This Row],[Municipality]],[1]!town_population[Municipality],0))</f>
        <v>Rutland Regional Planning Commission</v>
      </c>
      <c r="C162">
        <v>4</v>
      </c>
      <c r="D162">
        <v>17</v>
      </c>
      <c r="E162">
        <v>2</v>
      </c>
      <c r="F162">
        <v>1</v>
      </c>
      <c r="G162">
        <v>8</v>
      </c>
      <c r="I162">
        <v>5</v>
      </c>
      <c r="J162">
        <v>1</v>
      </c>
      <c r="K162">
        <v>5</v>
      </c>
      <c r="L162">
        <v>1</v>
      </c>
      <c r="M162">
        <v>4</v>
      </c>
      <c r="O162">
        <v>9</v>
      </c>
      <c r="P162">
        <v>4</v>
      </c>
      <c r="Q162">
        <f t="shared" si="32"/>
        <v>61</v>
      </c>
      <c r="R162" s="67">
        <f t="shared" si="33"/>
        <v>6.5573770491803282E-2</v>
      </c>
      <c r="S162" s="67">
        <f t="shared" si="34"/>
        <v>0.27868852459016391</v>
      </c>
      <c r="T162" s="67">
        <f t="shared" si="35"/>
        <v>3.2786885245901641E-2</v>
      </c>
      <c r="U162" s="67">
        <f t="shared" si="36"/>
        <v>1.6393442622950821E-2</v>
      </c>
      <c r="V162" s="67">
        <f t="shared" si="37"/>
        <v>0.13114754098360656</v>
      </c>
      <c r="W162" s="67">
        <f t="shared" si="38"/>
        <v>0</v>
      </c>
      <c r="X162" s="67">
        <f t="shared" si="39"/>
        <v>8.1967213114754092E-2</v>
      </c>
      <c r="Y162" s="67">
        <f t="shared" si="40"/>
        <v>1.6393442622950821E-2</v>
      </c>
      <c r="Z162" s="67">
        <f t="shared" si="41"/>
        <v>8.1967213114754092E-2</v>
      </c>
      <c r="AA162" s="67">
        <f t="shared" si="42"/>
        <v>1.6393442622950821E-2</v>
      </c>
      <c r="AB162" s="67">
        <f t="shared" si="43"/>
        <v>6.5573770491803282E-2</v>
      </c>
      <c r="AC162" s="67">
        <f t="shared" si="44"/>
        <v>0</v>
      </c>
      <c r="AD162" s="67">
        <f t="shared" si="45"/>
        <v>0.14754098360655737</v>
      </c>
      <c r="AE162" s="67">
        <f t="shared" si="46"/>
        <v>6.5573770491803282E-2</v>
      </c>
      <c r="AF162" s="67">
        <f t="shared" si="47"/>
        <v>3.2034450162798027E-3</v>
      </c>
      <c r="AG162" s="67">
        <f>town_establishments[[#This Row],[share of state establishments]]/($AF$250-$AF$249)</f>
        <v>3.3135966103536316E-3</v>
      </c>
      <c r="AH162" s="67">
        <f>town_establishments[[#This Row],[share of state establishments (no residual)]]/(INDEX(regional_establishments[share of state establishments],MATCH(town_establishments[[#This Row],[Regional Planning Commission]],regional_establishments[Regional Planning Commission],0)))</f>
        <v>3.4308211473565803E-2</v>
      </c>
    </row>
    <row r="163" spans="1:34" x14ac:dyDescent="0.25">
      <c r="A163" t="s">
        <v>263</v>
      </c>
      <c r="B163" t="str">
        <f>INDEX([1]!town_population[Regional Planning Commission],MATCH(town_establishments[[#This Row],[Municipality]],[1]!town_population[Municipality],0))</f>
        <v>Rutland Regional Planning Commission</v>
      </c>
      <c r="I163">
        <v>0</v>
      </c>
      <c r="K163">
        <v>1</v>
      </c>
      <c r="O163">
        <v>1</v>
      </c>
      <c r="P163">
        <v>1</v>
      </c>
      <c r="Q163">
        <f t="shared" si="32"/>
        <v>3</v>
      </c>
      <c r="R163" s="67">
        <f t="shared" si="33"/>
        <v>0</v>
      </c>
      <c r="S163" s="67">
        <f t="shared" si="34"/>
        <v>0</v>
      </c>
      <c r="T163" s="67">
        <f t="shared" si="35"/>
        <v>0</v>
      </c>
      <c r="U163" s="67">
        <f t="shared" si="36"/>
        <v>0</v>
      </c>
      <c r="V163" s="67">
        <f t="shared" si="37"/>
        <v>0</v>
      </c>
      <c r="W163" s="67">
        <f t="shared" si="38"/>
        <v>0</v>
      </c>
      <c r="X163" s="67">
        <f t="shared" si="39"/>
        <v>0</v>
      </c>
      <c r="Y163" s="67">
        <f t="shared" si="40"/>
        <v>0</v>
      </c>
      <c r="Z163" s="67">
        <f t="shared" si="41"/>
        <v>0.33333333333333331</v>
      </c>
      <c r="AA163" s="67">
        <f t="shared" si="42"/>
        <v>0</v>
      </c>
      <c r="AB163" s="67">
        <f t="shared" si="43"/>
        <v>0</v>
      </c>
      <c r="AC163" s="67">
        <f t="shared" si="44"/>
        <v>0</v>
      </c>
      <c r="AD163" s="67">
        <f t="shared" si="45"/>
        <v>0.33333333333333331</v>
      </c>
      <c r="AE163" s="67">
        <f t="shared" si="46"/>
        <v>0.33333333333333331</v>
      </c>
      <c r="AF163" s="67">
        <f t="shared" si="47"/>
        <v>1.575464762104821E-4</v>
      </c>
      <c r="AG163" s="67">
        <f>town_establishments[[#This Row],[share of state establishments]]/($AF$250-$AF$249)</f>
        <v>1.6296376772230973E-4</v>
      </c>
      <c r="AH163" s="67">
        <f>town_establishments[[#This Row],[share of state establishments (no residual)]]/(INDEX(regional_establishments[share of state establishments],MATCH(town_establishments[[#This Row],[Regional Planning Commission]],regional_establishments[Regional Planning Commission],0)))</f>
        <v>1.6872890888638917E-3</v>
      </c>
    </row>
    <row r="164" spans="1:34" x14ac:dyDescent="0.25">
      <c r="A164" t="s">
        <v>264</v>
      </c>
      <c r="B164" t="str">
        <f>INDEX([1]!town_population[Regional Planning Commission],MATCH(town_establishments[[#This Row],[Municipality]],[1]!town_population[Municipality],0))</f>
        <v>Rutland Regional Planning Commission</v>
      </c>
      <c r="D164">
        <v>1</v>
      </c>
      <c r="Q164">
        <f t="shared" si="32"/>
        <v>1</v>
      </c>
      <c r="R164" s="67">
        <f t="shared" si="33"/>
        <v>0</v>
      </c>
      <c r="S164" s="67">
        <f t="shared" si="34"/>
        <v>1</v>
      </c>
      <c r="T164" s="67">
        <f t="shared" si="35"/>
        <v>0</v>
      </c>
      <c r="U164" s="67">
        <f t="shared" si="36"/>
        <v>0</v>
      </c>
      <c r="V164" s="67">
        <f t="shared" si="37"/>
        <v>0</v>
      </c>
      <c r="W164" s="67">
        <f t="shared" si="38"/>
        <v>0</v>
      </c>
      <c r="X164" s="67">
        <f t="shared" si="39"/>
        <v>0</v>
      </c>
      <c r="Y164" s="67">
        <f t="shared" si="40"/>
        <v>0</v>
      </c>
      <c r="Z164" s="67">
        <f t="shared" si="41"/>
        <v>0</v>
      </c>
      <c r="AA164" s="67">
        <f t="shared" si="42"/>
        <v>0</v>
      </c>
      <c r="AB164" s="67">
        <f t="shared" si="43"/>
        <v>0</v>
      </c>
      <c r="AC164" s="67">
        <f t="shared" si="44"/>
        <v>0</v>
      </c>
      <c r="AD164" s="67">
        <f t="shared" si="45"/>
        <v>0</v>
      </c>
      <c r="AE164" s="67">
        <f t="shared" si="46"/>
        <v>0</v>
      </c>
      <c r="AF164" s="67">
        <f t="shared" si="47"/>
        <v>5.2515492070160695E-5</v>
      </c>
      <c r="AG164" s="67">
        <f>town_establishments[[#This Row],[share of state establishments]]/($AF$250-$AF$249)</f>
        <v>5.4321255907436576E-5</v>
      </c>
      <c r="AH164" s="67">
        <f>town_establishments[[#This Row],[share of state establishments (no residual)]]/(INDEX(regional_establishments[share of state establishments],MATCH(town_establishments[[#This Row],[Regional Planning Commission]],regional_establishments[Regional Planning Commission],0)))</f>
        <v>5.6242969628796395E-4</v>
      </c>
    </row>
    <row r="165" spans="1:34" x14ac:dyDescent="0.25">
      <c r="A165" t="s">
        <v>265</v>
      </c>
      <c r="B165" t="str">
        <f>INDEX([1]!town_population[Regional Planning Commission],MATCH(town_establishments[[#This Row],[Municipality]],[1]!town_population[Municipality],0))</f>
        <v>Rutland Regional Planning Commission</v>
      </c>
      <c r="C165">
        <v>1</v>
      </c>
      <c r="D165">
        <v>5</v>
      </c>
      <c r="E165">
        <v>1</v>
      </c>
      <c r="H165">
        <v>1</v>
      </c>
      <c r="I165">
        <v>8</v>
      </c>
      <c r="K165">
        <v>3</v>
      </c>
      <c r="O165">
        <v>6</v>
      </c>
      <c r="P165">
        <v>1</v>
      </c>
      <c r="Q165">
        <f t="shared" si="32"/>
        <v>26</v>
      </c>
      <c r="R165" s="67">
        <f t="shared" si="33"/>
        <v>3.8461538461538464E-2</v>
      </c>
      <c r="S165" s="67">
        <f t="shared" si="34"/>
        <v>0.19230769230769232</v>
      </c>
      <c r="T165" s="67">
        <f t="shared" si="35"/>
        <v>3.8461538461538464E-2</v>
      </c>
      <c r="U165" s="67">
        <f t="shared" si="36"/>
        <v>0</v>
      </c>
      <c r="V165" s="67">
        <f t="shared" si="37"/>
        <v>0</v>
      </c>
      <c r="W165" s="67">
        <f t="shared" si="38"/>
        <v>3.8461538461538464E-2</v>
      </c>
      <c r="X165" s="67">
        <f t="shared" si="39"/>
        <v>0.30769230769230771</v>
      </c>
      <c r="Y165" s="67">
        <f t="shared" si="40"/>
        <v>0</v>
      </c>
      <c r="Z165" s="67">
        <f t="shared" si="41"/>
        <v>0.11538461538461539</v>
      </c>
      <c r="AA165" s="67">
        <f t="shared" si="42"/>
        <v>0</v>
      </c>
      <c r="AB165" s="67">
        <f t="shared" si="43"/>
        <v>0</v>
      </c>
      <c r="AC165" s="67">
        <f t="shared" si="44"/>
        <v>0</v>
      </c>
      <c r="AD165" s="67">
        <f t="shared" si="45"/>
        <v>0.23076923076923078</v>
      </c>
      <c r="AE165" s="67">
        <f t="shared" si="46"/>
        <v>3.8461538461538464E-2</v>
      </c>
      <c r="AF165" s="67">
        <f t="shared" si="47"/>
        <v>1.3654027938241782E-3</v>
      </c>
      <c r="AG165" s="67">
        <f>town_establishments[[#This Row],[share of state establishments]]/($AF$250-$AF$249)</f>
        <v>1.4123526535933511E-3</v>
      </c>
      <c r="AH165" s="67">
        <f>town_establishments[[#This Row],[share of state establishments (no residual)]]/(INDEX(regional_establishments[share of state establishments],MATCH(town_establishments[[#This Row],[Regional Planning Commission]],regional_establishments[Regional Planning Commission],0)))</f>
        <v>1.4623172103487063E-2</v>
      </c>
    </row>
    <row r="166" spans="1:34" x14ac:dyDescent="0.25">
      <c r="A166" t="s">
        <v>266</v>
      </c>
      <c r="B166" t="str">
        <f>INDEX([1]!town_population[Regional Planning Commission],MATCH(town_establishments[[#This Row],[Municipality]],[1]!town_population[Municipality],0))</f>
        <v>Rutland Regional Planning Commission</v>
      </c>
      <c r="C166">
        <v>3</v>
      </c>
      <c r="D166">
        <v>2</v>
      </c>
      <c r="E166">
        <v>1</v>
      </c>
      <c r="I166">
        <v>1</v>
      </c>
      <c r="K166">
        <v>3</v>
      </c>
      <c r="L166">
        <v>1</v>
      </c>
      <c r="O166">
        <v>1</v>
      </c>
      <c r="Q166">
        <f t="shared" si="32"/>
        <v>12</v>
      </c>
      <c r="R166" s="67">
        <f t="shared" si="33"/>
        <v>0.25</v>
      </c>
      <c r="S166" s="67">
        <f t="shared" si="34"/>
        <v>0.16666666666666666</v>
      </c>
      <c r="T166" s="67">
        <f t="shared" si="35"/>
        <v>8.3333333333333329E-2</v>
      </c>
      <c r="U166" s="67">
        <f t="shared" si="36"/>
        <v>0</v>
      </c>
      <c r="V166" s="67">
        <f t="shared" si="37"/>
        <v>0</v>
      </c>
      <c r="W166" s="67">
        <f t="shared" si="38"/>
        <v>0</v>
      </c>
      <c r="X166" s="67">
        <f t="shared" si="39"/>
        <v>8.3333333333333329E-2</v>
      </c>
      <c r="Y166" s="67">
        <f t="shared" si="40"/>
        <v>0</v>
      </c>
      <c r="Z166" s="67">
        <f t="shared" si="41"/>
        <v>0.25</v>
      </c>
      <c r="AA166" s="67">
        <f t="shared" si="42"/>
        <v>8.3333333333333329E-2</v>
      </c>
      <c r="AB166" s="67">
        <f t="shared" si="43"/>
        <v>0</v>
      </c>
      <c r="AC166" s="67">
        <f t="shared" si="44"/>
        <v>0</v>
      </c>
      <c r="AD166" s="67">
        <f t="shared" si="45"/>
        <v>8.3333333333333329E-2</v>
      </c>
      <c r="AE166" s="67">
        <f t="shared" si="46"/>
        <v>0</v>
      </c>
      <c r="AF166" s="67">
        <f t="shared" si="47"/>
        <v>6.3018590484192839E-4</v>
      </c>
      <c r="AG166" s="67">
        <f>town_establishments[[#This Row],[share of state establishments]]/($AF$250-$AF$249)</f>
        <v>6.5185507088923894E-4</v>
      </c>
      <c r="AH166" s="67">
        <f>town_establishments[[#This Row],[share of state establishments (no residual)]]/(INDEX(regional_establishments[share of state establishments],MATCH(town_establishments[[#This Row],[Regional Planning Commission]],regional_establishments[Regional Planning Commission],0)))</f>
        <v>6.749156355455567E-3</v>
      </c>
    </row>
    <row r="167" spans="1:34" x14ac:dyDescent="0.25">
      <c r="A167" t="s">
        <v>267</v>
      </c>
      <c r="B167" t="str">
        <f>INDEX([1]!town_population[Regional Planning Commission],MATCH(town_establishments[[#This Row],[Municipality]],[1]!town_population[Municipality],0))</f>
        <v>Rutland Regional Planning Commission</v>
      </c>
      <c r="C167">
        <v>2</v>
      </c>
      <c r="D167">
        <v>2</v>
      </c>
      <c r="E167">
        <v>2</v>
      </c>
      <c r="H167">
        <v>2</v>
      </c>
      <c r="I167">
        <v>7</v>
      </c>
      <c r="K167">
        <v>3</v>
      </c>
      <c r="L167">
        <v>1</v>
      </c>
      <c r="M167">
        <v>2</v>
      </c>
      <c r="O167">
        <v>2</v>
      </c>
      <c r="P167">
        <v>2</v>
      </c>
      <c r="Q167">
        <f t="shared" si="32"/>
        <v>25</v>
      </c>
      <c r="R167" s="67">
        <f t="shared" si="33"/>
        <v>0.08</v>
      </c>
      <c r="S167" s="67">
        <f t="shared" si="34"/>
        <v>0.08</v>
      </c>
      <c r="T167" s="67">
        <f t="shared" si="35"/>
        <v>0.08</v>
      </c>
      <c r="U167" s="67">
        <f t="shared" si="36"/>
        <v>0</v>
      </c>
      <c r="V167" s="67">
        <f t="shared" si="37"/>
        <v>0</v>
      </c>
      <c r="W167" s="67">
        <f t="shared" si="38"/>
        <v>0.08</v>
      </c>
      <c r="X167" s="67">
        <f t="shared" si="39"/>
        <v>0.28000000000000003</v>
      </c>
      <c r="Y167" s="67">
        <f t="shared" si="40"/>
        <v>0</v>
      </c>
      <c r="Z167" s="67">
        <f t="shared" si="41"/>
        <v>0.12</v>
      </c>
      <c r="AA167" s="67">
        <f t="shared" si="42"/>
        <v>0.04</v>
      </c>
      <c r="AB167" s="67">
        <f t="shared" si="43"/>
        <v>0.08</v>
      </c>
      <c r="AC167" s="67">
        <f t="shared" si="44"/>
        <v>0</v>
      </c>
      <c r="AD167" s="67">
        <f t="shared" si="45"/>
        <v>0.08</v>
      </c>
      <c r="AE167" s="67">
        <f t="shared" si="46"/>
        <v>0.08</v>
      </c>
      <c r="AF167" s="67">
        <f t="shared" si="47"/>
        <v>1.3128873017540174E-3</v>
      </c>
      <c r="AG167" s="67">
        <f>town_establishments[[#This Row],[share of state establishments]]/($AF$250-$AF$249)</f>
        <v>1.3580313976859144E-3</v>
      </c>
      <c r="AH167" s="67">
        <f>town_establishments[[#This Row],[share of state establishments (no residual)]]/(INDEX(regional_establishments[share of state establishments],MATCH(town_establishments[[#This Row],[Regional Planning Commission]],regional_establishments[Regional Planning Commission],0)))</f>
        <v>1.4060742407199098E-2</v>
      </c>
    </row>
    <row r="168" spans="1:34" x14ac:dyDescent="0.25">
      <c r="A168" t="s">
        <v>268</v>
      </c>
      <c r="B168" t="str">
        <f>INDEX([1]!town_population[Regional Planning Commission],MATCH(town_establishments[[#This Row],[Municipality]],[1]!town_population[Municipality],0))</f>
        <v>Rutland Regional Planning Commission</v>
      </c>
      <c r="D168">
        <v>1</v>
      </c>
      <c r="Q168">
        <f t="shared" si="32"/>
        <v>1</v>
      </c>
      <c r="R168" s="67">
        <f t="shared" si="33"/>
        <v>0</v>
      </c>
      <c r="S168" s="67">
        <f t="shared" si="34"/>
        <v>1</v>
      </c>
      <c r="T168" s="67">
        <f t="shared" si="35"/>
        <v>0</v>
      </c>
      <c r="U168" s="67">
        <f t="shared" si="36"/>
        <v>0</v>
      </c>
      <c r="V168" s="67">
        <f t="shared" si="37"/>
        <v>0</v>
      </c>
      <c r="W168" s="67">
        <f t="shared" si="38"/>
        <v>0</v>
      </c>
      <c r="X168" s="67">
        <f t="shared" si="39"/>
        <v>0</v>
      </c>
      <c r="Y168" s="67">
        <f t="shared" si="40"/>
        <v>0</v>
      </c>
      <c r="Z168" s="67">
        <f t="shared" si="41"/>
        <v>0</v>
      </c>
      <c r="AA168" s="67">
        <f t="shared" si="42"/>
        <v>0</v>
      </c>
      <c r="AB168" s="67">
        <f t="shared" si="43"/>
        <v>0</v>
      </c>
      <c r="AC168" s="67">
        <f t="shared" si="44"/>
        <v>0</v>
      </c>
      <c r="AD168" s="67">
        <f t="shared" si="45"/>
        <v>0</v>
      </c>
      <c r="AE168" s="67">
        <f t="shared" si="46"/>
        <v>0</v>
      </c>
      <c r="AF168" s="67">
        <f t="shared" si="47"/>
        <v>5.2515492070160695E-5</v>
      </c>
      <c r="AG168" s="67">
        <f>town_establishments[[#This Row],[share of state establishments]]/($AF$250-$AF$249)</f>
        <v>5.4321255907436576E-5</v>
      </c>
      <c r="AH168" s="67">
        <f>town_establishments[[#This Row],[share of state establishments (no residual)]]/(INDEX(regional_establishments[share of state establishments],MATCH(town_establishments[[#This Row],[Regional Planning Commission]],regional_establishments[Regional Planning Commission],0)))</f>
        <v>5.6242969628796395E-4</v>
      </c>
    </row>
    <row r="169" spans="1:34" x14ac:dyDescent="0.25">
      <c r="A169" t="s">
        <v>269</v>
      </c>
      <c r="B169" t="str">
        <f>INDEX([1]!town_population[Regional Planning Commission],MATCH(town_establishments[[#This Row],[Municipality]],[1]!town_population[Municipality],0))</f>
        <v>Rutland Regional Planning Commission</v>
      </c>
      <c r="C169">
        <v>5</v>
      </c>
      <c r="D169">
        <v>1</v>
      </c>
      <c r="E169">
        <v>5</v>
      </c>
      <c r="G169">
        <v>2</v>
      </c>
      <c r="H169">
        <v>1</v>
      </c>
      <c r="I169">
        <v>7</v>
      </c>
      <c r="K169">
        <v>7</v>
      </c>
      <c r="L169">
        <v>3</v>
      </c>
      <c r="M169">
        <v>1</v>
      </c>
      <c r="N169">
        <v>3</v>
      </c>
      <c r="O169">
        <v>2</v>
      </c>
      <c r="P169">
        <v>3</v>
      </c>
      <c r="Q169">
        <f t="shared" si="32"/>
        <v>40</v>
      </c>
      <c r="R169" s="67">
        <f t="shared" si="33"/>
        <v>0.125</v>
      </c>
      <c r="S169" s="67">
        <f t="shared" si="34"/>
        <v>2.5000000000000001E-2</v>
      </c>
      <c r="T169" s="67">
        <f t="shared" si="35"/>
        <v>0.125</v>
      </c>
      <c r="U169" s="67">
        <f t="shared" si="36"/>
        <v>0</v>
      </c>
      <c r="V169" s="67">
        <f t="shared" si="37"/>
        <v>0.05</v>
      </c>
      <c r="W169" s="67">
        <f t="shared" si="38"/>
        <v>2.5000000000000001E-2</v>
      </c>
      <c r="X169" s="67">
        <f t="shared" si="39"/>
        <v>0.17499999999999999</v>
      </c>
      <c r="Y169" s="67">
        <f t="shared" si="40"/>
        <v>0</v>
      </c>
      <c r="Z169" s="67">
        <f t="shared" si="41"/>
        <v>0.17499999999999999</v>
      </c>
      <c r="AA169" s="67">
        <f t="shared" si="42"/>
        <v>7.4999999999999997E-2</v>
      </c>
      <c r="AB169" s="67">
        <f t="shared" si="43"/>
        <v>2.5000000000000001E-2</v>
      </c>
      <c r="AC169" s="67">
        <f t="shared" si="44"/>
        <v>7.4999999999999997E-2</v>
      </c>
      <c r="AD169" s="67">
        <f t="shared" si="45"/>
        <v>0.05</v>
      </c>
      <c r="AE169" s="67">
        <f t="shared" si="46"/>
        <v>7.4999999999999997E-2</v>
      </c>
      <c r="AF169" s="67">
        <f t="shared" si="47"/>
        <v>2.1006196828064279E-3</v>
      </c>
      <c r="AG169" s="67">
        <f>town_establishments[[#This Row],[share of state establishments]]/($AF$250-$AF$249)</f>
        <v>2.172850236297463E-3</v>
      </c>
      <c r="AH169" s="67">
        <f>town_establishments[[#This Row],[share of state establishments (no residual)]]/(INDEX(regional_establishments[share of state establishments],MATCH(town_establishments[[#This Row],[Regional Planning Commission]],regional_establishments[Regional Planning Commission],0)))</f>
        <v>2.2497187851518555E-2</v>
      </c>
    </row>
    <row r="170" spans="1:34" x14ac:dyDescent="0.25">
      <c r="A170" t="s">
        <v>270</v>
      </c>
      <c r="B170" t="str">
        <f>INDEX([1]!town_population[Regional Planning Commission],MATCH(town_establishments[[#This Row],[Municipality]],[1]!town_population[Municipality],0))</f>
        <v>Rutland Regional Planning Commission</v>
      </c>
      <c r="C170">
        <v>7</v>
      </c>
      <c r="D170">
        <v>13</v>
      </c>
      <c r="E170">
        <v>4</v>
      </c>
      <c r="H170">
        <v>3</v>
      </c>
      <c r="I170">
        <v>5</v>
      </c>
      <c r="K170">
        <v>8</v>
      </c>
      <c r="L170">
        <v>1</v>
      </c>
      <c r="M170">
        <v>1</v>
      </c>
      <c r="N170">
        <v>1</v>
      </c>
      <c r="O170">
        <v>5</v>
      </c>
      <c r="P170">
        <v>11</v>
      </c>
      <c r="Q170">
        <f t="shared" si="32"/>
        <v>59</v>
      </c>
      <c r="R170" s="67">
        <f t="shared" si="33"/>
        <v>0.11864406779661017</v>
      </c>
      <c r="S170" s="67">
        <f t="shared" si="34"/>
        <v>0.22033898305084745</v>
      </c>
      <c r="T170" s="67">
        <f t="shared" si="35"/>
        <v>6.7796610169491525E-2</v>
      </c>
      <c r="U170" s="67">
        <f t="shared" si="36"/>
        <v>0</v>
      </c>
      <c r="V170" s="67">
        <f t="shared" si="37"/>
        <v>0</v>
      </c>
      <c r="W170" s="67">
        <f t="shared" si="38"/>
        <v>5.0847457627118647E-2</v>
      </c>
      <c r="X170" s="67">
        <f t="shared" si="39"/>
        <v>8.4745762711864403E-2</v>
      </c>
      <c r="Y170" s="67">
        <f t="shared" si="40"/>
        <v>0</v>
      </c>
      <c r="Z170" s="67">
        <f t="shared" si="41"/>
        <v>0.13559322033898305</v>
      </c>
      <c r="AA170" s="67">
        <f t="shared" si="42"/>
        <v>1.6949152542372881E-2</v>
      </c>
      <c r="AB170" s="67">
        <f t="shared" si="43"/>
        <v>1.6949152542372881E-2</v>
      </c>
      <c r="AC170" s="67">
        <f t="shared" si="44"/>
        <v>1.6949152542372881E-2</v>
      </c>
      <c r="AD170" s="67">
        <f t="shared" si="45"/>
        <v>8.4745762711864403E-2</v>
      </c>
      <c r="AE170" s="67">
        <f t="shared" si="46"/>
        <v>0.1864406779661017</v>
      </c>
      <c r="AF170" s="67">
        <f t="shared" si="47"/>
        <v>3.098414032139481E-3</v>
      </c>
      <c r="AG170" s="67">
        <f>town_establishments[[#This Row],[share of state establishments]]/($AF$250-$AF$249)</f>
        <v>3.2049540985387582E-3</v>
      </c>
      <c r="AH170" s="67">
        <f>town_establishments[[#This Row],[share of state establishments (no residual)]]/(INDEX(regional_establishments[share of state establishments],MATCH(town_establishments[[#This Row],[Regional Planning Commission]],regional_establishments[Regional Planning Commission],0)))</f>
        <v>3.3183352080989874E-2</v>
      </c>
    </row>
    <row r="171" spans="1:34" x14ac:dyDescent="0.25">
      <c r="A171" t="s">
        <v>271</v>
      </c>
      <c r="B171" t="str">
        <f>INDEX([1]!town_population[Regional Planning Commission],MATCH(town_establishments[[#This Row],[Municipality]],[1]!town_population[Municipality],0))</f>
        <v>Rutland Regional Planning Commission</v>
      </c>
      <c r="C171">
        <v>7</v>
      </c>
      <c r="D171">
        <v>16</v>
      </c>
      <c r="E171">
        <v>3</v>
      </c>
      <c r="F171">
        <v>1</v>
      </c>
      <c r="G171">
        <v>3</v>
      </c>
      <c r="H171">
        <v>0</v>
      </c>
      <c r="I171">
        <v>6</v>
      </c>
      <c r="J171">
        <v>1</v>
      </c>
      <c r="K171">
        <v>5</v>
      </c>
      <c r="L171">
        <v>2</v>
      </c>
      <c r="M171">
        <v>4</v>
      </c>
      <c r="N171">
        <v>1</v>
      </c>
      <c r="O171">
        <v>8</v>
      </c>
      <c r="P171">
        <v>8</v>
      </c>
      <c r="Q171">
        <f t="shared" si="32"/>
        <v>65</v>
      </c>
      <c r="R171" s="67">
        <f t="shared" si="33"/>
        <v>0.1076923076923077</v>
      </c>
      <c r="S171" s="67">
        <f t="shared" si="34"/>
        <v>0.24615384615384617</v>
      </c>
      <c r="T171" s="67">
        <f t="shared" si="35"/>
        <v>4.6153846153846156E-2</v>
      </c>
      <c r="U171" s="67">
        <f t="shared" si="36"/>
        <v>1.5384615384615385E-2</v>
      </c>
      <c r="V171" s="67">
        <f t="shared" si="37"/>
        <v>4.6153846153846156E-2</v>
      </c>
      <c r="W171" s="67">
        <f t="shared" si="38"/>
        <v>0</v>
      </c>
      <c r="X171" s="67">
        <f t="shared" si="39"/>
        <v>9.2307692307692313E-2</v>
      </c>
      <c r="Y171" s="67">
        <f t="shared" si="40"/>
        <v>1.5384615384615385E-2</v>
      </c>
      <c r="Z171" s="67">
        <f t="shared" si="41"/>
        <v>7.6923076923076927E-2</v>
      </c>
      <c r="AA171" s="67">
        <f t="shared" si="42"/>
        <v>3.0769230769230771E-2</v>
      </c>
      <c r="AB171" s="67">
        <f t="shared" si="43"/>
        <v>6.1538461538461542E-2</v>
      </c>
      <c r="AC171" s="67">
        <f t="shared" si="44"/>
        <v>1.5384615384615385E-2</v>
      </c>
      <c r="AD171" s="67">
        <f t="shared" si="45"/>
        <v>0.12307692307692308</v>
      </c>
      <c r="AE171" s="67">
        <f t="shared" si="46"/>
        <v>0.12307692307692308</v>
      </c>
      <c r="AF171" s="67">
        <f t="shared" si="47"/>
        <v>3.4135069845604455E-3</v>
      </c>
      <c r="AG171" s="67">
        <f>town_establishments[[#This Row],[share of state establishments]]/($AF$250-$AF$249)</f>
        <v>3.530881633983378E-3</v>
      </c>
      <c r="AH171" s="67">
        <f>town_establishments[[#This Row],[share of state establishments (no residual)]]/(INDEX(regional_establishments[share of state establishments],MATCH(town_establishments[[#This Row],[Regional Planning Commission]],regional_establishments[Regional Planning Commission],0)))</f>
        <v>3.6557930258717661E-2</v>
      </c>
    </row>
    <row r="172" spans="1:34" x14ac:dyDescent="0.25">
      <c r="A172" t="s">
        <v>272</v>
      </c>
      <c r="B172" t="str">
        <f>INDEX([1]!town_population[Regional Planning Commission],MATCH(town_establishments[[#This Row],[Municipality]],[1]!town_population[Municipality],0))</f>
        <v>Rutland Regional Planning Commission</v>
      </c>
      <c r="D172">
        <v>4</v>
      </c>
      <c r="E172">
        <v>1</v>
      </c>
      <c r="F172">
        <v>1</v>
      </c>
      <c r="H172">
        <v>1</v>
      </c>
      <c r="I172">
        <v>3</v>
      </c>
      <c r="J172">
        <v>2</v>
      </c>
      <c r="K172">
        <v>1</v>
      </c>
      <c r="L172">
        <v>1</v>
      </c>
      <c r="N172">
        <v>1</v>
      </c>
      <c r="O172">
        <v>1</v>
      </c>
      <c r="P172">
        <v>3</v>
      </c>
      <c r="Q172">
        <f t="shared" si="32"/>
        <v>19</v>
      </c>
      <c r="R172" s="67">
        <f t="shared" si="33"/>
        <v>0</v>
      </c>
      <c r="S172" s="67">
        <f t="shared" si="34"/>
        <v>0.21052631578947367</v>
      </c>
      <c r="T172" s="67">
        <f t="shared" si="35"/>
        <v>5.2631578947368418E-2</v>
      </c>
      <c r="U172" s="67">
        <f t="shared" si="36"/>
        <v>5.2631578947368418E-2</v>
      </c>
      <c r="V172" s="67">
        <f t="shared" si="37"/>
        <v>0</v>
      </c>
      <c r="W172" s="67">
        <f t="shared" si="38"/>
        <v>5.2631578947368418E-2</v>
      </c>
      <c r="X172" s="67">
        <f t="shared" si="39"/>
        <v>0.15789473684210525</v>
      </c>
      <c r="Y172" s="67">
        <f t="shared" si="40"/>
        <v>0.10526315789473684</v>
      </c>
      <c r="Z172" s="67">
        <f t="shared" si="41"/>
        <v>5.2631578947368418E-2</v>
      </c>
      <c r="AA172" s="67">
        <f t="shared" si="42"/>
        <v>5.2631578947368418E-2</v>
      </c>
      <c r="AB172" s="67">
        <f t="shared" si="43"/>
        <v>0</v>
      </c>
      <c r="AC172" s="67">
        <f t="shared" si="44"/>
        <v>5.2631578947368418E-2</v>
      </c>
      <c r="AD172" s="67">
        <f t="shared" si="45"/>
        <v>5.2631578947368418E-2</v>
      </c>
      <c r="AE172" s="67">
        <f t="shared" si="46"/>
        <v>0.15789473684210525</v>
      </c>
      <c r="AF172" s="67">
        <f t="shared" si="47"/>
        <v>9.9779434933305335E-4</v>
      </c>
      <c r="AG172" s="67">
        <f>town_establishments[[#This Row],[share of state establishments]]/($AF$250-$AF$249)</f>
        <v>1.0321038622412952E-3</v>
      </c>
      <c r="AH172" s="67">
        <f>town_establishments[[#This Row],[share of state establishments (no residual)]]/(INDEX(regional_establishments[share of state establishments],MATCH(town_establishments[[#This Row],[Regional Planning Commission]],regional_establishments[Regional Planning Commission],0)))</f>
        <v>1.0686164229471317E-2</v>
      </c>
    </row>
    <row r="173" spans="1:34" x14ac:dyDescent="0.25">
      <c r="A173" t="s">
        <v>273</v>
      </c>
      <c r="B173" t="str">
        <f>INDEX([1]!town_population[Regional Planning Commission],MATCH(town_establishments[[#This Row],[Municipality]],[1]!town_population[Municipality],0))</f>
        <v>Rutland Regional Planning Commission</v>
      </c>
      <c r="C173">
        <v>54</v>
      </c>
      <c r="D173">
        <v>137</v>
      </c>
      <c r="E173">
        <v>9</v>
      </c>
      <c r="F173">
        <v>15</v>
      </c>
      <c r="G173">
        <v>43</v>
      </c>
      <c r="H173">
        <v>27</v>
      </c>
      <c r="I173">
        <v>105</v>
      </c>
      <c r="J173">
        <v>7</v>
      </c>
      <c r="K173">
        <v>46</v>
      </c>
      <c r="L173">
        <v>11</v>
      </c>
      <c r="M173">
        <v>137</v>
      </c>
      <c r="N173">
        <v>15</v>
      </c>
      <c r="O173">
        <v>82</v>
      </c>
      <c r="P173">
        <v>78</v>
      </c>
      <c r="Q173">
        <f t="shared" si="32"/>
        <v>766</v>
      </c>
      <c r="R173" s="67">
        <f t="shared" si="33"/>
        <v>7.0496083550913843E-2</v>
      </c>
      <c r="S173" s="67">
        <f t="shared" si="34"/>
        <v>0.17885117493472585</v>
      </c>
      <c r="T173" s="67">
        <f t="shared" si="35"/>
        <v>1.1749347258485639E-2</v>
      </c>
      <c r="U173" s="67">
        <f t="shared" si="36"/>
        <v>1.95822454308094E-2</v>
      </c>
      <c r="V173" s="67">
        <f t="shared" si="37"/>
        <v>5.6135770234986948E-2</v>
      </c>
      <c r="W173" s="67">
        <f t="shared" si="38"/>
        <v>3.5248041775456922E-2</v>
      </c>
      <c r="X173" s="67">
        <f t="shared" si="39"/>
        <v>0.13707571801566579</v>
      </c>
      <c r="Y173" s="67">
        <f t="shared" si="40"/>
        <v>9.138381201044387E-3</v>
      </c>
      <c r="Z173" s="67">
        <f t="shared" si="41"/>
        <v>6.0052219321148827E-2</v>
      </c>
      <c r="AA173" s="67">
        <f t="shared" si="42"/>
        <v>1.4360313315926894E-2</v>
      </c>
      <c r="AB173" s="67">
        <f t="shared" si="43"/>
        <v>0.17885117493472585</v>
      </c>
      <c r="AC173" s="67">
        <f t="shared" si="44"/>
        <v>1.95822454308094E-2</v>
      </c>
      <c r="AD173" s="67">
        <f t="shared" si="45"/>
        <v>0.10704960835509138</v>
      </c>
      <c r="AE173" s="67">
        <f t="shared" si="46"/>
        <v>0.10182767624020887</v>
      </c>
      <c r="AF173" s="67">
        <f t="shared" si="47"/>
        <v>4.0226866925743093E-2</v>
      </c>
      <c r="AG173" s="67">
        <f>town_establishments[[#This Row],[share of state establishments]]/($AF$250-$AF$249)</f>
        <v>4.1610082025096418E-2</v>
      </c>
      <c r="AH173" s="67">
        <f>town_establishments[[#This Row],[share of state establishments (no residual)]]/(INDEX(regional_establishments[share of state establishments],MATCH(town_establishments[[#This Row],[Regional Planning Commission]],regional_establishments[Regional Planning Commission],0)))</f>
        <v>0.43082114735658039</v>
      </c>
    </row>
    <row r="174" spans="1:34" x14ac:dyDescent="0.25">
      <c r="A174" t="s">
        <v>274</v>
      </c>
      <c r="B174" t="str">
        <f>INDEX([1]!town_population[Regional Planning Commission],MATCH(town_establishments[[#This Row],[Municipality]],[1]!town_population[Municipality],0))</f>
        <v>Rutland Regional Planning Commission</v>
      </c>
      <c r="C174">
        <v>12</v>
      </c>
      <c r="D174">
        <v>47</v>
      </c>
      <c r="F174">
        <v>1</v>
      </c>
      <c r="G174">
        <v>3</v>
      </c>
      <c r="H174">
        <v>3</v>
      </c>
      <c r="I174">
        <v>10</v>
      </c>
      <c r="K174">
        <v>11</v>
      </c>
      <c r="L174">
        <v>1</v>
      </c>
      <c r="M174">
        <v>10</v>
      </c>
      <c r="N174">
        <v>1</v>
      </c>
      <c r="O174">
        <v>6</v>
      </c>
      <c r="P174">
        <v>10</v>
      </c>
      <c r="Q174">
        <f t="shared" si="32"/>
        <v>115</v>
      </c>
      <c r="R174" s="67">
        <f t="shared" si="33"/>
        <v>0.10434782608695652</v>
      </c>
      <c r="S174" s="67">
        <f t="shared" si="34"/>
        <v>0.40869565217391307</v>
      </c>
      <c r="T174" s="67">
        <f t="shared" si="35"/>
        <v>0</v>
      </c>
      <c r="U174" s="67">
        <f t="shared" si="36"/>
        <v>8.6956521739130436E-3</v>
      </c>
      <c r="V174" s="67">
        <f t="shared" si="37"/>
        <v>2.6086956521739129E-2</v>
      </c>
      <c r="W174" s="67">
        <f t="shared" si="38"/>
        <v>2.6086956521739129E-2</v>
      </c>
      <c r="X174" s="67">
        <f t="shared" si="39"/>
        <v>8.6956521739130432E-2</v>
      </c>
      <c r="Y174" s="67">
        <f t="shared" si="40"/>
        <v>0</v>
      </c>
      <c r="Z174" s="67">
        <f t="shared" si="41"/>
        <v>9.5652173913043481E-2</v>
      </c>
      <c r="AA174" s="67">
        <f t="shared" si="42"/>
        <v>8.6956521739130436E-3</v>
      </c>
      <c r="AB174" s="67">
        <f t="shared" si="43"/>
        <v>8.6956521739130432E-2</v>
      </c>
      <c r="AC174" s="67">
        <f t="shared" si="44"/>
        <v>8.6956521739130436E-3</v>
      </c>
      <c r="AD174" s="67">
        <f t="shared" si="45"/>
        <v>5.2173913043478258E-2</v>
      </c>
      <c r="AE174" s="67">
        <f t="shared" si="46"/>
        <v>8.6956521739130432E-2</v>
      </c>
      <c r="AF174" s="67">
        <f t="shared" si="47"/>
        <v>6.0392815880684798E-3</v>
      </c>
      <c r="AG174" s="67">
        <f>town_establishments[[#This Row],[share of state establishments]]/($AF$250-$AF$249)</f>
        <v>6.2469444293552058E-3</v>
      </c>
      <c r="AH174" s="67">
        <f>town_establishments[[#This Row],[share of state establishments (no residual)]]/(INDEX(regional_establishments[share of state establishments],MATCH(town_establishments[[#This Row],[Regional Planning Commission]],regional_establishments[Regional Planning Commission],0)))</f>
        <v>6.4679415073115851E-2</v>
      </c>
    </row>
    <row r="175" spans="1:34" x14ac:dyDescent="0.25">
      <c r="A175" t="s">
        <v>275</v>
      </c>
      <c r="B175" t="str">
        <f>INDEX([1]!town_population[Regional Planning Commission],MATCH(town_establishments[[#This Row],[Municipality]],[1]!town_population[Municipality],0))</f>
        <v>Rutland Regional Planning Commission</v>
      </c>
      <c r="C175">
        <v>3</v>
      </c>
      <c r="D175">
        <v>22</v>
      </c>
      <c r="E175">
        <v>1</v>
      </c>
      <c r="F175">
        <v>3</v>
      </c>
      <c r="G175">
        <v>4</v>
      </c>
      <c r="H175">
        <v>20</v>
      </c>
      <c r="I175">
        <v>15</v>
      </c>
      <c r="J175">
        <v>1</v>
      </c>
      <c r="K175">
        <v>8</v>
      </c>
      <c r="L175">
        <v>3</v>
      </c>
      <c r="M175">
        <v>1</v>
      </c>
      <c r="N175">
        <v>5</v>
      </c>
      <c r="O175">
        <v>45</v>
      </c>
      <c r="P175">
        <v>8</v>
      </c>
      <c r="Q175">
        <f t="shared" si="32"/>
        <v>139</v>
      </c>
      <c r="R175" s="67">
        <f t="shared" si="33"/>
        <v>2.1582733812949641E-2</v>
      </c>
      <c r="S175" s="67">
        <f t="shared" si="34"/>
        <v>0.15827338129496402</v>
      </c>
      <c r="T175" s="67">
        <f t="shared" si="35"/>
        <v>7.1942446043165471E-3</v>
      </c>
      <c r="U175" s="67">
        <f t="shared" si="36"/>
        <v>2.1582733812949641E-2</v>
      </c>
      <c r="V175" s="67">
        <f t="shared" si="37"/>
        <v>2.8776978417266189E-2</v>
      </c>
      <c r="W175" s="67">
        <f t="shared" si="38"/>
        <v>0.14388489208633093</v>
      </c>
      <c r="X175" s="67">
        <f t="shared" si="39"/>
        <v>0.1079136690647482</v>
      </c>
      <c r="Y175" s="67">
        <f t="shared" si="40"/>
        <v>7.1942446043165471E-3</v>
      </c>
      <c r="Z175" s="67">
        <f t="shared" si="41"/>
        <v>5.7553956834532377E-2</v>
      </c>
      <c r="AA175" s="67">
        <f t="shared" si="42"/>
        <v>2.1582733812949641E-2</v>
      </c>
      <c r="AB175" s="67">
        <f t="shared" si="43"/>
        <v>7.1942446043165471E-3</v>
      </c>
      <c r="AC175" s="67">
        <f t="shared" si="44"/>
        <v>3.5971223021582732E-2</v>
      </c>
      <c r="AD175" s="67">
        <f t="shared" si="45"/>
        <v>0.32374100719424459</v>
      </c>
      <c r="AE175" s="67">
        <f t="shared" si="46"/>
        <v>5.7553956834532377E-2</v>
      </c>
      <c r="AF175" s="67">
        <f t="shared" si="47"/>
        <v>7.2996533977523368E-3</v>
      </c>
      <c r="AG175" s="67">
        <f>town_establishments[[#This Row],[share of state establishments]]/($AF$250-$AF$249)</f>
        <v>7.5506545711336841E-3</v>
      </c>
      <c r="AH175" s="67">
        <f>town_establishments[[#This Row],[share of state establishments (no residual)]]/(INDEX(regional_establishments[share of state establishments],MATCH(town_establishments[[#This Row],[Regional Planning Commission]],regional_establishments[Regional Planning Commission],0)))</f>
        <v>7.8177727784026985E-2</v>
      </c>
    </row>
    <row r="176" spans="1:34" x14ac:dyDescent="0.25">
      <c r="A176" t="s">
        <v>276</v>
      </c>
      <c r="B176" t="str">
        <f>INDEX([1]!town_population[Regional Planning Commission],MATCH(town_establishments[[#This Row],[Municipality]],[1]!town_population[Municipality],0))</f>
        <v>Rutland Regional Planning Commission</v>
      </c>
      <c r="C176">
        <v>2</v>
      </c>
      <c r="D176">
        <v>2</v>
      </c>
      <c r="E176">
        <v>1</v>
      </c>
      <c r="H176">
        <v>1</v>
      </c>
      <c r="I176">
        <v>5</v>
      </c>
      <c r="K176">
        <v>6</v>
      </c>
      <c r="L176">
        <v>1</v>
      </c>
      <c r="M176">
        <v>2</v>
      </c>
      <c r="O176">
        <v>2</v>
      </c>
      <c r="P176">
        <v>2</v>
      </c>
      <c r="Q176">
        <f t="shared" si="32"/>
        <v>24</v>
      </c>
      <c r="R176" s="67">
        <f t="shared" si="33"/>
        <v>8.3333333333333329E-2</v>
      </c>
      <c r="S176" s="67">
        <f t="shared" si="34"/>
        <v>8.3333333333333329E-2</v>
      </c>
      <c r="T176" s="67">
        <f t="shared" si="35"/>
        <v>4.1666666666666664E-2</v>
      </c>
      <c r="U176" s="67">
        <f t="shared" si="36"/>
        <v>0</v>
      </c>
      <c r="V176" s="67">
        <f t="shared" si="37"/>
        <v>0</v>
      </c>
      <c r="W176" s="67">
        <f t="shared" si="38"/>
        <v>4.1666666666666664E-2</v>
      </c>
      <c r="X176" s="67">
        <f t="shared" si="39"/>
        <v>0.20833333333333334</v>
      </c>
      <c r="Y176" s="67">
        <f t="shared" si="40"/>
        <v>0</v>
      </c>
      <c r="Z176" s="67">
        <f t="shared" si="41"/>
        <v>0.25</v>
      </c>
      <c r="AA176" s="67">
        <f t="shared" si="42"/>
        <v>4.1666666666666664E-2</v>
      </c>
      <c r="AB176" s="67">
        <f t="shared" si="43"/>
        <v>8.3333333333333329E-2</v>
      </c>
      <c r="AC176" s="67">
        <f t="shared" si="44"/>
        <v>0</v>
      </c>
      <c r="AD176" s="67">
        <f t="shared" si="45"/>
        <v>8.3333333333333329E-2</v>
      </c>
      <c r="AE176" s="67">
        <f t="shared" si="46"/>
        <v>8.3333333333333329E-2</v>
      </c>
      <c r="AF176" s="67">
        <f t="shared" si="47"/>
        <v>1.2603718096838568E-3</v>
      </c>
      <c r="AG176" s="67">
        <f>town_establishments[[#This Row],[share of state establishments]]/($AF$250-$AF$249)</f>
        <v>1.3037101417784779E-3</v>
      </c>
      <c r="AH176" s="67">
        <f>town_establishments[[#This Row],[share of state establishments (no residual)]]/(INDEX(regional_establishments[share of state establishments],MATCH(town_establishments[[#This Row],[Regional Planning Commission]],regional_establishments[Regional Planning Commission],0)))</f>
        <v>1.3498312710911134E-2</v>
      </c>
    </row>
    <row r="177" spans="1:34" x14ac:dyDescent="0.25">
      <c r="A177" t="s">
        <v>277</v>
      </c>
      <c r="B177" t="str">
        <f>INDEX([1]!town_population[Regional Planning Commission],MATCH(town_establishments[[#This Row],[Municipality]],[1]!town_population[Municipality],0))</f>
        <v>Rutland Regional Planning Commission</v>
      </c>
      <c r="K177">
        <v>1</v>
      </c>
      <c r="L177">
        <v>1</v>
      </c>
      <c r="M177">
        <v>1</v>
      </c>
      <c r="Q177">
        <f t="shared" si="32"/>
        <v>3</v>
      </c>
      <c r="R177" s="67">
        <f t="shared" si="33"/>
        <v>0</v>
      </c>
      <c r="S177" s="67">
        <f t="shared" si="34"/>
        <v>0</v>
      </c>
      <c r="T177" s="67">
        <f t="shared" si="35"/>
        <v>0</v>
      </c>
      <c r="U177" s="67">
        <f t="shared" si="36"/>
        <v>0</v>
      </c>
      <c r="V177" s="67">
        <f t="shared" si="37"/>
        <v>0</v>
      </c>
      <c r="W177" s="67">
        <f t="shared" si="38"/>
        <v>0</v>
      </c>
      <c r="X177" s="67">
        <f t="shared" si="39"/>
        <v>0</v>
      </c>
      <c r="Y177" s="67">
        <f t="shared" si="40"/>
        <v>0</v>
      </c>
      <c r="Z177" s="67">
        <f t="shared" si="41"/>
        <v>0.33333333333333331</v>
      </c>
      <c r="AA177" s="67">
        <f t="shared" si="42"/>
        <v>0.33333333333333331</v>
      </c>
      <c r="AB177" s="67">
        <f t="shared" si="43"/>
        <v>0.33333333333333331</v>
      </c>
      <c r="AC177" s="67">
        <f t="shared" si="44"/>
        <v>0</v>
      </c>
      <c r="AD177" s="67">
        <f t="shared" si="45"/>
        <v>0</v>
      </c>
      <c r="AE177" s="67">
        <f t="shared" si="46"/>
        <v>0</v>
      </c>
      <c r="AF177" s="67">
        <f t="shared" si="47"/>
        <v>1.575464762104821E-4</v>
      </c>
      <c r="AG177" s="67">
        <f>town_establishments[[#This Row],[share of state establishments]]/($AF$250-$AF$249)</f>
        <v>1.6296376772230973E-4</v>
      </c>
      <c r="AH177" s="67">
        <f>town_establishments[[#This Row],[share of state establishments (no residual)]]/(INDEX(regional_establishments[share of state establishments],MATCH(town_establishments[[#This Row],[Regional Planning Commission]],regional_establishments[Regional Planning Commission],0)))</f>
        <v>1.6872890888638917E-3</v>
      </c>
    </row>
    <row r="178" spans="1:34" x14ac:dyDescent="0.25">
      <c r="A178" t="s">
        <v>278</v>
      </c>
      <c r="B178" t="str">
        <f>INDEX([1]!town_population[Regional Planning Commission],MATCH(town_establishments[[#This Row],[Municipality]],[1]!town_population[Municipality],0))</f>
        <v>Rutland Regional Planning Commission</v>
      </c>
      <c r="C178">
        <v>1</v>
      </c>
      <c r="E178">
        <v>1</v>
      </c>
      <c r="L178">
        <v>1</v>
      </c>
      <c r="O178">
        <v>1</v>
      </c>
      <c r="Q178">
        <f t="shared" si="32"/>
        <v>4</v>
      </c>
      <c r="R178" s="67">
        <f t="shared" si="33"/>
        <v>0.25</v>
      </c>
      <c r="S178" s="67">
        <f t="shared" si="34"/>
        <v>0</v>
      </c>
      <c r="T178" s="67">
        <f t="shared" si="35"/>
        <v>0.25</v>
      </c>
      <c r="U178" s="67">
        <f t="shared" si="36"/>
        <v>0</v>
      </c>
      <c r="V178" s="67">
        <f t="shared" si="37"/>
        <v>0</v>
      </c>
      <c r="W178" s="67">
        <f t="shared" si="38"/>
        <v>0</v>
      </c>
      <c r="X178" s="67">
        <f t="shared" si="39"/>
        <v>0</v>
      </c>
      <c r="Y178" s="67">
        <f t="shared" si="40"/>
        <v>0</v>
      </c>
      <c r="Z178" s="67">
        <f t="shared" si="41"/>
        <v>0</v>
      </c>
      <c r="AA178" s="67">
        <f t="shared" si="42"/>
        <v>0.25</v>
      </c>
      <c r="AB178" s="67">
        <f t="shared" si="43"/>
        <v>0</v>
      </c>
      <c r="AC178" s="67">
        <f t="shared" si="44"/>
        <v>0</v>
      </c>
      <c r="AD178" s="67">
        <f t="shared" si="45"/>
        <v>0.25</v>
      </c>
      <c r="AE178" s="67">
        <f t="shared" si="46"/>
        <v>0</v>
      </c>
      <c r="AF178" s="67">
        <f t="shared" si="47"/>
        <v>2.1006196828064278E-4</v>
      </c>
      <c r="AG178" s="67">
        <f>town_establishments[[#This Row],[share of state establishments]]/($AF$250-$AF$249)</f>
        <v>2.172850236297463E-4</v>
      </c>
      <c r="AH178" s="67">
        <f>town_establishments[[#This Row],[share of state establishments (no residual)]]/(INDEX(regional_establishments[share of state establishments],MATCH(town_establishments[[#This Row],[Regional Planning Commission]],regional_establishments[Regional Planning Commission],0)))</f>
        <v>2.2497187851518558E-3</v>
      </c>
    </row>
    <row r="179" spans="1:34" x14ac:dyDescent="0.25">
      <c r="A179" t="s">
        <v>279</v>
      </c>
      <c r="B179" t="str">
        <f>INDEX([1]!town_population[Regional Planning Commission],MATCH(town_establishments[[#This Row],[Municipality]],[1]!town_population[Municipality],0))</f>
        <v>Rutland Regional Planning Commission</v>
      </c>
      <c r="C179">
        <v>2</v>
      </c>
      <c r="D179">
        <v>9</v>
      </c>
      <c r="E179">
        <v>2</v>
      </c>
      <c r="F179">
        <v>2</v>
      </c>
      <c r="H179">
        <v>1</v>
      </c>
      <c r="I179">
        <v>8</v>
      </c>
      <c r="K179">
        <v>5</v>
      </c>
      <c r="L179">
        <v>1</v>
      </c>
      <c r="M179">
        <v>8</v>
      </c>
      <c r="N179">
        <v>2</v>
      </c>
      <c r="O179">
        <v>3</v>
      </c>
      <c r="P179">
        <v>2</v>
      </c>
      <c r="Q179">
        <f t="shared" si="32"/>
        <v>45</v>
      </c>
      <c r="R179" s="67">
        <f t="shared" si="33"/>
        <v>4.4444444444444446E-2</v>
      </c>
      <c r="S179" s="67">
        <f t="shared" si="34"/>
        <v>0.2</v>
      </c>
      <c r="T179" s="67">
        <f t="shared" si="35"/>
        <v>4.4444444444444446E-2</v>
      </c>
      <c r="U179" s="67">
        <f t="shared" si="36"/>
        <v>4.4444444444444446E-2</v>
      </c>
      <c r="V179" s="67">
        <f t="shared" si="37"/>
        <v>0</v>
      </c>
      <c r="W179" s="67">
        <f t="shared" si="38"/>
        <v>2.2222222222222223E-2</v>
      </c>
      <c r="X179" s="67">
        <f t="shared" si="39"/>
        <v>0.17777777777777778</v>
      </c>
      <c r="Y179" s="67">
        <f t="shared" si="40"/>
        <v>0</v>
      </c>
      <c r="Z179" s="67">
        <f t="shared" si="41"/>
        <v>0.1111111111111111</v>
      </c>
      <c r="AA179" s="67">
        <f t="shared" si="42"/>
        <v>2.2222222222222223E-2</v>
      </c>
      <c r="AB179" s="67">
        <f t="shared" si="43"/>
        <v>0.17777777777777778</v>
      </c>
      <c r="AC179" s="67">
        <f t="shared" si="44"/>
        <v>4.4444444444444446E-2</v>
      </c>
      <c r="AD179" s="67">
        <f t="shared" si="45"/>
        <v>6.6666666666666666E-2</v>
      </c>
      <c r="AE179" s="67">
        <f t="shared" si="46"/>
        <v>4.4444444444444446E-2</v>
      </c>
      <c r="AF179" s="67">
        <f t="shared" si="47"/>
        <v>2.3631971431572313E-3</v>
      </c>
      <c r="AG179" s="67">
        <f>town_establishments[[#This Row],[share of state establishments]]/($AF$250-$AF$249)</f>
        <v>2.4444565158346461E-3</v>
      </c>
      <c r="AH179" s="67">
        <f>town_establishments[[#This Row],[share of state establishments (no residual)]]/(INDEX(regional_establishments[share of state establishments],MATCH(town_establishments[[#This Row],[Regional Planning Commission]],regional_establishments[Regional Planning Commission],0)))</f>
        <v>2.5309336332958378E-2</v>
      </c>
    </row>
    <row r="180" spans="1:34" x14ac:dyDescent="0.25">
      <c r="A180" t="s">
        <v>280</v>
      </c>
      <c r="B180" t="str">
        <f>INDEX([1]!town_population[Regional Planning Commission],MATCH(town_establishments[[#This Row],[Municipality]],[1]!town_population[Municipality],0))</f>
        <v>Rutland Regional Planning Commission</v>
      </c>
      <c r="C180">
        <v>1</v>
      </c>
      <c r="D180">
        <v>3</v>
      </c>
      <c r="E180">
        <v>2</v>
      </c>
      <c r="G180">
        <v>2</v>
      </c>
      <c r="H180">
        <v>2</v>
      </c>
      <c r="I180">
        <v>2</v>
      </c>
      <c r="K180">
        <v>1</v>
      </c>
      <c r="L180">
        <v>1</v>
      </c>
      <c r="M180">
        <v>1</v>
      </c>
      <c r="N180">
        <v>1</v>
      </c>
      <c r="P180">
        <v>3</v>
      </c>
      <c r="Q180">
        <f t="shared" si="32"/>
        <v>19</v>
      </c>
      <c r="R180" s="67">
        <f t="shared" si="33"/>
        <v>5.2631578947368418E-2</v>
      </c>
      <c r="S180" s="67">
        <f t="shared" si="34"/>
        <v>0.15789473684210525</v>
      </c>
      <c r="T180" s="67">
        <f t="shared" si="35"/>
        <v>0.10526315789473684</v>
      </c>
      <c r="U180" s="67">
        <f t="shared" si="36"/>
        <v>0</v>
      </c>
      <c r="V180" s="67">
        <f t="shared" si="37"/>
        <v>0.10526315789473684</v>
      </c>
      <c r="W180" s="67">
        <f t="shared" si="38"/>
        <v>0.10526315789473684</v>
      </c>
      <c r="X180" s="67">
        <f t="shared" si="39"/>
        <v>0.10526315789473684</v>
      </c>
      <c r="Y180" s="67">
        <f t="shared" si="40"/>
        <v>0</v>
      </c>
      <c r="Z180" s="67">
        <f t="shared" si="41"/>
        <v>5.2631578947368418E-2</v>
      </c>
      <c r="AA180" s="67">
        <f t="shared" si="42"/>
        <v>5.2631578947368418E-2</v>
      </c>
      <c r="AB180" s="67">
        <f t="shared" si="43"/>
        <v>5.2631578947368418E-2</v>
      </c>
      <c r="AC180" s="67">
        <f t="shared" si="44"/>
        <v>5.2631578947368418E-2</v>
      </c>
      <c r="AD180" s="67">
        <f t="shared" si="45"/>
        <v>0</v>
      </c>
      <c r="AE180" s="67">
        <f t="shared" si="46"/>
        <v>0.15789473684210525</v>
      </c>
      <c r="AF180" s="67">
        <f t="shared" si="47"/>
        <v>9.9779434933305335E-4</v>
      </c>
      <c r="AG180" s="67">
        <f>town_establishments[[#This Row],[share of state establishments]]/($AF$250-$AF$249)</f>
        <v>1.0321038622412952E-3</v>
      </c>
      <c r="AH180" s="67">
        <f>town_establishments[[#This Row],[share of state establishments (no residual)]]/(INDEX(regional_establishments[share of state establishments],MATCH(town_establishments[[#This Row],[Regional Planning Commission]],regional_establishments[Regional Planning Commission],0)))</f>
        <v>1.0686164229471317E-2</v>
      </c>
    </row>
    <row r="181" spans="1:34" x14ac:dyDescent="0.25">
      <c r="A181" t="s">
        <v>281</v>
      </c>
      <c r="B181" t="str">
        <f>INDEX([1]!town_population[Regional Planning Commission],MATCH(town_establishments[[#This Row],[Municipality]],[1]!town_population[Municipality],0))</f>
        <v>Rutland Regional Planning Commission</v>
      </c>
      <c r="C181">
        <v>6</v>
      </c>
      <c r="D181">
        <v>12</v>
      </c>
      <c r="E181">
        <v>5</v>
      </c>
      <c r="F181">
        <v>1</v>
      </c>
      <c r="I181">
        <v>3</v>
      </c>
      <c r="K181">
        <v>5</v>
      </c>
      <c r="L181">
        <v>1</v>
      </c>
      <c r="M181">
        <v>1</v>
      </c>
      <c r="N181">
        <v>2</v>
      </c>
      <c r="O181">
        <v>6</v>
      </c>
      <c r="P181">
        <v>8</v>
      </c>
      <c r="Q181">
        <f t="shared" si="32"/>
        <v>50</v>
      </c>
      <c r="R181" s="67">
        <f t="shared" si="33"/>
        <v>0.12</v>
      </c>
      <c r="S181" s="67">
        <f t="shared" si="34"/>
        <v>0.24</v>
      </c>
      <c r="T181" s="67">
        <f t="shared" si="35"/>
        <v>0.1</v>
      </c>
      <c r="U181" s="67">
        <f t="shared" si="36"/>
        <v>0.02</v>
      </c>
      <c r="V181" s="67">
        <f t="shared" si="37"/>
        <v>0</v>
      </c>
      <c r="W181" s="67">
        <f t="shared" si="38"/>
        <v>0</v>
      </c>
      <c r="X181" s="67">
        <f t="shared" si="39"/>
        <v>0.06</v>
      </c>
      <c r="Y181" s="67">
        <f t="shared" si="40"/>
        <v>0</v>
      </c>
      <c r="Z181" s="67">
        <f t="shared" si="41"/>
        <v>0.1</v>
      </c>
      <c r="AA181" s="67">
        <f t="shared" si="42"/>
        <v>0.02</v>
      </c>
      <c r="AB181" s="67">
        <f t="shared" si="43"/>
        <v>0.02</v>
      </c>
      <c r="AC181" s="67">
        <f t="shared" si="44"/>
        <v>0.04</v>
      </c>
      <c r="AD181" s="67">
        <f t="shared" si="45"/>
        <v>0.12</v>
      </c>
      <c r="AE181" s="67">
        <f t="shared" si="46"/>
        <v>0.16</v>
      </c>
      <c r="AF181" s="67">
        <f t="shared" si="47"/>
        <v>2.6257746035080348E-3</v>
      </c>
      <c r="AG181" s="67">
        <f>town_establishments[[#This Row],[share of state establishments]]/($AF$250-$AF$249)</f>
        <v>2.7160627953718287E-3</v>
      </c>
      <c r="AH181" s="67">
        <f>town_establishments[[#This Row],[share of state establishments (no residual)]]/(INDEX(regional_establishments[share of state establishments],MATCH(town_establishments[[#This Row],[Regional Planning Commission]],regional_establishments[Regional Planning Commission],0)))</f>
        <v>2.8121484814398197E-2</v>
      </c>
    </row>
    <row r="182" spans="1:34" x14ac:dyDescent="0.25">
      <c r="A182" t="s">
        <v>282</v>
      </c>
      <c r="B182" t="str">
        <f>INDEX([1]!town_population[Regional Planning Commission],MATCH(town_establishments[[#This Row],[Municipality]],[1]!town_population[Municipality],0))</f>
        <v>Rutland Regional Planning Commission</v>
      </c>
      <c r="K182">
        <v>1</v>
      </c>
      <c r="N182">
        <v>1</v>
      </c>
      <c r="Q182">
        <f t="shared" si="32"/>
        <v>2</v>
      </c>
      <c r="R182" s="67">
        <f t="shared" si="33"/>
        <v>0</v>
      </c>
      <c r="S182" s="67">
        <f t="shared" si="34"/>
        <v>0</v>
      </c>
      <c r="T182" s="67">
        <f t="shared" si="35"/>
        <v>0</v>
      </c>
      <c r="U182" s="67">
        <f t="shared" si="36"/>
        <v>0</v>
      </c>
      <c r="V182" s="67">
        <f t="shared" si="37"/>
        <v>0</v>
      </c>
      <c r="W182" s="67">
        <f t="shared" si="38"/>
        <v>0</v>
      </c>
      <c r="X182" s="67">
        <f t="shared" si="39"/>
        <v>0</v>
      </c>
      <c r="Y182" s="67">
        <f t="shared" si="40"/>
        <v>0</v>
      </c>
      <c r="Z182" s="67">
        <f t="shared" si="41"/>
        <v>0.5</v>
      </c>
      <c r="AA182" s="67">
        <f t="shared" si="42"/>
        <v>0</v>
      </c>
      <c r="AB182" s="67">
        <f t="shared" si="43"/>
        <v>0</v>
      </c>
      <c r="AC182" s="67">
        <f t="shared" si="44"/>
        <v>0.5</v>
      </c>
      <c r="AD182" s="67">
        <f t="shared" si="45"/>
        <v>0</v>
      </c>
      <c r="AE182" s="67">
        <f t="shared" si="46"/>
        <v>0</v>
      </c>
      <c r="AF182" s="67">
        <f t="shared" si="47"/>
        <v>1.0503098414032139E-4</v>
      </c>
      <c r="AG182" s="67">
        <f>town_establishments[[#This Row],[share of state establishments]]/($AF$250-$AF$249)</f>
        <v>1.0864251181487315E-4</v>
      </c>
      <c r="AH182" s="67">
        <f>town_establishments[[#This Row],[share of state establishments (no residual)]]/(INDEX(regional_establishments[share of state establishments],MATCH(town_establishments[[#This Row],[Regional Planning Commission]],regional_establishments[Regional Planning Commission],0)))</f>
        <v>1.1248593925759279E-3</v>
      </c>
    </row>
    <row r="183" spans="1:34" x14ac:dyDescent="0.25">
      <c r="A183" t="s">
        <v>283</v>
      </c>
      <c r="B183" t="str">
        <f>INDEX([1]!town_population[Regional Planning Commission],MATCH(town_establishments[[#This Row],[Municipality]],[1]!town_population[Municipality],0))</f>
        <v>Southern Windsor County Regional Planning Commission</v>
      </c>
      <c r="C183">
        <v>1</v>
      </c>
      <c r="D183">
        <v>1</v>
      </c>
      <c r="K183">
        <v>1</v>
      </c>
      <c r="O183">
        <v>1</v>
      </c>
      <c r="P183">
        <v>1</v>
      </c>
      <c r="Q183">
        <f t="shared" si="32"/>
        <v>5</v>
      </c>
      <c r="R183" s="67">
        <f t="shared" si="33"/>
        <v>0.2</v>
      </c>
      <c r="S183" s="67">
        <f t="shared" si="34"/>
        <v>0.2</v>
      </c>
      <c r="T183" s="67">
        <f t="shared" si="35"/>
        <v>0</v>
      </c>
      <c r="U183" s="67">
        <f t="shared" si="36"/>
        <v>0</v>
      </c>
      <c r="V183" s="67">
        <f t="shared" si="37"/>
        <v>0</v>
      </c>
      <c r="W183" s="67">
        <f t="shared" si="38"/>
        <v>0</v>
      </c>
      <c r="X183" s="67">
        <f t="shared" si="39"/>
        <v>0</v>
      </c>
      <c r="Y183" s="67">
        <f t="shared" si="40"/>
        <v>0</v>
      </c>
      <c r="Z183" s="67">
        <f t="shared" si="41"/>
        <v>0.2</v>
      </c>
      <c r="AA183" s="67">
        <f t="shared" si="42"/>
        <v>0</v>
      </c>
      <c r="AB183" s="67">
        <f t="shared" si="43"/>
        <v>0</v>
      </c>
      <c r="AC183" s="67">
        <f t="shared" si="44"/>
        <v>0</v>
      </c>
      <c r="AD183" s="67">
        <f t="shared" si="45"/>
        <v>0.2</v>
      </c>
      <c r="AE183" s="67">
        <f t="shared" si="46"/>
        <v>0.2</v>
      </c>
      <c r="AF183" s="67">
        <f t="shared" si="47"/>
        <v>2.6257746035080349E-4</v>
      </c>
      <c r="AG183" s="67">
        <f>town_establishments[[#This Row],[share of state establishments]]/($AF$250-$AF$249)</f>
        <v>2.7160627953718287E-4</v>
      </c>
      <c r="AH183" s="67">
        <f>town_establishments[[#This Row],[share of state establishments (no residual)]]/(INDEX(regional_establishments[share of state establishments],MATCH(town_establishments[[#This Row],[Regional Planning Commission]],regional_establishments[Regional Planning Commission],0)))</f>
        <v>7.9365079365079378E-3</v>
      </c>
    </row>
    <row r="184" spans="1:34" x14ac:dyDescent="0.25">
      <c r="A184" t="s">
        <v>284</v>
      </c>
      <c r="B184" t="str">
        <f>INDEX([1]!town_population[Regional Planning Commission],MATCH(town_establishments[[#This Row],[Municipality]],[1]!town_population[Municipality],0))</f>
        <v>Southern Windsor County Regional Planning Commission</v>
      </c>
      <c r="I184">
        <v>1</v>
      </c>
      <c r="Q184">
        <f t="shared" si="32"/>
        <v>1</v>
      </c>
      <c r="R184" s="67">
        <f t="shared" si="33"/>
        <v>0</v>
      </c>
      <c r="S184" s="67">
        <f t="shared" si="34"/>
        <v>0</v>
      </c>
      <c r="T184" s="67">
        <f t="shared" si="35"/>
        <v>0</v>
      </c>
      <c r="U184" s="67">
        <f t="shared" si="36"/>
        <v>0</v>
      </c>
      <c r="V184" s="67">
        <f t="shared" si="37"/>
        <v>0</v>
      </c>
      <c r="W184" s="67">
        <f t="shared" si="38"/>
        <v>0</v>
      </c>
      <c r="X184" s="67">
        <f t="shared" si="39"/>
        <v>1</v>
      </c>
      <c r="Y184" s="67">
        <f t="shared" si="40"/>
        <v>0</v>
      </c>
      <c r="Z184" s="67">
        <f t="shared" si="41"/>
        <v>0</v>
      </c>
      <c r="AA184" s="67">
        <f t="shared" si="42"/>
        <v>0</v>
      </c>
      <c r="AB184" s="67">
        <f t="shared" si="43"/>
        <v>0</v>
      </c>
      <c r="AC184" s="67">
        <f t="shared" si="44"/>
        <v>0</v>
      </c>
      <c r="AD184" s="67">
        <f t="shared" si="45"/>
        <v>0</v>
      </c>
      <c r="AE184" s="67">
        <f t="shared" si="46"/>
        <v>0</v>
      </c>
      <c r="AF184" s="67">
        <f t="shared" si="47"/>
        <v>5.2515492070160695E-5</v>
      </c>
      <c r="AG184" s="67">
        <f>town_establishments[[#This Row],[share of state establishments]]/($AF$250-$AF$249)</f>
        <v>5.4321255907436576E-5</v>
      </c>
      <c r="AH184" s="67">
        <f>town_establishments[[#This Row],[share of state establishments (no residual)]]/(INDEX(regional_establishments[share of state establishments],MATCH(town_establishments[[#This Row],[Regional Planning Commission]],regional_establishments[Regional Planning Commission],0)))</f>
        <v>1.5873015873015875E-3</v>
      </c>
    </row>
    <row r="185" spans="1:34" x14ac:dyDescent="0.25">
      <c r="A185" t="s">
        <v>285</v>
      </c>
      <c r="B185" t="str">
        <f>INDEX([1]!town_population[Regional Planning Commission],MATCH(town_establishments[[#This Row],[Municipality]],[1]!town_population[Municipality],0))</f>
        <v>Southern Windsor County Regional Planning Commission</v>
      </c>
      <c r="C185">
        <v>2</v>
      </c>
      <c r="D185">
        <v>1</v>
      </c>
      <c r="E185">
        <v>1</v>
      </c>
      <c r="H185">
        <v>3</v>
      </c>
      <c r="I185">
        <v>2</v>
      </c>
      <c r="K185">
        <v>6</v>
      </c>
      <c r="L185">
        <v>1</v>
      </c>
      <c r="M185">
        <v>4</v>
      </c>
      <c r="N185">
        <v>1</v>
      </c>
      <c r="O185">
        <v>2</v>
      </c>
      <c r="P185">
        <v>4</v>
      </c>
      <c r="Q185">
        <f t="shared" si="32"/>
        <v>27</v>
      </c>
      <c r="R185" s="67">
        <f t="shared" si="33"/>
        <v>7.407407407407407E-2</v>
      </c>
      <c r="S185" s="67">
        <f t="shared" si="34"/>
        <v>3.7037037037037035E-2</v>
      </c>
      <c r="T185" s="67">
        <f t="shared" si="35"/>
        <v>3.7037037037037035E-2</v>
      </c>
      <c r="U185" s="67">
        <f t="shared" si="36"/>
        <v>0</v>
      </c>
      <c r="V185" s="67">
        <f t="shared" si="37"/>
        <v>0</v>
      </c>
      <c r="W185" s="67">
        <f t="shared" si="38"/>
        <v>0.1111111111111111</v>
      </c>
      <c r="X185" s="67">
        <f t="shared" si="39"/>
        <v>7.407407407407407E-2</v>
      </c>
      <c r="Y185" s="67">
        <f t="shared" si="40"/>
        <v>0</v>
      </c>
      <c r="Z185" s="67">
        <f t="shared" si="41"/>
        <v>0.22222222222222221</v>
      </c>
      <c r="AA185" s="67">
        <f t="shared" si="42"/>
        <v>3.7037037037037035E-2</v>
      </c>
      <c r="AB185" s="67">
        <f t="shared" si="43"/>
        <v>0.14814814814814814</v>
      </c>
      <c r="AC185" s="67">
        <f t="shared" si="44"/>
        <v>3.7037037037037035E-2</v>
      </c>
      <c r="AD185" s="67">
        <f t="shared" si="45"/>
        <v>7.407407407407407E-2</v>
      </c>
      <c r="AE185" s="67">
        <f t="shared" si="46"/>
        <v>0.14814814814814814</v>
      </c>
      <c r="AF185" s="67">
        <f t="shared" si="47"/>
        <v>1.4179182858943388E-3</v>
      </c>
      <c r="AG185" s="67">
        <f>town_establishments[[#This Row],[share of state establishments]]/($AF$250-$AF$249)</f>
        <v>1.4666739095007876E-3</v>
      </c>
      <c r="AH185" s="67">
        <f>town_establishments[[#This Row],[share of state establishments (no residual)]]/(INDEX(regional_establishments[share of state establishments],MATCH(town_establishments[[#This Row],[Regional Planning Commission]],regional_establishments[Regional Planning Commission],0)))</f>
        <v>4.2857142857142864E-2</v>
      </c>
    </row>
    <row r="186" spans="1:34" x14ac:dyDescent="0.25">
      <c r="A186" t="s">
        <v>286</v>
      </c>
      <c r="B186" t="str">
        <f>INDEX([1]!town_population[Regional Planning Commission],MATCH(town_establishments[[#This Row],[Municipality]],[1]!town_population[Municipality],0))</f>
        <v>Southern Windsor County Regional Planning Commission</v>
      </c>
      <c r="C186">
        <v>1</v>
      </c>
      <c r="D186">
        <v>15</v>
      </c>
      <c r="E186">
        <v>4</v>
      </c>
      <c r="F186">
        <v>1</v>
      </c>
      <c r="G186">
        <v>7</v>
      </c>
      <c r="H186">
        <v>4</v>
      </c>
      <c r="I186">
        <v>13</v>
      </c>
      <c r="J186">
        <v>2</v>
      </c>
      <c r="K186">
        <v>10</v>
      </c>
      <c r="L186">
        <v>2</v>
      </c>
      <c r="M186">
        <v>5</v>
      </c>
      <c r="N186">
        <v>1</v>
      </c>
      <c r="O186">
        <v>10</v>
      </c>
      <c r="P186">
        <v>15</v>
      </c>
      <c r="Q186">
        <f t="shared" si="32"/>
        <v>90</v>
      </c>
      <c r="R186" s="67">
        <f t="shared" si="33"/>
        <v>1.1111111111111112E-2</v>
      </c>
      <c r="S186" s="67">
        <f t="shared" si="34"/>
        <v>0.16666666666666666</v>
      </c>
      <c r="T186" s="67">
        <f t="shared" si="35"/>
        <v>4.4444444444444446E-2</v>
      </c>
      <c r="U186" s="67">
        <f t="shared" si="36"/>
        <v>1.1111111111111112E-2</v>
      </c>
      <c r="V186" s="67">
        <f t="shared" si="37"/>
        <v>7.7777777777777779E-2</v>
      </c>
      <c r="W186" s="67">
        <f t="shared" si="38"/>
        <v>4.4444444444444446E-2</v>
      </c>
      <c r="X186" s="67">
        <f t="shared" si="39"/>
        <v>0.14444444444444443</v>
      </c>
      <c r="Y186" s="67">
        <f t="shared" si="40"/>
        <v>2.2222222222222223E-2</v>
      </c>
      <c r="Z186" s="67">
        <f t="shared" si="41"/>
        <v>0.1111111111111111</v>
      </c>
      <c r="AA186" s="67">
        <f t="shared" si="42"/>
        <v>2.2222222222222223E-2</v>
      </c>
      <c r="AB186" s="67">
        <f t="shared" si="43"/>
        <v>5.5555555555555552E-2</v>
      </c>
      <c r="AC186" s="67">
        <f t="shared" si="44"/>
        <v>1.1111111111111112E-2</v>
      </c>
      <c r="AD186" s="67">
        <f t="shared" si="45"/>
        <v>0.1111111111111111</v>
      </c>
      <c r="AE186" s="67">
        <f t="shared" si="46"/>
        <v>0.16666666666666666</v>
      </c>
      <c r="AF186" s="67">
        <f t="shared" si="47"/>
        <v>4.7263942863144627E-3</v>
      </c>
      <c r="AG186" s="67">
        <f>town_establishments[[#This Row],[share of state establishments]]/($AF$250-$AF$249)</f>
        <v>4.8889130316692921E-3</v>
      </c>
      <c r="AH186" s="67">
        <f>town_establishments[[#This Row],[share of state establishments (no residual)]]/(INDEX(regional_establishments[share of state establishments],MATCH(town_establishments[[#This Row],[Regional Planning Commission]],regional_establishments[Regional Planning Commission],0)))</f>
        <v>0.1428571428571429</v>
      </c>
    </row>
    <row r="187" spans="1:34" x14ac:dyDescent="0.25">
      <c r="A187" t="s">
        <v>287</v>
      </c>
      <c r="B187" t="str">
        <f>INDEX([1]!town_population[Regional Planning Commission],MATCH(town_establishments[[#This Row],[Municipality]],[1]!town_population[Municipality],0))</f>
        <v>Southern Windsor County Regional Planning Commission</v>
      </c>
      <c r="C187">
        <v>4</v>
      </c>
      <c r="D187">
        <v>26</v>
      </c>
      <c r="E187">
        <v>1</v>
      </c>
      <c r="F187">
        <v>3</v>
      </c>
      <c r="G187">
        <v>6</v>
      </c>
      <c r="H187">
        <v>14</v>
      </c>
      <c r="I187">
        <v>11</v>
      </c>
      <c r="K187">
        <v>4</v>
      </c>
      <c r="L187">
        <v>2</v>
      </c>
      <c r="M187">
        <v>6</v>
      </c>
      <c r="O187">
        <v>24</v>
      </c>
      <c r="P187">
        <v>10</v>
      </c>
      <c r="Q187">
        <f t="shared" si="32"/>
        <v>111</v>
      </c>
      <c r="R187" s="67">
        <f t="shared" si="33"/>
        <v>3.6036036036036036E-2</v>
      </c>
      <c r="S187" s="67">
        <f t="shared" si="34"/>
        <v>0.23423423423423423</v>
      </c>
      <c r="T187" s="67">
        <f t="shared" si="35"/>
        <v>9.0090090090090089E-3</v>
      </c>
      <c r="U187" s="67">
        <f t="shared" si="36"/>
        <v>2.7027027027027029E-2</v>
      </c>
      <c r="V187" s="67">
        <f t="shared" si="37"/>
        <v>5.4054054054054057E-2</v>
      </c>
      <c r="W187" s="67">
        <f t="shared" si="38"/>
        <v>0.12612612612612611</v>
      </c>
      <c r="X187" s="67">
        <f t="shared" si="39"/>
        <v>9.90990990990991E-2</v>
      </c>
      <c r="Y187" s="67">
        <f t="shared" si="40"/>
        <v>0</v>
      </c>
      <c r="Z187" s="67">
        <f t="shared" si="41"/>
        <v>3.6036036036036036E-2</v>
      </c>
      <c r="AA187" s="67">
        <f t="shared" si="42"/>
        <v>1.8018018018018018E-2</v>
      </c>
      <c r="AB187" s="67">
        <f t="shared" si="43"/>
        <v>5.4054054054054057E-2</v>
      </c>
      <c r="AC187" s="67">
        <f t="shared" si="44"/>
        <v>0</v>
      </c>
      <c r="AD187" s="67">
        <f t="shared" si="45"/>
        <v>0.21621621621621623</v>
      </c>
      <c r="AE187" s="67">
        <f t="shared" si="46"/>
        <v>9.0090090090090086E-2</v>
      </c>
      <c r="AF187" s="67">
        <f t="shared" si="47"/>
        <v>5.8292196197878374E-3</v>
      </c>
      <c r="AG187" s="67">
        <f>town_establishments[[#This Row],[share of state establishments]]/($AF$250-$AF$249)</f>
        <v>6.0296594057254608E-3</v>
      </c>
      <c r="AH187" s="67">
        <f>town_establishments[[#This Row],[share of state establishments (no residual)]]/(INDEX(regional_establishments[share of state establishments],MATCH(town_establishments[[#This Row],[Regional Planning Commission]],regional_establishments[Regional Planning Commission],0)))</f>
        <v>0.17619047619047626</v>
      </c>
    </row>
    <row r="188" spans="1:34" x14ac:dyDescent="0.25">
      <c r="A188" t="s">
        <v>288</v>
      </c>
      <c r="B188" t="str">
        <f>INDEX([1]!town_population[Regional Planning Commission],MATCH(town_establishments[[#This Row],[Municipality]],[1]!town_population[Municipality],0))</f>
        <v>Southern Windsor County Regional Planning Commission</v>
      </c>
      <c r="E188">
        <v>1</v>
      </c>
      <c r="I188">
        <v>1</v>
      </c>
      <c r="K188">
        <v>1</v>
      </c>
      <c r="L188">
        <v>1</v>
      </c>
      <c r="N188">
        <v>1</v>
      </c>
      <c r="O188">
        <v>2</v>
      </c>
      <c r="P188">
        <v>1</v>
      </c>
      <c r="Q188">
        <f t="shared" si="32"/>
        <v>8</v>
      </c>
      <c r="R188" s="67">
        <f t="shared" si="33"/>
        <v>0</v>
      </c>
      <c r="S188" s="67">
        <f t="shared" si="34"/>
        <v>0</v>
      </c>
      <c r="T188" s="67">
        <f t="shared" si="35"/>
        <v>0.125</v>
      </c>
      <c r="U188" s="67">
        <f t="shared" si="36"/>
        <v>0</v>
      </c>
      <c r="V188" s="67">
        <f t="shared" si="37"/>
        <v>0</v>
      </c>
      <c r="W188" s="67">
        <f t="shared" si="38"/>
        <v>0</v>
      </c>
      <c r="X188" s="67">
        <f t="shared" si="39"/>
        <v>0.125</v>
      </c>
      <c r="Y188" s="67">
        <f t="shared" si="40"/>
        <v>0</v>
      </c>
      <c r="Z188" s="67">
        <f t="shared" si="41"/>
        <v>0.125</v>
      </c>
      <c r="AA188" s="67">
        <f t="shared" si="42"/>
        <v>0.125</v>
      </c>
      <c r="AB188" s="67">
        <f t="shared" si="43"/>
        <v>0</v>
      </c>
      <c r="AC188" s="67">
        <f t="shared" si="44"/>
        <v>0.125</v>
      </c>
      <c r="AD188" s="67">
        <f t="shared" si="45"/>
        <v>0.25</v>
      </c>
      <c r="AE188" s="67">
        <f t="shared" si="46"/>
        <v>0.125</v>
      </c>
      <c r="AF188" s="67">
        <f t="shared" si="47"/>
        <v>4.2012393656128556E-4</v>
      </c>
      <c r="AG188" s="67">
        <f>town_establishments[[#This Row],[share of state establishments]]/($AF$250-$AF$249)</f>
        <v>4.3457004725949261E-4</v>
      </c>
      <c r="AH188" s="67">
        <f>town_establishments[[#This Row],[share of state establishments (no residual)]]/(INDEX(regional_establishments[share of state establishments],MATCH(town_establishments[[#This Row],[Regional Planning Commission]],regional_establishments[Regional Planning Commission],0)))</f>
        <v>1.26984126984127E-2</v>
      </c>
    </row>
    <row r="189" spans="1:34" x14ac:dyDescent="0.25">
      <c r="A189" t="s">
        <v>289</v>
      </c>
      <c r="B189" t="str">
        <f>INDEX([1]!town_population[Regional Planning Commission],MATCH(town_establishments[[#This Row],[Municipality]],[1]!town_population[Municipality],0))</f>
        <v>Southern Windsor County Regional Planning Commission</v>
      </c>
      <c r="C189">
        <v>15</v>
      </c>
      <c r="D189">
        <v>39</v>
      </c>
      <c r="E189">
        <v>4</v>
      </c>
      <c r="F189">
        <v>9</v>
      </c>
      <c r="G189">
        <v>13</v>
      </c>
      <c r="H189">
        <v>7</v>
      </c>
      <c r="I189">
        <v>34</v>
      </c>
      <c r="K189">
        <v>13</v>
      </c>
      <c r="L189">
        <v>4</v>
      </c>
      <c r="M189">
        <v>37</v>
      </c>
      <c r="N189">
        <v>5</v>
      </c>
      <c r="O189">
        <v>22</v>
      </c>
      <c r="P189">
        <v>22</v>
      </c>
      <c r="Q189">
        <f t="shared" si="32"/>
        <v>224</v>
      </c>
      <c r="R189" s="67">
        <f t="shared" si="33"/>
        <v>6.6964285714285712E-2</v>
      </c>
      <c r="S189" s="67">
        <f t="shared" si="34"/>
        <v>0.17410714285714285</v>
      </c>
      <c r="T189" s="67">
        <f t="shared" si="35"/>
        <v>1.7857142857142856E-2</v>
      </c>
      <c r="U189" s="67">
        <f t="shared" si="36"/>
        <v>4.0178571428571432E-2</v>
      </c>
      <c r="V189" s="67">
        <f t="shared" si="37"/>
        <v>5.8035714285714288E-2</v>
      </c>
      <c r="W189" s="67">
        <f t="shared" si="38"/>
        <v>3.125E-2</v>
      </c>
      <c r="X189" s="67">
        <f t="shared" si="39"/>
        <v>0.15178571428571427</v>
      </c>
      <c r="Y189" s="67">
        <f t="shared" si="40"/>
        <v>0</v>
      </c>
      <c r="Z189" s="67">
        <f t="shared" si="41"/>
        <v>5.8035714285714288E-2</v>
      </c>
      <c r="AA189" s="67">
        <f t="shared" si="42"/>
        <v>1.7857142857142856E-2</v>
      </c>
      <c r="AB189" s="67">
        <f t="shared" si="43"/>
        <v>0.16517857142857142</v>
      </c>
      <c r="AC189" s="67">
        <f t="shared" si="44"/>
        <v>2.2321428571428572E-2</v>
      </c>
      <c r="AD189" s="67">
        <f t="shared" si="45"/>
        <v>9.8214285714285712E-2</v>
      </c>
      <c r="AE189" s="67">
        <f t="shared" si="46"/>
        <v>9.8214285714285712E-2</v>
      </c>
      <c r="AF189" s="67">
        <f t="shared" si="47"/>
        <v>1.1763470223715997E-2</v>
      </c>
      <c r="AG189" s="67">
        <f>town_establishments[[#This Row],[share of state establishments]]/($AF$250-$AF$249)</f>
        <v>1.2167961323265794E-2</v>
      </c>
      <c r="AH189" s="67">
        <f>town_establishments[[#This Row],[share of state establishments (no residual)]]/(INDEX(regional_establishments[share of state establishments],MATCH(town_establishments[[#This Row],[Regional Planning Commission]],regional_establishments[Regional Planning Commission],0)))</f>
        <v>0.35555555555555568</v>
      </c>
    </row>
    <row r="190" spans="1:34" x14ac:dyDescent="0.25">
      <c r="A190" t="s">
        <v>290</v>
      </c>
      <c r="B190" t="str">
        <f>INDEX([1]!town_population[Regional Planning Commission],MATCH(town_establishments[[#This Row],[Municipality]],[1]!town_population[Municipality],0))</f>
        <v>Southern Windsor County Regional Planning Commission</v>
      </c>
      <c r="C190">
        <v>5</v>
      </c>
      <c r="D190">
        <v>6</v>
      </c>
      <c r="E190">
        <v>2</v>
      </c>
      <c r="F190">
        <v>1</v>
      </c>
      <c r="G190">
        <v>1</v>
      </c>
      <c r="H190">
        <v>3</v>
      </c>
      <c r="I190">
        <v>6</v>
      </c>
      <c r="J190">
        <v>1</v>
      </c>
      <c r="K190">
        <v>6</v>
      </c>
      <c r="L190">
        <v>1</v>
      </c>
      <c r="M190">
        <v>2</v>
      </c>
      <c r="N190">
        <v>1</v>
      </c>
      <c r="O190">
        <v>8</v>
      </c>
      <c r="P190">
        <v>3</v>
      </c>
      <c r="Q190">
        <f t="shared" si="32"/>
        <v>46</v>
      </c>
      <c r="R190" s="67">
        <f t="shared" si="33"/>
        <v>0.10869565217391304</v>
      </c>
      <c r="S190" s="67">
        <f t="shared" si="34"/>
        <v>0.13043478260869565</v>
      </c>
      <c r="T190" s="67">
        <f t="shared" si="35"/>
        <v>4.3478260869565216E-2</v>
      </c>
      <c r="U190" s="67">
        <f t="shared" si="36"/>
        <v>2.1739130434782608E-2</v>
      </c>
      <c r="V190" s="67">
        <f t="shared" si="37"/>
        <v>2.1739130434782608E-2</v>
      </c>
      <c r="W190" s="67">
        <f t="shared" si="38"/>
        <v>6.5217391304347824E-2</v>
      </c>
      <c r="X190" s="67">
        <f t="shared" si="39"/>
        <v>0.13043478260869565</v>
      </c>
      <c r="Y190" s="67">
        <f t="shared" si="40"/>
        <v>2.1739130434782608E-2</v>
      </c>
      <c r="Z190" s="67">
        <f t="shared" si="41"/>
        <v>0.13043478260869565</v>
      </c>
      <c r="AA190" s="67">
        <f t="shared" si="42"/>
        <v>2.1739130434782608E-2</v>
      </c>
      <c r="AB190" s="67">
        <f t="shared" si="43"/>
        <v>4.3478260869565216E-2</v>
      </c>
      <c r="AC190" s="67">
        <f t="shared" si="44"/>
        <v>2.1739130434782608E-2</v>
      </c>
      <c r="AD190" s="67">
        <f t="shared" si="45"/>
        <v>0.17391304347826086</v>
      </c>
      <c r="AE190" s="67">
        <f t="shared" si="46"/>
        <v>6.5217391304347824E-2</v>
      </c>
      <c r="AF190" s="67">
        <f t="shared" si="47"/>
        <v>2.4157126352273919E-3</v>
      </c>
      <c r="AG190" s="67">
        <f>town_establishments[[#This Row],[share of state establishments]]/($AF$250-$AF$249)</f>
        <v>2.4987777717420823E-3</v>
      </c>
      <c r="AH190" s="67">
        <f>town_establishments[[#This Row],[share of state establishments (no residual)]]/(INDEX(regional_establishments[share of state establishments],MATCH(town_establishments[[#This Row],[Regional Planning Commission]],regional_establishments[Regional Planning Commission],0)))</f>
        <v>7.301587301587302E-2</v>
      </c>
    </row>
    <row r="191" spans="1:34" x14ac:dyDescent="0.25">
      <c r="A191" t="s">
        <v>291</v>
      </c>
      <c r="B191" t="str">
        <f>INDEX([1]!town_population[Regional Planning Commission],MATCH(town_establishments[[#This Row],[Municipality]],[1]!town_population[Municipality],0))</f>
        <v>Southern Windsor County Regional Planning Commission</v>
      </c>
      <c r="C191">
        <v>2</v>
      </c>
      <c r="D191">
        <v>1</v>
      </c>
      <c r="E191">
        <v>1</v>
      </c>
      <c r="F191">
        <v>2</v>
      </c>
      <c r="I191">
        <v>5</v>
      </c>
      <c r="K191">
        <v>3</v>
      </c>
      <c r="L191">
        <v>1</v>
      </c>
      <c r="M191">
        <v>1</v>
      </c>
      <c r="O191">
        <v>1</v>
      </c>
      <c r="P191">
        <v>1</v>
      </c>
      <c r="Q191">
        <f t="shared" si="32"/>
        <v>18</v>
      </c>
      <c r="R191" s="67">
        <f t="shared" si="33"/>
        <v>0.1111111111111111</v>
      </c>
      <c r="S191" s="67">
        <f t="shared" si="34"/>
        <v>5.5555555555555552E-2</v>
      </c>
      <c r="T191" s="67">
        <f t="shared" si="35"/>
        <v>5.5555555555555552E-2</v>
      </c>
      <c r="U191" s="67">
        <f t="shared" si="36"/>
        <v>0.1111111111111111</v>
      </c>
      <c r="V191" s="67">
        <f t="shared" si="37"/>
        <v>0</v>
      </c>
      <c r="W191" s="67">
        <f t="shared" si="38"/>
        <v>0</v>
      </c>
      <c r="X191" s="67">
        <f t="shared" si="39"/>
        <v>0.27777777777777779</v>
      </c>
      <c r="Y191" s="67">
        <f t="shared" si="40"/>
        <v>0</v>
      </c>
      <c r="Z191" s="67">
        <f t="shared" si="41"/>
        <v>0.16666666666666666</v>
      </c>
      <c r="AA191" s="67">
        <f t="shared" si="42"/>
        <v>5.5555555555555552E-2</v>
      </c>
      <c r="AB191" s="67">
        <f t="shared" si="43"/>
        <v>5.5555555555555552E-2</v>
      </c>
      <c r="AC191" s="67">
        <f t="shared" si="44"/>
        <v>0</v>
      </c>
      <c r="AD191" s="67">
        <f t="shared" si="45"/>
        <v>5.5555555555555552E-2</v>
      </c>
      <c r="AE191" s="67">
        <f t="shared" si="46"/>
        <v>5.5555555555555552E-2</v>
      </c>
      <c r="AF191" s="67">
        <f t="shared" si="47"/>
        <v>9.4527885726289253E-4</v>
      </c>
      <c r="AG191" s="67">
        <f>town_establishments[[#This Row],[share of state establishments]]/($AF$250-$AF$249)</f>
        <v>9.7778260633385851E-4</v>
      </c>
      <c r="AH191" s="67">
        <f>town_establishments[[#This Row],[share of state establishments (no residual)]]/(INDEX(regional_establishments[share of state establishments],MATCH(town_establishments[[#This Row],[Regional Planning Commission]],regional_establishments[Regional Planning Commission],0)))</f>
        <v>2.8571428571428581E-2</v>
      </c>
    </row>
    <row r="192" spans="1:34" x14ac:dyDescent="0.25">
      <c r="A192" t="s">
        <v>292</v>
      </c>
      <c r="B192" t="str">
        <f>INDEX([1]!town_population[Regional Planning Commission],MATCH(town_establishments[[#This Row],[Municipality]],[1]!town_population[Municipality],0))</f>
        <v>Southern Windsor County Regional Planning Commission</v>
      </c>
      <c r="C192">
        <v>8</v>
      </c>
      <c r="D192">
        <v>17</v>
      </c>
      <c r="E192">
        <v>5</v>
      </c>
      <c r="F192">
        <v>1</v>
      </c>
      <c r="G192">
        <v>7</v>
      </c>
      <c r="H192">
        <v>4</v>
      </c>
      <c r="I192">
        <v>11</v>
      </c>
      <c r="J192">
        <v>1</v>
      </c>
      <c r="K192">
        <v>8</v>
      </c>
      <c r="L192">
        <v>1</v>
      </c>
      <c r="M192">
        <v>15</v>
      </c>
      <c r="N192">
        <v>4</v>
      </c>
      <c r="O192">
        <v>7</v>
      </c>
      <c r="P192">
        <v>11</v>
      </c>
      <c r="Q192">
        <f t="shared" si="32"/>
        <v>100</v>
      </c>
      <c r="R192" s="67">
        <f t="shared" si="33"/>
        <v>0.08</v>
      </c>
      <c r="S192" s="67">
        <f t="shared" si="34"/>
        <v>0.17</v>
      </c>
      <c r="T192" s="67">
        <f t="shared" si="35"/>
        <v>0.05</v>
      </c>
      <c r="U192" s="67">
        <f t="shared" si="36"/>
        <v>0.01</v>
      </c>
      <c r="V192" s="67">
        <f t="shared" si="37"/>
        <v>7.0000000000000007E-2</v>
      </c>
      <c r="W192" s="67">
        <f t="shared" si="38"/>
        <v>0.04</v>
      </c>
      <c r="X192" s="67">
        <f t="shared" si="39"/>
        <v>0.11</v>
      </c>
      <c r="Y192" s="67">
        <f t="shared" si="40"/>
        <v>0.01</v>
      </c>
      <c r="Z192" s="67">
        <f t="shared" si="41"/>
        <v>0.08</v>
      </c>
      <c r="AA192" s="67">
        <f t="shared" si="42"/>
        <v>0.01</v>
      </c>
      <c r="AB192" s="67">
        <f t="shared" si="43"/>
        <v>0.15</v>
      </c>
      <c r="AC192" s="67">
        <f t="shared" si="44"/>
        <v>0.04</v>
      </c>
      <c r="AD192" s="67">
        <f t="shared" si="45"/>
        <v>7.0000000000000007E-2</v>
      </c>
      <c r="AE192" s="67">
        <f t="shared" si="46"/>
        <v>0.11</v>
      </c>
      <c r="AF192" s="67">
        <f t="shared" si="47"/>
        <v>5.2515492070160695E-3</v>
      </c>
      <c r="AG192" s="67">
        <f>town_establishments[[#This Row],[share of state establishments]]/($AF$250-$AF$249)</f>
        <v>5.4321255907436574E-3</v>
      </c>
      <c r="AH192" s="67">
        <f>town_establishments[[#This Row],[share of state establishments (no residual)]]/(INDEX(regional_establishments[share of state establishments],MATCH(town_establishments[[#This Row],[Regional Planning Commission]],regional_establishments[Regional Planning Commission],0)))</f>
        <v>0.15873015873015875</v>
      </c>
    </row>
    <row r="193" spans="1:34" x14ac:dyDescent="0.25">
      <c r="A193" t="s">
        <v>293</v>
      </c>
      <c r="B193" t="str">
        <f>INDEX([1]!town_population[Regional Planning Commission],MATCH(town_establishments[[#This Row],[Municipality]],[1]!town_population[Municipality],0))</f>
        <v>Two Rivers-Ottauquechee Regional Commission</v>
      </c>
      <c r="C193">
        <v>2</v>
      </c>
      <c r="D193">
        <v>1</v>
      </c>
      <c r="E193">
        <v>1</v>
      </c>
      <c r="H193">
        <v>2</v>
      </c>
      <c r="I193">
        <v>1</v>
      </c>
      <c r="K193">
        <v>4</v>
      </c>
      <c r="L193">
        <v>1</v>
      </c>
      <c r="M193">
        <v>0</v>
      </c>
      <c r="N193">
        <v>1</v>
      </c>
      <c r="O193">
        <v>4</v>
      </c>
      <c r="P193">
        <v>2</v>
      </c>
      <c r="Q193">
        <f t="shared" si="32"/>
        <v>19</v>
      </c>
      <c r="R193" s="67">
        <f t="shared" si="33"/>
        <v>0.10526315789473684</v>
      </c>
      <c r="S193" s="67">
        <f t="shared" si="34"/>
        <v>5.2631578947368418E-2</v>
      </c>
      <c r="T193" s="67">
        <f t="shared" si="35"/>
        <v>5.2631578947368418E-2</v>
      </c>
      <c r="U193" s="67">
        <f t="shared" si="36"/>
        <v>0</v>
      </c>
      <c r="V193" s="67">
        <f t="shared" si="37"/>
        <v>0</v>
      </c>
      <c r="W193" s="67">
        <f t="shared" si="38"/>
        <v>0.10526315789473684</v>
      </c>
      <c r="X193" s="67">
        <f t="shared" si="39"/>
        <v>5.2631578947368418E-2</v>
      </c>
      <c r="Y193" s="67">
        <f t="shared" si="40"/>
        <v>0</v>
      </c>
      <c r="Z193" s="67">
        <f t="shared" si="41"/>
        <v>0.21052631578947367</v>
      </c>
      <c r="AA193" s="67">
        <f t="shared" si="42"/>
        <v>5.2631578947368418E-2</v>
      </c>
      <c r="AB193" s="67">
        <f t="shared" si="43"/>
        <v>0</v>
      </c>
      <c r="AC193" s="67">
        <f t="shared" si="44"/>
        <v>5.2631578947368418E-2</v>
      </c>
      <c r="AD193" s="67">
        <f t="shared" si="45"/>
        <v>0.21052631578947367</v>
      </c>
      <c r="AE193" s="67">
        <f t="shared" si="46"/>
        <v>0.10526315789473684</v>
      </c>
      <c r="AF193" s="67">
        <f t="shared" si="47"/>
        <v>9.9779434933305335E-4</v>
      </c>
      <c r="AG193" s="67">
        <f>town_establishments[[#This Row],[share of state establishments]]/($AF$250-$AF$249)</f>
        <v>1.0321038622412952E-3</v>
      </c>
      <c r="AH193" s="67">
        <f>town_establishments[[#This Row],[share of state establishments (no residual)]]/(INDEX(regional_establishments[share of state establishments],MATCH(town_establishments[[#This Row],[Regional Planning Commission]],regional_establishments[Regional Planning Commission],0)))</f>
        <v>1.1728395061728399E-2</v>
      </c>
    </row>
    <row r="194" spans="1:34" x14ac:dyDescent="0.25">
      <c r="A194" t="s">
        <v>294</v>
      </c>
      <c r="B194" t="str">
        <f>INDEX([1]!town_population[Regional Planning Commission],MATCH(town_establishments[[#This Row],[Municipality]],[1]!town_population[Municipality],0))</f>
        <v>Two Rivers-Ottauquechee Regional Commission</v>
      </c>
      <c r="C194">
        <v>5</v>
      </c>
      <c r="D194">
        <v>14</v>
      </c>
      <c r="E194">
        <v>1</v>
      </c>
      <c r="F194">
        <v>2</v>
      </c>
      <c r="G194">
        <v>5</v>
      </c>
      <c r="I194">
        <v>9</v>
      </c>
      <c r="K194">
        <v>3</v>
      </c>
      <c r="L194">
        <v>2</v>
      </c>
      <c r="M194">
        <v>3</v>
      </c>
      <c r="N194">
        <v>1</v>
      </c>
      <c r="O194">
        <v>7</v>
      </c>
      <c r="P194">
        <v>4</v>
      </c>
      <c r="Q194">
        <f t="shared" si="32"/>
        <v>56</v>
      </c>
      <c r="R194" s="67">
        <f t="shared" si="33"/>
        <v>8.9285714285714288E-2</v>
      </c>
      <c r="S194" s="67">
        <f t="shared" si="34"/>
        <v>0.25</v>
      </c>
      <c r="T194" s="67">
        <f t="shared" si="35"/>
        <v>1.7857142857142856E-2</v>
      </c>
      <c r="U194" s="67">
        <f t="shared" si="36"/>
        <v>3.5714285714285712E-2</v>
      </c>
      <c r="V194" s="67">
        <f t="shared" si="37"/>
        <v>8.9285714285714288E-2</v>
      </c>
      <c r="W194" s="67">
        <f t="shared" si="38"/>
        <v>0</v>
      </c>
      <c r="X194" s="67">
        <f t="shared" si="39"/>
        <v>0.16071428571428573</v>
      </c>
      <c r="Y194" s="67">
        <f t="shared" si="40"/>
        <v>0</v>
      </c>
      <c r="Z194" s="67">
        <f t="shared" si="41"/>
        <v>5.3571428571428568E-2</v>
      </c>
      <c r="AA194" s="67">
        <f t="shared" si="42"/>
        <v>3.5714285714285712E-2</v>
      </c>
      <c r="AB194" s="67">
        <f t="shared" si="43"/>
        <v>5.3571428571428568E-2</v>
      </c>
      <c r="AC194" s="67">
        <f t="shared" si="44"/>
        <v>1.7857142857142856E-2</v>
      </c>
      <c r="AD194" s="67">
        <f t="shared" si="45"/>
        <v>0.125</v>
      </c>
      <c r="AE194" s="67">
        <f t="shared" si="46"/>
        <v>7.1428571428571425E-2</v>
      </c>
      <c r="AF194" s="67">
        <f t="shared" si="47"/>
        <v>2.9408675559289992E-3</v>
      </c>
      <c r="AG194" s="67">
        <f>town_establishments[[#This Row],[share of state establishments]]/($AF$250-$AF$249)</f>
        <v>3.0419903308164485E-3</v>
      </c>
      <c r="AH194" s="67">
        <f>town_establishments[[#This Row],[share of state establishments (no residual)]]/(INDEX(regional_establishments[share of state establishments],MATCH(town_establishments[[#This Row],[Regional Planning Commission]],regional_establishments[Regional Planning Commission],0)))</f>
        <v>3.4567901234567905E-2</v>
      </c>
    </row>
    <row r="195" spans="1:34" x14ac:dyDescent="0.25">
      <c r="A195" t="s">
        <v>295</v>
      </c>
      <c r="B195" t="str">
        <f>INDEX([1]!town_population[Regional Planning Commission],MATCH(town_establishments[[#This Row],[Municipality]],[1]!town_population[Municipality],0))</f>
        <v>Two Rivers-Ottauquechee Regional Commission</v>
      </c>
      <c r="C195">
        <v>2</v>
      </c>
      <c r="D195">
        <v>16</v>
      </c>
      <c r="E195">
        <v>2</v>
      </c>
      <c r="F195">
        <v>2</v>
      </c>
      <c r="G195">
        <v>7</v>
      </c>
      <c r="H195">
        <v>3</v>
      </c>
      <c r="I195">
        <v>6</v>
      </c>
      <c r="J195">
        <v>1</v>
      </c>
      <c r="K195">
        <v>4</v>
      </c>
      <c r="L195">
        <v>2</v>
      </c>
      <c r="M195">
        <v>17</v>
      </c>
      <c r="N195">
        <v>2</v>
      </c>
      <c r="O195">
        <v>9</v>
      </c>
      <c r="P195">
        <v>12</v>
      </c>
      <c r="Q195">
        <f t="shared" ref="Q195:Q258" si="48">SUM(C195:P195)</f>
        <v>85</v>
      </c>
      <c r="R195" s="67">
        <f t="shared" ref="R195:R250" si="49">IF($Q195&lt;&gt;0,C195/$Q195,0)</f>
        <v>2.3529411764705882E-2</v>
      </c>
      <c r="S195" s="67">
        <f t="shared" ref="S195:S250" si="50">IF($Q195&lt;&gt;0,D195/$Q195,0)</f>
        <v>0.18823529411764706</v>
      </c>
      <c r="T195" s="67">
        <f t="shared" ref="T195:T250" si="51">IF($Q195&lt;&gt;0,E195/$Q195,0)</f>
        <v>2.3529411764705882E-2</v>
      </c>
      <c r="U195" s="67">
        <f t="shared" ref="U195:U250" si="52">IF($Q195&lt;&gt;0,F195/$Q195,0)</f>
        <v>2.3529411764705882E-2</v>
      </c>
      <c r="V195" s="67">
        <f t="shared" ref="V195:V250" si="53">IF($Q195&lt;&gt;0,G195/$Q195,0)</f>
        <v>8.2352941176470587E-2</v>
      </c>
      <c r="W195" s="67">
        <f t="shared" ref="W195:W250" si="54">IF($Q195&lt;&gt;0,H195/$Q195,0)</f>
        <v>3.5294117647058823E-2</v>
      </c>
      <c r="X195" s="67">
        <f t="shared" ref="X195:X250" si="55">IF($Q195&lt;&gt;0,I195/$Q195,0)</f>
        <v>7.0588235294117646E-2</v>
      </c>
      <c r="Y195" s="67">
        <f t="shared" ref="Y195:Y250" si="56">IF($Q195&lt;&gt;0,J195/$Q195,0)</f>
        <v>1.1764705882352941E-2</v>
      </c>
      <c r="Z195" s="67">
        <f t="shared" ref="Z195:Z250" si="57">IF($Q195&lt;&gt;0,K195/$Q195,0)</f>
        <v>4.7058823529411764E-2</v>
      </c>
      <c r="AA195" s="67">
        <f t="shared" ref="AA195:AA250" si="58">IF($Q195&lt;&gt;0,L195/$Q195,0)</f>
        <v>2.3529411764705882E-2</v>
      </c>
      <c r="AB195" s="67">
        <f t="shared" ref="AB195:AB250" si="59">IF($Q195&lt;&gt;0,M195/$Q195,0)</f>
        <v>0.2</v>
      </c>
      <c r="AC195" s="67">
        <f t="shared" ref="AC195:AC250" si="60">IF($Q195&lt;&gt;0,N195/$Q195,0)</f>
        <v>2.3529411764705882E-2</v>
      </c>
      <c r="AD195" s="67">
        <f t="shared" ref="AD195:AD250" si="61">IF($Q195&lt;&gt;0,O195/$Q195,0)</f>
        <v>0.10588235294117647</v>
      </c>
      <c r="AE195" s="67">
        <f t="shared" ref="AE195:AE250" si="62">IF($Q195&lt;&gt;0,P195/$Q195,0)</f>
        <v>0.14117647058823529</v>
      </c>
      <c r="AF195" s="67">
        <f t="shared" ref="AF195:AF250" si="63">Q195/Q$250</f>
        <v>4.4638168259636592E-3</v>
      </c>
      <c r="AG195" s="67">
        <f>town_establishments[[#This Row],[share of state establishments]]/($AF$250-$AF$249)</f>
        <v>4.617306752132109E-3</v>
      </c>
      <c r="AH195" s="67">
        <f>town_establishments[[#This Row],[share of state establishments (no residual)]]/(INDEX(regional_establishments[share of state establishments],MATCH(town_establishments[[#This Row],[Regional Planning Commission]],regional_establishments[Regional Planning Commission],0)))</f>
        <v>5.246913580246914E-2</v>
      </c>
    </row>
    <row r="196" spans="1:34" x14ac:dyDescent="0.25">
      <c r="A196" t="s">
        <v>296</v>
      </c>
      <c r="B196" t="str">
        <f>INDEX([1]!town_population[Regional Planning Commission],MATCH(town_establishments[[#This Row],[Municipality]],[1]!town_population[Municipality],0))</f>
        <v>Two Rivers-Ottauquechee Regional Commission</v>
      </c>
      <c r="C196">
        <v>1</v>
      </c>
      <c r="E196">
        <v>0</v>
      </c>
      <c r="I196">
        <v>2</v>
      </c>
      <c r="K196">
        <v>1</v>
      </c>
      <c r="L196">
        <v>1</v>
      </c>
      <c r="O196">
        <v>1</v>
      </c>
      <c r="P196">
        <v>2</v>
      </c>
      <c r="Q196">
        <f t="shared" si="48"/>
        <v>8</v>
      </c>
      <c r="R196" s="67">
        <f t="shared" si="49"/>
        <v>0.125</v>
      </c>
      <c r="S196" s="67">
        <f t="shared" si="50"/>
        <v>0</v>
      </c>
      <c r="T196" s="67">
        <f t="shared" si="51"/>
        <v>0</v>
      </c>
      <c r="U196" s="67">
        <f t="shared" si="52"/>
        <v>0</v>
      </c>
      <c r="V196" s="67">
        <f t="shared" si="53"/>
        <v>0</v>
      </c>
      <c r="W196" s="67">
        <f t="shared" si="54"/>
        <v>0</v>
      </c>
      <c r="X196" s="67">
        <f t="shared" si="55"/>
        <v>0.25</v>
      </c>
      <c r="Y196" s="67">
        <f t="shared" si="56"/>
        <v>0</v>
      </c>
      <c r="Z196" s="67">
        <f t="shared" si="57"/>
        <v>0.125</v>
      </c>
      <c r="AA196" s="67">
        <f t="shared" si="58"/>
        <v>0.125</v>
      </c>
      <c r="AB196" s="67">
        <f t="shared" si="59"/>
        <v>0</v>
      </c>
      <c r="AC196" s="67">
        <f t="shared" si="60"/>
        <v>0</v>
      </c>
      <c r="AD196" s="67">
        <f t="shared" si="61"/>
        <v>0.125</v>
      </c>
      <c r="AE196" s="67">
        <f t="shared" si="62"/>
        <v>0.25</v>
      </c>
      <c r="AF196" s="67">
        <f t="shared" si="63"/>
        <v>4.2012393656128556E-4</v>
      </c>
      <c r="AG196" s="67">
        <f>town_establishments[[#This Row],[share of state establishments]]/($AF$250-$AF$249)</f>
        <v>4.3457004725949261E-4</v>
      </c>
      <c r="AH196" s="67">
        <f>town_establishments[[#This Row],[share of state establishments (no residual)]]/(INDEX(regional_establishments[share of state establishments],MATCH(town_establishments[[#This Row],[Regional Planning Commission]],regional_establishments[Regional Planning Commission],0)))</f>
        <v>4.9382716049382715E-3</v>
      </c>
    </row>
    <row r="197" spans="1:34" x14ac:dyDescent="0.25">
      <c r="A197" t="s">
        <v>297</v>
      </c>
      <c r="B197" t="str">
        <f>INDEX([1]!town_population[Regional Planning Commission],MATCH(town_establishments[[#This Row],[Municipality]],[1]!town_population[Municipality],0))</f>
        <v>Two Rivers-Ottauquechee Regional Commission</v>
      </c>
      <c r="D197">
        <v>4</v>
      </c>
      <c r="E197">
        <v>2</v>
      </c>
      <c r="I197">
        <v>4</v>
      </c>
      <c r="K197">
        <v>3</v>
      </c>
      <c r="L197">
        <v>1</v>
      </c>
      <c r="N197">
        <v>1</v>
      </c>
      <c r="O197">
        <v>4</v>
      </c>
      <c r="P197">
        <v>2</v>
      </c>
      <c r="Q197">
        <f t="shared" si="48"/>
        <v>21</v>
      </c>
      <c r="R197" s="67">
        <f t="shared" si="49"/>
        <v>0</v>
      </c>
      <c r="S197" s="67">
        <f t="shared" si="50"/>
        <v>0.19047619047619047</v>
      </c>
      <c r="T197" s="67">
        <f t="shared" si="51"/>
        <v>9.5238095238095233E-2</v>
      </c>
      <c r="U197" s="67">
        <f t="shared" si="52"/>
        <v>0</v>
      </c>
      <c r="V197" s="67">
        <f t="shared" si="53"/>
        <v>0</v>
      </c>
      <c r="W197" s="67">
        <f t="shared" si="54"/>
        <v>0</v>
      </c>
      <c r="X197" s="67">
        <f t="shared" si="55"/>
        <v>0.19047619047619047</v>
      </c>
      <c r="Y197" s="67">
        <f t="shared" si="56"/>
        <v>0</v>
      </c>
      <c r="Z197" s="67">
        <f t="shared" si="57"/>
        <v>0.14285714285714285</v>
      </c>
      <c r="AA197" s="67">
        <f t="shared" si="58"/>
        <v>4.7619047619047616E-2</v>
      </c>
      <c r="AB197" s="67">
        <f t="shared" si="59"/>
        <v>0</v>
      </c>
      <c r="AC197" s="67">
        <f t="shared" si="60"/>
        <v>4.7619047619047616E-2</v>
      </c>
      <c r="AD197" s="67">
        <f t="shared" si="61"/>
        <v>0.19047619047619047</v>
      </c>
      <c r="AE197" s="67">
        <f t="shared" si="62"/>
        <v>9.5238095238095233E-2</v>
      </c>
      <c r="AF197" s="67">
        <f t="shared" si="63"/>
        <v>1.1028253334733746E-3</v>
      </c>
      <c r="AG197" s="67">
        <f>town_establishments[[#This Row],[share of state establishments]]/($AF$250-$AF$249)</f>
        <v>1.140746374056168E-3</v>
      </c>
      <c r="AH197" s="67">
        <f>town_establishments[[#This Row],[share of state establishments (no residual)]]/(INDEX(regional_establishments[share of state establishments],MATCH(town_establishments[[#This Row],[Regional Planning Commission]],regional_establishments[Regional Planning Commission],0)))</f>
        <v>1.2962962962962963E-2</v>
      </c>
    </row>
    <row r="198" spans="1:34" x14ac:dyDescent="0.25">
      <c r="A198" t="s">
        <v>298</v>
      </c>
      <c r="B198" t="str">
        <f>INDEX([1]!town_population[Regional Planning Commission],MATCH(town_establishments[[#This Row],[Municipality]],[1]!town_population[Municipality],0))</f>
        <v>Two Rivers-Ottauquechee Regional Commission</v>
      </c>
      <c r="E198">
        <v>1</v>
      </c>
      <c r="F198">
        <v>1</v>
      </c>
      <c r="I198">
        <v>5</v>
      </c>
      <c r="K198">
        <v>2</v>
      </c>
      <c r="L198">
        <v>1</v>
      </c>
      <c r="O198">
        <v>1</v>
      </c>
      <c r="P198">
        <v>1</v>
      </c>
      <c r="Q198">
        <f t="shared" si="48"/>
        <v>12</v>
      </c>
      <c r="R198" s="67">
        <f t="shared" si="49"/>
        <v>0</v>
      </c>
      <c r="S198" s="67">
        <f t="shared" si="50"/>
        <v>0</v>
      </c>
      <c r="T198" s="67">
        <f t="shared" si="51"/>
        <v>8.3333333333333329E-2</v>
      </c>
      <c r="U198" s="67">
        <f t="shared" si="52"/>
        <v>8.3333333333333329E-2</v>
      </c>
      <c r="V198" s="67">
        <f t="shared" si="53"/>
        <v>0</v>
      </c>
      <c r="W198" s="67">
        <f t="shared" si="54"/>
        <v>0</v>
      </c>
      <c r="X198" s="67">
        <f t="shared" si="55"/>
        <v>0.41666666666666669</v>
      </c>
      <c r="Y198" s="67">
        <f t="shared" si="56"/>
        <v>0</v>
      </c>
      <c r="Z198" s="67">
        <f t="shared" si="57"/>
        <v>0.16666666666666666</v>
      </c>
      <c r="AA198" s="67">
        <f t="shared" si="58"/>
        <v>8.3333333333333329E-2</v>
      </c>
      <c r="AB198" s="67">
        <f t="shared" si="59"/>
        <v>0</v>
      </c>
      <c r="AC198" s="67">
        <f t="shared" si="60"/>
        <v>0</v>
      </c>
      <c r="AD198" s="67">
        <f t="shared" si="61"/>
        <v>8.3333333333333329E-2</v>
      </c>
      <c r="AE198" s="67">
        <f t="shared" si="62"/>
        <v>8.3333333333333329E-2</v>
      </c>
      <c r="AF198" s="67">
        <f t="shared" si="63"/>
        <v>6.3018590484192839E-4</v>
      </c>
      <c r="AG198" s="67">
        <f>town_establishments[[#This Row],[share of state establishments]]/($AF$250-$AF$249)</f>
        <v>6.5185507088923894E-4</v>
      </c>
      <c r="AH198" s="67">
        <f>town_establishments[[#This Row],[share of state establishments (no residual)]]/(INDEX(regional_establishments[share of state establishments],MATCH(town_establishments[[#This Row],[Regional Planning Commission]],regional_establishments[Regional Planning Commission],0)))</f>
        <v>7.4074074074074077E-3</v>
      </c>
    </row>
    <row r="199" spans="1:34" x14ac:dyDescent="0.25">
      <c r="A199" t="s">
        <v>299</v>
      </c>
      <c r="B199" t="str">
        <f>INDEX([1]!town_population[Regional Planning Commission],MATCH(town_establishments[[#This Row],[Municipality]],[1]!town_population[Municipality],0))</f>
        <v>Two Rivers-Ottauquechee Regional Commission</v>
      </c>
      <c r="D199">
        <v>4</v>
      </c>
      <c r="E199">
        <v>1</v>
      </c>
      <c r="G199">
        <v>2</v>
      </c>
      <c r="I199">
        <v>7</v>
      </c>
      <c r="L199">
        <v>1</v>
      </c>
      <c r="M199">
        <v>9</v>
      </c>
      <c r="O199">
        <v>2</v>
      </c>
      <c r="P199">
        <v>5</v>
      </c>
      <c r="Q199">
        <f t="shared" si="48"/>
        <v>31</v>
      </c>
      <c r="R199" s="67">
        <f t="shared" si="49"/>
        <v>0</v>
      </c>
      <c r="S199" s="67">
        <f t="shared" si="50"/>
        <v>0.12903225806451613</v>
      </c>
      <c r="T199" s="67">
        <f t="shared" si="51"/>
        <v>3.2258064516129031E-2</v>
      </c>
      <c r="U199" s="67">
        <f t="shared" si="52"/>
        <v>0</v>
      </c>
      <c r="V199" s="67">
        <f t="shared" si="53"/>
        <v>6.4516129032258063E-2</v>
      </c>
      <c r="W199" s="67">
        <f t="shared" si="54"/>
        <v>0</v>
      </c>
      <c r="X199" s="67">
        <f t="shared" si="55"/>
        <v>0.22580645161290322</v>
      </c>
      <c r="Y199" s="67">
        <f t="shared" si="56"/>
        <v>0</v>
      </c>
      <c r="Z199" s="67">
        <f t="shared" si="57"/>
        <v>0</v>
      </c>
      <c r="AA199" s="67">
        <f t="shared" si="58"/>
        <v>3.2258064516129031E-2</v>
      </c>
      <c r="AB199" s="67">
        <f t="shared" si="59"/>
        <v>0.29032258064516131</v>
      </c>
      <c r="AC199" s="67">
        <f t="shared" si="60"/>
        <v>0</v>
      </c>
      <c r="AD199" s="67">
        <f t="shared" si="61"/>
        <v>6.4516129032258063E-2</v>
      </c>
      <c r="AE199" s="67">
        <f t="shared" si="62"/>
        <v>0.16129032258064516</v>
      </c>
      <c r="AF199" s="67">
        <f t="shared" si="63"/>
        <v>1.6279802541749816E-3</v>
      </c>
      <c r="AG199" s="67">
        <f>town_establishments[[#This Row],[share of state establishments]]/($AF$250-$AF$249)</f>
        <v>1.6839589331305339E-3</v>
      </c>
      <c r="AH199" s="67">
        <f>town_establishments[[#This Row],[share of state establishments (no residual)]]/(INDEX(regional_establishments[share of state establishments],MATCH(town_establishments[[#This Row],[Regional Planning Commission]],regional_establishments[Regional Planning Commission],0)))</f>
        <v>1.9135802469135803E-2</v>
      </c>
    </row>
    <row r="200" spans="1:34" x14ac:dyDescent="0.25">
      <c r="A200" t="s">
        <v>300</v>
      </c>
      <c r="B200" t="str">
        <f>INDEX([1]!town_population[Regional Planning Commission],MATCH(town_establishments[[#This Row],[Municipality]],[1]!town_population[Municipality],0))</f>
        <v>Two Rivers-Ottauquechee Regional Commission</v>
      </c>
      <c r="D200">
        <v>2</v>
      </c>
      <c r="E200">
        <v>2</v>
      </c>
      <c r="F200">
        <v>3</v>
      </c>
      <c r="H200">
        <v>1</v>
      </c>
      <c r="I200">
        <v>4</v>
      </c>
      <c r="K200">
        <v>1</v>
      </c>
      <c r="L200">
        <v>1</v>
      </c>
      <c r="M200">
        <v>2</v>
      </c>
      <c r="P200">
        <v>1</v>
      </c>
      <c r="Q200">
        <f t="shared" si="48"/>
        <v>17</v>
      </c>
      <c r="R200" s="67">
        <f t="shared" si="49"/>
        <v>0</v>
      </c>
      <c r="S200" s="67">
        <f t="shared" si="50"/>
        <v>0.11764705882352941</v>
      </c>
      <c r="T200" s="67">
        <f t="shared" si="51"/>
        <v>0.11764705882352941</v>
      </c>
      <c r="U200" s="67">
        <f t="shared" si="52"/>
        <v>0.17647058823529413</v>
      </c>
      <c r="V200" s="67">
        <f t="shared" si="53"/>
        <v>0</v>
      </c>
      <c r="W200" s="67">
        <f t="shared" si="54"/>
        <v>5.8823529411764705E-2</v>
      </c>
      <c r="X200" s="67">
        <f t="shared" si="55"/>
        <v>0.23529411764705882</v>
      </c>
      <c r="Y200" s="67">
        <f t="shared" si="56"/>
        <v>0</v>
      </c>
      <c r="Z200" s="67">
        <f t="shared" si="57"/>
        <v>5.8823529411764705E-2</v>
      </c>
      <c r="AA200" s="67">
        <f t="shared" si="58"/>
        <v>5.8823529411764705E-2</v>
      </c>
      <c r="AB200" s="67">
        <f t="shared" si="59"/>
        <v>0.11764705882352941</v>
      </c>
      <c r="AC200" s="67">
        <f t="shared" si="60"/>
        <v>0</v>
      </c>
      <c r="AD200" s="67">
        <f t="shared" si="61"/>
        <v>0</v>
      </c>
      <c r="AE200" s="67">
        <f t="shared" si="62"/>
        <v>5.8823529411764705E-2</v>
      </c>
      <c r="AF200" s="67">
        <f t="shared" si="63"/>
        <v>8.9276336519273183E-4</v>
      </c>
      <c r="AG200" s="67">
        <f>town_establishments[[#This Row],[share of state establishments]]/($AF$250-$AF$249)</f>
        <v>9.2346135042642181E-4</v>
      </c>
      <c r="AH200" s="67">
        <f>town_establishments[[#This Row],[share of state establishments (no residual)]]/(INDEX(regional_establishments[share of state establishments],MATCH(town_establishments[[#This Row],[Regional Planning Commission]],regional_establishments[Regional Planning Commission],0)))</f>
        <v>1.0493827160493827E-2</v>
      </c>
    </row>
    <row r="201" spans="1:34" x14ac:dyDescent="0.25">
      <c r="A201" t="s">
        <v>301</v>
      </c>
      <c r="B201" t="str">
        <f>INDEX([1]!town_population[Regional Planning Commission],MATCH(town_establishments[[#This Row],[Municipality]],[1]!town_population[Municipality],0))</f>
        <v>Two Rivers-Ottauquechee Regional Commission</v>
      </c>
      <c r="C201">
        <v>3</v>
      </c>
      <c r="D201">
        <v>11</v>
      </c>
      <c r="E201">
        <v>4</v>
      </c>
      <c r="G201">
        <v>1</v>
      </c>
      <c r="I201">
        <v>8</v>
      </c>
      <c r="K201">
        <v>2</v>
      </c>
      <c r="L201">
        <v>1</v>
      </c>
      <c r="M201">
        <v>4</v>
      </c>
      <c r="O201">
        <v>8</v>
      </c>
      <c r="P201">
        <v>5</v>
      </c>
      <c r="Q201">
        <f t="shared" si="48"/>
        <v>47</v>
      </c>
      <c r="R201" s="67">
        <f t="shared" si="49"/>
        <v>6.3829787234042548E-2</v>
      </c>
      <c r="S201" s="67">
        <f t="shared" si="50"/>
        <v>0.23404255319148937</v>
      </c>
      <c r="T201" s="67">
        <f t="shared" si="51"/>
        <v>8.5106382978723402E-2</v>
      </c>
      <c r="U201" s="67">
        <f t="shared" si="52"/>
        <v>0</v>
      </c>
      <c r="V201" s="67">
        <f t="shared" si="53"/>
        <v>2.1276595744680851E-2</v>
      </c>
      <c r="W201" s="67">
        <f t="shared" si="54"/>
        <v>0</v>
      </c>
      <c r="X201" s="67">
        <f t="shared" si="55"/>
        <v>0.1702127659574468</v>
      </c>
      <c r="Y201" s="67">
        <f t="shared" si="56"/>
        <v>0</v>
      </c>
      <c r="Z201" s="67">
        <f t="shared" si="57"/>
        <v>4.2553191489361701E-2</v>
      </c>
      <c r="AA201" s="67">
        <f t="shared" si="58"/>
        <v>2.1276595744680851E-2</v>
      </c>
      <c r="AB201" s="67">
        <f t="shared" si="59"/>
        <v>8.5106382978723402E-2</v>
      </c>
      <c r="AC201" s="67">
        <f t="shared" si="60"/>
        <v>0</v>
      </c>
      <c r="AD201" s="67">
        <f t="shared" si="61"/>
        <v>0.1702127659574468</v>
      </c>
      <c r="AE201" s="67">
        <f t="shared" si="62"/>
        <v>0.10638297872340426</v>
      </c>
      <c r="AF201" s="67">
        <f t="shared" si="63"/>
        <v>2.468228127297553E-3</v>
      </c>
      <c r="AG201" s="67">
        <f>town_establishments[[#This Row],[share of state establishments]]/($AF$250-$AF$249)</f>
        <v>2.5530990276495195E-3</v>
      </c>
      <c r="AH201" s="67">
        <f>town_establishments[[#This Row],[share of state establishments (no residual)]]/(INDEX(regional_establishments[share of state establishments],MATCH(town_establishments[[#This Row],[Regional Planning Commission]],regional_establishments[Regional Planning Commission],0)))</f>
        <v>2.9012345679012352E-2</v>
      </c>
    </row>
    <row r="202" spans="1:34" x14ac:dyDescent="0.25">
      <c r="A202" t="s">
        <v>302</v>
      </c>
      <c r="B202" t="str">
        <f>INDEX([1]!town_population[Regional Planning Commission],MATCH(town_establishments[[#This Row],[Municipality]],[1]!town_population[Municipality],0))</f>
        <v>Two Rivers-Ottauquechee Regional Commission</v>
      </c>
      <c r="C202">
        <v>2</v>
      </c>
      <c r="D202">
        <v>1</v>
      </c>
      <c r="E202">
        <v>1</v>
      </c>
      <c r="I202">
        <v>1</v>
      </c>
      <c r="K202">
        <v>1</v>
      </c>
      <c r="O202">
        <v>0</v>
      </c>
      <c r="Q202">
        <f t="shared" si="48"/>
        <v>6</v>
      </c>
      <c r="R202" s="67">
        <f t="shared" si="49"/>
        <v>0.33333333333333331</v>
      </c>
      <c r="S202" s="67">
        <f t="shared" si="50"/>
        <v>0.16666666666666666</v>
      </c>
      <c r="T202" s="67">
        <f t="shared" si="51"/>
        <v>0.16666666666666666</v>
      </c>
      <c r="U202" s="67">
        <f t="shared" si="52"/>
        <v>0</v>
      </c>
      <c r="V202" s="67">
        <f t="shared" si="53"/>
        <v>0</v>
      </c>
      <c r="W202" s="67">
        <f t="shared" si="54"/>
        <v>0</v>
      </c>
      <c r="X202" s="67">
        <f t="shared" si="55"/>
        <v>0.16666666666666666</v>
      </c>
      <c r="Y202" s="67">
        <f t="shared" si="56"/>
        <v>0</v>
      </c>
      <c r="Z202" s="67">
        <f t="shared" si="57"/>
        <v>0.16666666666666666</v>
      </c>
      <c r="AA202" s="67">
        <f t="shared" si="58"/>
        <v>0</v>
      </c>
      <c r="AB202" s="67">
        <f t="shared" si="59"/>
        <v>0</v>
      </c>
      <c r="AC202" s="67">
        <f t="shared" si="60"/>
        <v>0</v>
      </c>
      <c r="AD202" s="67">
        <f t="shared" si="61"/>
        <v>0</v>
      </c>
      <c r="AE202" s="67">
        <f t="shared" si="62"/>
        <v>0</v>
      </c>
      <c r="AF202" s="67">
        <f t="shared" si="63"/>
        <v>3.150929524209642E-4</v>
      </c>
      <c r="AG202" s="67">
        <f>town_establishments[[#This Row],[share of state establishments]]/($AF$250-$AF$249)</f>
        <v>3.2592753544461947E-4</v>
      </c>
      <c r="AH202" s="67">
        <f>town_establishments[[#This Row],[share of state establishments (no residual)]]/(INDEX(regional_establishments[share of state establishments],MATCH(town_establishments[[#This Row],[Regional Planning Commission]],regional_establishments[Regional Planning Commission],0)))</f>
        <v>3.7037037037037038E-3</v>
      </c>
    </row>
    <row r="203" spans="1:34" x14ac:dyDescent="0.25">
      <c r="A203" t="s">
        <v>303</v>
      </c>
      <c r="B203" t="str">
        <f>INDEX([1]!town_population[Regional Planning Commission],MATCH(town_establishments[[#This Row],[Municipality]],[1]!town_population[Municipality],0))</f>
        <v>Two Rivers-Ottauquechee Regional Commission</v>
      </c>
      <c r="E203">
        <v>2</v>
      </c>
      <c r="M203">
        <v>2</v>
      </c>
      <c r="O203">
        <v>2</v>
      </c>
      <c r="P203">
        <v>1</v>
      </c>
      <c r="Q203">
        <f t="shared" si="48"/>
        <v>7</v>
      </c>
      <c r="R203" s="67">
        <f t="shared" si="49"/>
        <v>0</v>
      </c>
      <c r="S203" s="67">
        <f t="shared" si="50"/>
        <v>0</v>
      </c>
      <c r="T203" s="67">
        <f t="shared" si="51"/>
        <v>0.2857142857142857</v>
      </c>
      <c r="U203" s="67">
        <f t="shared" si="52"/>
        <v>0</v>
      </c>
      <c r="V203" s="67">
        <f t="shared" si="53"/>
        <v>0</v>
      </c>
      <c r="W203" s="67">
        <f t="shared" si="54"/>
        <v>0</v>
      </c>
      <c r="X203" s="67">
        <f t="shared" si="55"/>
        <v>0</v>
      </c>
      <c r="Y203" s="67">
        <f t="shared" si="56"/>
        <v>0</v>
      </c>
      <c r="Z203" s="67">
        <f t="shared" si="57"/>
        <v>0</v>
      </c>
      <c r="AA203" s="67">
        <f t="shared" si="58"/>
        <v>0</v>
      </c>
      <c r="AB203" s="67">
        <f t="shared" si="59"/>
        <v>0.2857142857142857</v>
      </c>
      <c r="AC203" s="67">
        <f t="shared" si="60"/>
        <v>0</v>
      </c>
      <c r="AD203" s="67">
        <f t="shared" si="61"/>
        <v>0.2857142857142857</v>
      </c>
      <c r="AE203" s="67">
        <f t="shared" si="62"/>
        <v>0.14285714285714285</v>
      </c>
      <c r="AF203" s="67">
        <f t="shared" si="63"/>
        <v>3.676084444911249E-4</v>
      </c>
      <c r="AG203" s="67">
        <f>town_establishments[[#This Row],[share of state establishments]]/($AF$250-$AF$249)</f>
        <v>3.8024879135205606E-4</v>
      </c>
      <c r="AH203" s="67">
        <f>town_establishments[[#This Row],[share of state establishments (no residual)]]/(INDEX(regional_establishments[share of state establishments],MATCH(town_establishments[[#This Row],[Regional Planning Commission]],regional_establishments[Regional Planning Commission],0)))</f>
        <v>4.3209876543209881E-3</v>
      </c>
    </row>
    <row r="204" spans="1:34" x14ac:dyDescent="0.25">
      <c r="A204" t="s">
        <v>304</v>
      </c>
      <c r="B204" t="str">
        <f>INDEX([1]!town_population[Regional Planning Commission],MATCH(town_establishments[[#This Row],[Municipality]],[1]!town_population[Municipality],0))</f>
        <v>Two Rivers-Ottauquechee Regional Commission</v>
      </c>
      <c r="C204">
        <v>25</v>
      </c>
      <c r="D204">
        <v>58</v>
      </c>
      <c r="E204">
        <v>20</v>
      </c>
      <c r="F204">
        <v>13</v>
      </c>
      <c r="G204">
        <v>24</v>
      </c>
      <c r="H204">
        <v>23</v>
      </c>
      <c r="I204">
        <v>67</v>
      </c>
      <c r="J204">
        <v>1</v>
      </c>
      <c r="K204">
        <v>33</v>
      </c>
      <c r="L204">
        <v>12</v>
      </c>
      <c r="M204">
        <v>42</v>
      </c>
      <c r="N204">
        <v>8</v>
      </c>
      <c r="O204">
        <v>36</v>
      </c>
      <c r="P204">
        <v>41</v>
      </c>
      <c r="Q204">
        <f t="shared" si="48"/>
        <v>403</v>
      </c>
      <c r="R204" s="67">
        <f t="shared" si="49"/>
        <v>6.2034739454094295E-2</v>
      </c>
      <c r="S204" s="67">
        <f t="shared" si="50"/>
        <v>0.14392059553349876</v>
      </c>
      <c r="T204" s="67">
        <f t="shared" si="51"/>
        <v>4.9627791563275438E-2</v>
      </c>
      <c r="U204" s="67">
        <f t="shared" si="52"/>
        <v>3.2258064516129031E-2</v>
      </c>
      <c r="V204" s="67">
        <f t="shared" si="53"/>
        <v>5.9553349875930521E-2</v>
      </c>
      <c r="W204" s="67">
        <f t="shared" si="54"/>
        <v>5.7071960297766747E-2</v>
      </c>
      <c r="X204" s="67">
        <f t="shared" si="55"/>
        <v>0.16625310173697269</v>
      </c>
      <c r="Y204" s="67">
        <f t="shared" si="56"/>
        <v>2.4813895781637717E-3</v>
      </c>
      <c r="Z204" s="67">
        <f t="shared" si="57"/>
        <v>8.1885856079404462E-2</v>
      </c>
      <c r="AA204" s="67">
        <f t="shared" si="58"/>
        <v>2.9776674937965261E-2</v>
      </c>
      <c r="AB204" s="67">
        <f t="shared" si="59"/>
        <v>0.10421836228287841</v>
      </c>
      <c r="AC204" s="67">
        <f t="shared" si="60"/>
        <v>1.9851116625310174E-2</v>
      </c>
      <c r="AD204" s="67">
        <f t="shared" si="61"/>
        <v>8.9330024813895778E-2</v>
      </c>
      <c r="AE204" s="67">
        <f t="shared" si="62"/>
        <v>0.10173697270471464</v>
      </c>
      <c r="AF204" s="67">
        <f t="shared" si="63"/>
        <v>2.116374330427476E-2</v>
      </c>
      <c r="AG204" s="67">
        <f>town_establishments[[#This Row],[share of state establishments]]/($AF$250-$AF$249)</f>
        <v>2.1891466130696941E-2</v>
      </c>
      <c r="AH204" s="67">
        <f>town_establishments[[#This Row],[share of state establishments (no residual)]]/(INDEX(regional_establishments[share of state establishments],MATCH(town_establishments[[#This Row],[Regional Planning Commission]],regional_establishments[Regional Planning Commission],0)))</f>
        <v>0.24876543209876545</v>
      </c>
    </row>
    <row r="205" spans="1:34" x14ac:dyDescent="0.25">
      <c r="A205" t="s">
        <v>305</v>
      </c>
      <c r="B205" t="str">
        <f>INDEX([1]!town_population[Regional Planning Commission],MATCH(town_establishments[[#This Row],[Municipality]],[1]!town_population[Municipality],0))</f>
        <v>Two Rivers-Ottauquechee Regional Commission</v>
      </c>
      <c r="C205">
        <v>4</v>
      </c>
      <c r="D205">
        <v>5</v>
      </c>
      <c r="E205">
        <v>3</v>
      </c>
      <c r="G205">
        <v>1</v>
      </c>
      <c r="H205">
        <v>3</v>
      </c>
      <c r="I205">
        <v>9</v>
      </c>
      <c r="K205">
        <v>9</v>
      </c>
      <c r="L205">
        <v>1</v>
      </c>
      <c r="M205">
        <v>3</v>
      </c>
      <c r="N205">
        <v>2</v>
      </c>
      <c r="O205">
        <v>2</v>
      </c>
      <c r="P205">
        <v>6</v>
      </c>
      <c r="Q205">
        <f t="shared" si="48"/>
        <v>48</v>
      </c>
      <c r="R205" s="67">
        <f t="shared" si="49"/>
        <v>8.3333333333333329E-2</v>
      </c>
      <c r="S205" s="67">
        <f t="shared" si="50"/>
        <v>0.10416666666666667</v>
      </c>
      <c r="T205" s="67">
        <f t="shared" si="51"/>
        <v>6.25E-2</v>
      </c>
      <c r="U205" s="67">
        <f t="shared" si="52"/>
        <v>0</v>
      </c>
      <c r="V205" s="67">
        <f t="shared" si="53"/>
        <v>2.0833333333333332E-2</v>
      </c>
      <c r="W205" s="67">
        <f t="shared" si="54"/>
        <v>6.25E-2</v>
      </c>
      <c r="X205" s="67">
        <f t="shared" si="55"/>
        <v>0.1875</v>
      </c>
      <c r="Y205" s="67">
        <f t="shared" si="56"/>
        <v>0</v>
      </c>
      <c r="Z205" s="67">
        <f t="shared" si="57"/>
        <v>0.1875</v>
      </c>
      <c r="AA205" s="67">
        <f t="shared" si="58"/>
        <v>2.0833333333333332E-2</v>
      </c>
      <c r="AB205" s="67">
        <f t="shared" si="59"/>
        <v>6.25E-2</v>
      </c>
      <c r="AC205" s="67">
        <f t="shared" si="60"/>
        <v>4.1666666666666664E-2</v>
      </c>
      <c r="AD205" s="67">
        <f t="shared" si="61"/>
        <v>4.1666666666666664E-2</v>
      </c>
      <c r="AE205" s="67">
        <f t="shared" si="62"/>
        <v>0.125</v>
      </c>
      <c r="AF205" s="67">
        <f t="shared" si="63"/>
        <v>2.5207436193677136E-3</v>
      </c>
      <c r="AG205" s="67">
        <f>town_establishments[[#This Row],[share of state establishments]]/($AF$250-$AF$249)</f>
        <v>2.6074202835569557E-3</v>
      </c>
      <c r="AH205" s="67">
        <f>town_establishments[[#This Row],[share of state establishments (no residual)]]/(INDEX(regional_establishments[share of state establishments],MATCH(town_establishments[[#This Row],[Regional Planning Commission]],regional_establishments[Regional Planning Commission],0)))</f>
        <v>2.9629629629629631E-2</v>
      </c>
    </row>
    <row r="206" spans="1:34" x14ac:dyDescent="0.25">
      <c r="A206" t="s">
        <v>306</v>
      </c>
      <c r="B206" t="str">
        <f>INDEX([1]!town_population[Regional Planning Commission],MATCH(town_establishments[[#This Row],[Municipality]],[1]!town_population[Municipality],0))</f>
        <v>Two Rivers-Ottauquechee Regional Commission</v>
      </c>
      <c r="C206">
        <v>3</v>
      </c>
      <c r="D206">
        <v>5</v>
      </c>
      <c r="E206">
        <v>2</v>
      </c>
      <c r="F206">
        <v>2</v>
      </c>
      <c r="G206">
        <v>3</v>
      </c>
      <c r="I206">
        <v>5</v>
      </c>
      <c r="K206">
        <v>2</v>
      </c>
      <c r="L206">
        <v>2</v>
      </c>
      <c r="M206">
        <v>7</v>
      </c>
      <c r="O206">
        <v>4</v>
      </c>
      <c r="P206">
        <v>4</v>
      </c>
      <c r="Q206">
        <f t="shared" si="48"/>
        <v>39</v>
      </c>
      <c r="R206" s="67">
        <f t="shared" si="49"/>
        <v>7.6923076923076927E-2</v>
      </c>
      <c r="S206" s="67">
        <f t="shared" si="50"/>
        <v>0.12820512820512819</v>
      </c>
      <c r="T206" s="67">
        <f t="shared" si="51"/>
        <v>5.128205128205128E-2</v>
      </c>
      <c r="U206" s="67">
        <f t="shared" si="52"/>
        <v>5.128205128205128E-2</v>
      </c>
      <c r="V206" s="67">
        <f t="shared" si="53"/>
        <v>7.6923076923076927E-2</v>
      </c>
      <c r="W206" s="67">
        <f t="shared" si="54"/>
        <v>0</v>
      </c>
      <c r="X206" s="67">
        <f t="shared" si="55"/>
        <v>0.12820512820512819</v>
      </c>
      <c r="Y206" s="67">
        <f t="shared" si="56"/>
        <v>0</v>
      </c>
      <c r="Z206" s="67">
        <f t="shared" si="57"/>
        <v>5.128205128205128E-2</v>
      </c>
      <c r="AA206" s="67">
        <f t="shared" si="58"/>
        <v>5.128205128205128E-2</v>
      </c>
      <c r="AB206" s="67">
        <f t="shared" si="59"/>
        <v>0.17948717948717949</v>
      </c>
      <c r="AC206" s="67">
        <f t="shared" si="60"/>
        <v>0</v>
      </c>
      <c r="AD206" s="67">
        <f t="shared" si="61"/>
        <v>0.10256410256410256</v>
      </c>
      <c r="AE206" s="67">
        <f t="shared" si="62"/>
        <v>0.10256410256410256</v>
      </c>
      <c r="AF206" s="67">
        <f t="shared" si="63"/>
        <v>2.0481041907362673E-3</v>
      </c>
      <c r="AG206" s="67">
        <f>town_establishments[[#This Row],[share of state establishments]]/($AF$250-$AF$249)</f>
        <v>2.1185289803900267E-3</v>
      </c>
      <c r="AH206" s="67">
        <f>town_establishments[[#This Row],[share of state establishments (no residual)]]/(INDEX(regional_establishments[share of state establishments],MATCH(town_establishments[[#This Row],[Regional Planning Commission]],regional_establishments[Regional Planning Commission],0)))</f>
        <v>2.4074074074074078E-2</v>
      </c>
    </row>
    <row r="207" spans="1:34" x14ac:dyDescent="0.25">
      <c r="A207" t="s">
        <v>307</v>
      </c>
      <c r="B207" t="str">
        <f>INDEX([1]!town_population[Regional Planning Commission],MATCH(town_establishments[[#This Row],[Municipality]],[1]!town_population[Municipality],0))</f>
        <v>Two Rivers-Ottauquechee Regional Commission</v>
      </c>
      <c r="C207">
        <v>6</v>
      </c>
      <c r="D207">
        <v>12</v>
      </c>
      <c r="E207">
        <v>1</v>
      </c>
      <c r="F207">
        <v>3</v>
      </c>
      <c r="G207">
        <v>7</v>
      </c>
      <c r="H207">
        <v>2</v>
      </c>
      <c r="I207">
        <v>33</v>
      </c>
      <c r="J207">
        <v>1</v>
      </c>
      <c r="K207">
        <v>8</v>
      </c>
      <c r="L207">
        <v>1</v>
      </c>
      <c r="M207">
        <v>10</v>
      </c>
      <c r="N207">
        <v>4</v>
      </c>
      <c r="O207">
        <v>2</v>
      </c>
      <c r="P207">
        <v>21</v>
      </c>
      <c r="Q207">
        <f t="shared" si="48"/>
        <v>111</v>
      </c>
      <c r="R207" s="67">
        <f t="shared" si="49"/>
        <v>5.4054054054054057E-2</v>
      </c>
      <c r="S207" s="67">
        <f t="shared" si="50"/>
        <v>0.10810810810810811</v>
      </c>
      <c r="T207" s="67">
        <f t="shared" si="51"/>
        <v>9.0090090090090089E-3</v>
      </c>
      <c r="U207" s="67">
        <f t="shared" si="52"/>
        <v>2.7027027027027029E-2</v>
      </c>
      <c r="V207" s="67">
        <f t="shared" si="53"/>
        <v>6.3063063063063057E-2</v>
      </c>
      <c r="W207" s="67">
        <f t="shared" si="54"/>
        <v>1.8018018018018018E-2</v>
      </c>
      <c r="X207" s="67">
        <f t="shared" si="55"/>
        <v>0.29729729729729731</v>
      </c>
      <c r="Y207" s="67">
        <f t="shared" si="56"/>
        <v>9.0090090090090089E-3</v>
      </c>
      <c r="Z207" s="67">
        <f t="shared" si="57"/>
        <v>7.2072072072072071E-2</v>
      </c>
      <c r="AA207" s="67">
        <f t="shared" si="58"/>
        <v>9.0090090090090089E-3</v>
      </c>
      <c r="AB207" s="67">
        <f t="shared" si="59"/>
        <v>9.0090090090090086E-2</v>
      </c>
      <c r="AC207" s="67">
        <f t="shared" si="60"/>
        <v>3.6036036036036036E-2</v>
      </c>
      <c r="AD207" s="67">
        <f t="shared" si="61"/>
        <v>1.8018018018018018E-2</v>
      </c>
      <c r="AE207" s="67">
        <f t="shared" si="62"/>
        <v>0.1891891891891892</v>
      </c>
      <c r="AF207" s="67">
        <f t="shared" si="63"/>
        <v>5.8292196197878374E-3</v>
      </c>
      <c r="AG207" s="67">
        <f>town_establishments[[#This Row],[share of state establishments]]/($AF$250-$AF$249)</f>
        <v>6.0296594057254608E-3</v>
      </c>
      <c r="AH207" s="67">
        <f>town_establishments[[#This Row],[share of state establishments (no residual)]]/(INDEX(regional_establishments[share of state establishments],MATCH(town_establishments[[#This Row],[Regional Planning Commission]],regional_establishments[Regional Planning Commission],0)))</f>
        <v>6.8518518518518534E-2</v>
      </c>
    </row>
    <row r="208" spans="1:34" x14ac:dyDescent="0.25">
      <c r="A208" t="s">
        <v>308</v>
      </c>
      <c r="B208" t="str">
        <f>INDEX([1]!town_population[Regional Planning Commission],MATCH(town_establishments[[#This Row],[Municipality]],[1]!town_population[Municipality],0))</f>
        <v>Two Rivers-Ottauquechee Regional Commission</v>
      </c>
      <c r="D208">
        <v>6</v>
      </c>
      <c r="E208">
        <v>1</v>
      </c>
      <c r="I208">
        <v>4</v>
      </c>
      <c r="J208">
        <v>1</v>
      </c>
      <c r="K208">
        <v>2</v>
      </c>
      <c r="N208">
        <v>1</v>
      </c>
      <c r="O208">
        <v>6</v>
      </c>
      <c r="Q208">
        <f t="shared" si="48"/>
        <v>21</v>
      </c>
      <c r="R208" s="67">
        <f t="shared" si="49"/>
        <v>0</v>
      </c>
      <c r="S208" s="67">
        <f t="shared" si="50"/>
        <v>0.2857142857142857</v>
      </c>
      <c r="T208" s="67">
        <f t="shared" si="51"/>
        <v>4.7619047619047616E-2</v>
      </c>
      <c r="U208" s="67">
        <f t="shared" si="52"/>
        <v>0</v>
      </c>
      <c r="V208" s="67">
        <f t="shared" si="53"/>
        <v>0</v>
      </c>
      <c r="W208" s="67">
        <f t="shared" si="54"/>
        <v>0</v>
      </c>
      <c r="X208" s="67">
        <f t="shared" si="55"/>
        <v>0.19047619047619047</v>
      </c>
      <c r="Y208" s="67">
        <f t="shared" si="56"/>
        <v>4.7619047619047616E-2</v>
      </c>
      <c r="Z208" s="67">
        <f t="shared" si="57"/>
        <v>9.5238095238095233E-2</v>
      </c>
      <c r="AA208" s="67">
        <f t="shared" si="58"/>
        <v>0</v>
      </c>
      <c r="AB208" s="67">
        <f t="shared" si="59"/>
        <v>0</v>
      </c>
      <c r="AC208" s="67">
        <f t="shared" si="60"/>
        <v>4.7619047619047616E-2</v>
      </c>
      <c r="AD208" s="67">
        <f t="shared" si="61"/>
        <v>0.2857142857142857</v>
      </c>
      <c r="AE208" s="67">
        <f t="shared" si="62"/>
        <v>0</v>
      </c>
      <c r="AF208" s="67">
        <f t="shared" si="63"/>
        <v>1.1028253334733746E-3</v>
      </c>
      <c r="AG208" s="67">
        <f>town_establishments[[#This Row],[share of state establishments]]/($AF$250-$AF$249)</f>
        <v>1.140746374056168E-3</v>
      </c>
      <c r="AH208" s="67">
        <f>town_establishments[[#This Row],[share of state establishments (no residual)]]/(INDEX(regional_establishments[share of state establishments],MATCH(town_establishments[[#This Row],[Regional Planning Commission]],regional_establishments[Regional Planning Commission],0)))</f>
        <v>1.2962962962962963E-2</v>
      </c>
    </row>
    <row r="209" spans="1:34" x14ac:dyDescent="0.25">
      <c r="A209" t="s">
        <v>309</v>
      </c>
      <c r="B209" t="str">
        <f>INDEX([1]!town_population[Regional Planning Commission],MATCH(town_establishments[[#This Row],[Municipality]],[1]!town_population[Municipality],0))</f>
        <v>Two Rivers-Ottauquechee Regional Commission</v>
      </c>
      <c r="E209">
        <v>1</v>
      </c>
      <c r="H209">
        <v>1</v>
      </c>
      <c r="I209">
        <v>3</v>
      </c>
      <c r="K209">
        <v>3</v>
      </c>
      <c r="L209">
        <v>1</v>
      </c>
      <c r="N209">
        <v>2</v>
      </c>
      <c r="O209">
        <v>6</v>
      </c>
      <c r="P209">
        <v>1</v>
      </c>
      <c r="Q209">
        <f t="shared" si="48"/>
        <v>18</v>
      </c>
      <c r="R209" s="67">
        <f t="shared" si="49"/>
        <v>0</v>
      </c>
      <c r="S209" s="67">
        <f t="shared" si="50"/>
        <v>0</v>
      </c>
      <c r="T209" s="67">
        <f t="shared" si="51"/>
        <v>5.5555555555555552E-2</v>
      </c>
      <c r="U209" s="67">
        <f t="shared" si="52"/>
        <v>0</v>
      </c>
      <c r="V209" s="67">
        <f t="shared" si="53"/>
        <v>0</v>
      </c>
      <c r="W209" s="67">
        <f t="shared" si="54"/>
        <v>5.5555555555555552E-2</v>
      </c>
      <c r="X209" s="67">
        <f t="shared" si="55"/>
        <v>0.16666666666666666</v>
      </c>
      <c r="Y209" s="67">
        <f t="shared" si="56"/>
        <v>0</v>
      </c>
      <c r="Z209" s="67">
        <f t="shared" si="57"/>
        <v>0.16666666666666666</v>
      </c>
      <c r="AA209" s="67">
        <f t="shared" si="58"/>
        <v>5.5555555555555552E-2</v>
      </c>
      <c r="AB209" s="67">
        <f t="shared" si="59"/>
        <v>0</v>
      </c>
      <c r="AC209" s="67">
        <f t="shared" si="60"/>
        <v>0.1111111111111111</v>
      </c>
      <c r="AD209" s="67">
        <f t="shared" si="61"/>
        <v>0.33333333333333331</v>
      </c>
      <c r="AE209" s="67">
        <f t="shared" si="62"/>
        <v>5.5555555555555552E-2</v>
      </c>
      <c r="AF209" s="67">
        <f t="shared" si="63"/>
        <v>9.4527885726289253E-4</v>
      </c>
      <c r="AG209" s="67">
        <f>town_establishments[[#This Row],[share of state establishments]]/($AF$250-$AF$249)</f>
        <v>9.7778260633385851E-4</v>
      </c>
      <c r="AH209" s="67">
        <f>town_establishments[[#This Row],[share of state establishments (no residual)]]/(INDEX(regional_establishments[share of state establishments],MATCH(town_establishments[[#This Row],[Regional Planning Commission]],regional_establishments[Regional Planning Commission],0)))</f>
        <v>1.1111111111111113E-2</v>
      </c>
    </row>
    <row r="210" spans="1:34" x14ac:dyDescent="0.25">
      <c r="A210" t="s">
        <v>310</v>
      </c>
      <c r="B210" t="str">
        <f>INDEX([1]!town_population[Regional Planning Commission],MATCH(town_establishments[[#This Row],[Municipality]],[1]!town_population[Municipality],0))</f>
        <v>Two Rivers-Ottauquechee Regional Commission</v>
      </c>
      <c r="C210">
        <v>3</v>
      </c>
      <c r="D210">
        <v>4</v>
      </c>
      <c r="E210">
        <v>1</v>
      </c>
      <c r="F210">
        <v>1</v>
      </c>
      <c r="H210">
        <v>2</v>
      </c>
      <c r="I210">
        <v>2</v>
      </c>
      <c r="K210">
        <v>3</v>
      </c>
      <c r="L210">
        <v>1</v>
      </c>
      <c r="N210">
        <v>1</v>
      </c>
      <c r="O210">
        <v>1</v>
      </c>
      <c r="P210">
        <v>5</v>
      </c>
      <c r="Q210">
        <f t="shared" si="48"/>
        <v>24</v>
      </c>
      <c r="R210" s="67">
        <f t="shared" si="49"/>
        <v>0.125</v>
      </c>
      <c r="S210" s="67">
        <f t="shared" si="50"/>
        <v>0.16666666666666666</v>
      </c>
      <c r="T210" s="67">
        <f t="shared" si="51"/>
        <v>4.1666666666666664E-2</v>
      </c>
      <c r="U210" s="67">
        <f t="shared" si="52"/>
        <v>4.1666666666666664E-2</v>
      </c>
      <c r="V210" s="67">
        <f t="shared" si="53"/>
        <v>0</v>
      </c>
      <c r="W210" s="67">
        <f t="shared" si="54"/>
        <v>8.3333333333333329E-2</v>
      </c>
      <c r="X210" s="67">
        <f t="shared" si="55"/>
        <v>8.3333333333333329E-2</v>
      </c>
      <c r="Y210" s="67">
        <f t="shared" si="56"/>
        <v>0</v>
      </c>
      <c r="Z210" s="67">
        <f t="shared" si="57"/>
        <v>0.125</v>
      </c>
      <c r="AA210" s="67">
        <f t="shared" si="58"/>
        <v>4.1666666666666664E-2</v>
      </c>
      <c r="AB210" s="67">
        <f t="shared" si="59"/>
        <v>0</v>
      </c>
      <c r="AC210" s="67">
        <f t="shared" si="60"/>
        <v>4.1666666666666664E-2</v>
      </c>
      <c r="AD210" s="67">
        <f t="shared" si="61"/>
        <v>4.1666666666666664E-2</v>
      </c>
      <c r="AE210" s="67">
        <f t="shared" si="62"/>
        <v>0.20833333333333334</v>
      </c>
      <c r="AF210" s="67">
        <f t="shared" si="63"/>
        <v>1.2603718096838568E-3</v>
      </c>
      <c r="AG210" s="67">
        <f>town_establishments[[#This Row],[share of state establishments]]/($AF$250-$AF$249)</f>
        <v>1.3037101417784779E-3</v>
      </c>
      <c r="AH210" s="67">
        <f>town_establishments[[#This Row],[share of state establishments (no residual)]]/(INDEX(regional_establishments[share of state establishments],MATCH(town_establishments[[#This Row],[Regional Planning Commission]],regional_establishments[Regional Planning Commission],0)))</f>
        <v>1.4814814814814815E-2</v>
      </c>
    </row>
    <row r="211" spans="1:34" x14ac:dyDescent="0.25">
      <c r="A211" t="s">
        <v>311</v>
      </c>
      <c r="B211" t="str">
        <f>INDEX([1]!town_population[Regional Planning Commission],MATCH(town_establishments[[#This Row],[Municipality]],[1]!town_population[Municipality],0))</f>
        <v>Two Rivers-Ottauquechee Regional Commission</v>
      </c>
      <c r="C211">
        <v>13</v>
      </c>
      <c r="D211">
        <v>31</v>
      </c>
      <c r="E211">
        <v>3</v>
      </c>
      <c r="F211">
        <v>5</v>
      </c>
      <c r="G211">
        <v>6</v>
      </c>
      <c r="H211">
        <v>8</v>
      </c>
      <c r="I211">
        <v>25</v>
      </c>
      <c r="K211">
        <v>5</v>
      </c>
      <c r="L211">
        <v>1</v>
      </c>
      <c r="M211">
        <v>23</v>
      </c>
      <c r="N211">
        <v>5</v>
      </c>
      <c r="O211">
        <v>15</v>
      </c>
      <c r="P211">
        <v>20</v>
      </c>
      <c r="Q211">
        <f t="shared" si="48"/>
        <v>160</v>
      </c>
      <c r="R211" s="67">
        <f t="shared" si="49"/>
        <v>8.1250000000000003E-2</v>
      </c>
      <c r="S211" s="67">
        <f t="shared" si="50"/>
        <v>0.19375000000000001</v>
      </c>
      <c r="T211" s="67">
        <f t="shared" si="51"/>
        <v>1.8749999999999999E-2</v>
      </c>
      <c r="U211" s="67">
        <f t="shared" si="52"/>
        <v>3.125E-2</v>
      </c>
      <c r="V211" s="67">
        <f t="shared" si="53"/>
        <v>3.7499999999999999E-2</v>
      </c>
      <c r="W211" s="67">
        <f t="shared" si="54"/>
        <v>0.05</v>
      </c>
      <c r="X211" s="67">
        <f t="shared" si="55"/>
        <v>0.15625</v>
      </c>
      <c r="Y211" s="67">
        <f t="shared" si="56"/>
        <v>0</v>
      </c>
      <c r="Z211" s="67">
        <f t="shared" si="57"/>
        <v>3.125E-2</v>
      </c>
      <c r="AA211" s="67">
        <f t="shared" si="58"/>
        <v>6.2500000000000003E-3</v>
      </c>
      <c r="AB211" s="67">
        <f t="shared" si="59"/>
        <v>0.14374999999999999</v>
      </c>
      <c r="AC211" s="67">
        <f t="shared" si="60"/>
        <v>3.125E-2</v>
      </c>
      <c r="AD211" s="67">
        <f t="shared" si="61"/>
        <v>9.375E-2</v>
      </c>
      <c r="AE211" s="67">
        <f t="shared" si="62"/>
        <v>0.125</v>
      </c>
      <c r="AF211" s="67">
        <f t="shared" si="63"/>
        <v>8.4024787312257116E-3</v>
      </c>
      <c r="AG211" s="67">
        <f>town_establishments[[#This Row],[share of state establishments]]/($AF$250-$AF$249)</f>
        <v>8.6914009451898519E-3</v>
      </c>
      <c r="AH211" s="67">
        <f>town_establishments[[#This Row],[share of state establishments (no residual)]]/(INDEX(regional_establishments[share of state establishments],MATCH(town_establishments[[#This Row],[Regional Planning Commission]],regional_establishments[Regional Planning Commission],0)))</f>
        <v>9.876543209876544E-2</v>
      </c>
    </row>
    <row r="212" spans="1:34" x14ac:dyDescent="0.25">
      <c r="A212" t="s">
        <v>312</v>
      </c>
      <c r="B212" t="str">
        <f>INDEX([1]!town_population[Regional Planning Commission],MATCH(town_establishments[[#This Row],[Municipality]],[1]!town_population[Municipality],0))</f>
        <v>Two Rivers-Ottauquechee Regional Commission</v>
      </c>
      <c r="C212">
        <v>1</v>
      </c>
      <c r="D212">
        <v>5</v>
      </c>
      <c r="E212">
        <v>1</v>
      </c>
      <c r="F212">
        <v>2</v>
      </c>
      <c r="G212">
        <v>2</v>
      </c>
      <c r="H212">
        <v>1</v>
      </c>
      <c r="I212">
        <v>7</v>
      </c>
      <c r="K212">
        <v>1</v>
      </c>
      <c r="L212">
        <v>1</v>
      </c>
      <c r="M212">
        <v>3</v>
      </c>
      <c r="N212">
        <v>1</v>
      </c>
      <c r="O212">
        <v>6</v>
      </c>
      <c r="P212">
        <v>3</v>
      </c>
      <c r="Q212">
        <f t="shared" si="48"/>
        <v>34</v>
      </c>
      <c r="R212" s="67">
        <f t="shared" si="49"/>
        <v>2.9411764705882353E-2</v>
      </c>
      <c r="S212" s="67">
        <f t="shared" si="50"/>
        <v>0.14705882352941177</v>
      </c>
      <c r="T212" s="67">
        <f t="shared" si="51"/>
        <v>2.9411764705882353E-2</v>
      </c>
      <c r="U212" s="67">
        <f t="shared" si="52"/>
        <v>5.8823529411764705E-2</v>
      </c>
      <c r="V212" s="67">
        <f t="shared" si="53"/>
        <v>5.8823529411764705E-2</v>
      </c>
      <c r="W212" s="67">
        <f t="shared" si="54"/>
        <v>2.9411764705882353E-2</v>
      </c>
      <c r="X212" s="67">
        <f t="shared" si="55"/>
        <v>0.20588235294117646</v>
      </c>
      <c r="Y212" s="67">
        <f t="shared" si="56"/>
        <v>0</v>
      </c>
      <c r="Z212" s="67">
        <f t="shared" si="57"/>
        <v>2.9411764705882353E-2</v>
      </c>
      <c r="AA212" s="67">
        <f t="shared" si="58"/>
        <v>2.9411764705882353E-2</v>
      </c>
      <c r="AB212" s="67">
        <f t="shared" si="59"/>
        <v>8.8235294117647065E-2</v>
      </c>
      <c r="AC212" s="67">
        <f t="shared" si="60"/>
        <v>2.9411764705882353E-2</v>
      </c>
      <c r="AD212" s="67">
        <f t="shared" si="61"/>
        <v>0.17647058823529413</v>
      </c>
      <c r="AE212" s="67">
        <f t="shared" si="62"/>
        <v>8.8235294117647065E-2</v>
      </c>
      <c r="AF212" s="67">
        <f t="shared" si="63"/>
        <v>1.7855267303854637E-3</v>
      </c>
      <c r="AG212" s="67">
        <f>town_establishments[[#This Row],[share of state establishments]]/($AF$250-$AF$249)</f>
        <v>1.8469227008528436E-3</v>
      </c>
      <c r="AH212" s="67">
        <f>town_establishments[[#This Row],[share of state establishments (no residual)]]/(INDEX(regional_establishments[share of state establishments],MATCH(town_establishments[[#This Row],[Regional Planning Commission]],regional_establishments[Regional Planning Commission],0)))</f>
        <v>2.0987654320987655E-2</v>
      </c>
    </row>
    <row r="213" spans="1:34" x14ac:dyDescent="0.25">
      <c r="A213" t="s">
        <v>313</v>
      </c>
      <c r="B213" t="str">
        <f>INDEX([1]!town_population[Regional Planning Commission],MATCH(town_establishments[[#This Row],[Municipality]],[1]!town_population[Municipality],0))</f>
        <v>Two Rivers-Ottauquechee Regional Commission</v>
      </c>
      <c r="C213">
        <v>5</v>
      </c>
      <c r="D213">
        <v>8</v>
      </c>
      <c r="E213">
        <v>2</v>
      </c>
      <c r="F213">
        <v>2</v>
      </c>
      <c r="H213">
        <v>5</v>
      </c>
      <c r="I213">
        <v>8</v>
      </c>
      <c r="K213">
        <v>7</v>
      </c>
      <c r="L213">
        <v>1</v>
      </c>
      <c r="M213">
        <v>5</v>
      </c>
      <c r="N213">
        <v>1</v>
      </c>
      <c r="O213">
        <v>8</v>
      </c>
      <c r="P213">
        <v>5</v>
      </c>
      <c r="Q213">
        <f t="shared" si="48"/>
        <v>57</v>
      </c>
      <c r="R213" s="67">
        <f t="shared" si="49"/>
        <v>8.771929824561403E-2</v>
      </c>
      <c r="S213" s="67">
        <f t="shared" si="50"/>
        <v>0.14035087719298245</v>
      </c>
      <c r="T213" s="67">
        <f t="shared" si="51"/>
        <v>3.5087719298245612E-2</v>
      </c>
      <c r="U213" s="67">
        <f t="shared" si="52"/>
        <v>3.5087719298245612E-2</v>
      </c>
      <c r="V213" s="67">
        <f t="shared" si="53"/>
        <v>0</v>
      </c>
      <c r="W213" s="67">
        <f t="shared" si="54"/>
        <v>8.771929824561403E-2</v>
      </c>
      <c r="X213" s="67">
        <f t="shared" si="55"/>
        <v>0.14035087719298245</v>
      </c>
      <c r="Y213" s="67">
        <f t="shared" si="56"/>
        <v>0</v>
      </c>
      <c r="Z213" s="67">
        <f t="shared" si="57"/>
        <v>0.12280701754385964</v>
      </c>
      <c r="AA213" s="67">
        <f t="shared" si="58"/>
        <v>1.7543859649122806E-2</v>
      </c>
      <c r="AB213" s="67">
        <f t="shared" si="59"/>
        <v>8.771929824561403E-2</v>
      </c>
      <c r="AC213" s="67">
        <f t="shared" si="60"/>
        <v>1.7543859649122806E-2</v>
      </c>
      <c r="AD213" s="67">
        <f t="shared" si="61"/>
        <v>0.14035087719298245</v>
      </c>
      <c r="AE213" s="67">
        <f t="shared" si="62"/>
        <v>8.771929824561403E-2</v>
      </c>
      <c r="AF213" s="67">
        <f t="shared" si="63"/>
        <v>2.9933830479991598E-3</v>
      </c>
      <c r="AG213" s="67">
        <f>town_establishments[[#This Row],[share of state establishments]]/($AF$250-$AF$249)</f>
        <v>3.0963115867238852E-3</v>
      </c>
      <c r="AH213" s="67">
        <f>town_establishments[[#This Row],[share of state establishments (no residual)]]/(INDEX(regional_establishments[share of state establishments],MATCH(town_establishments[[#This Row],[Regional Planning Commission]],regional_establishments[Regional Planning Commission],0)))</f>
        <v>3.5185185185185194E-2</v>
      </c>
    </row>
    <row r="214" spans="1:34" x14ac:dyDescent="0.25">
      <c r="A214" t="s">
        <v>314</v>
      </c>
      <c r="B214" t="str">
        <f>INDEX([1]!town_population[Regional Planning Commission],MATCH(town_establishments[[#This Row],[Municipality]],[1]!town_population[Municipality],0))</f>
        <v>Two Rivers-Ottauquechee Regional Commission</v>
      </c>
      <c r="C214">
        <v>2</v>
      </c>
      <c r="D214">
        <v>2</v>
      </c>
      <c r="E214">
        <v>2</v>
      </c>
      <c r="H214">
        <v>1</v>
      </c>
      <c r="I214">
        <v>3</v>
      </c>
      <c r="K214">
        <v>3</v>
      </c>
      <c r="L214">
        <v>1</v>
      </c>
      <c r="M214">
        <v>2</v>
      </c>
      <c r="N214">
        <v>1</v>
      </c>
      <c r="O214">
        <v>2</v>
      </c>
      <c r="P214">
        <v>3</v>
      </c>
      <c r="Q214">
        <f t="shared" si="48"/>
        <v>22</v>
      </c>
      <c r="R214" s="67">
        <f t="shared" si="49"/>
        <v>9.0909090909090912E-2</v>
      </c>
      <c r="S214" s="67">
        <f t="shared" si="50"/>
        <v>9.0909090909090912E-2</v>
      </c>
      <c r="T214" s="67">
        <f t="shared" si="51"/>
        <v>9.0909090909090912E-2</v>
      </c>
      <c r="U214" s="67">
        <f t="shared" si="52"/>
        <v>0</v>
      </c>
      <c r="V214" s="67">
        <f t="shared" si="53"/>
        <v>0</v>
      </c>
      <c r="W214" s="67">
        <f t="shared" si="54"/>
        <v>4.5454545454545456E-2</v>
      </c>
      <c r="X214" s="67">
        <f t="shared" si="55"/>
        <v>0.13636363636363635</v>
      </c>
      <c r="Y214" s="67">
        <f t="shared" si="56"/>
        <v>0</v>
      </c>
      <c r="Z214" s="67">
        <f t="shared" si="57"/>
        <v>0.13636363636363635</v>
      </c>
      <c r="AA214" s="67">
        <f t="shared" si="58"/>
        <v>4.5454545454545456E-2</v>
      </c>
      <c r="AB214" s="67">
        <f t="shared" si="59"/>
        <v>9.0909090909090912E-2</v>
      </c>
      <c r="AC214" s="67">
        <f t="shared" si="60"/>
        <v>4.5454545454545456E-2</v>
      </c>
      <c r="AD214" s="67">
        <f t="shared" si="61"/>
        <v>9.0909090909090912E-2</v>
      </c>
      <c r="AE214" s="67">
        <f t="shared" si="62"/>
        <v>0.13636363636363635</v>
      </c>
      <c r="AF214" s="67">
        <f t="shared" si="63"/>
        <v>1.1553408255435354E-3</v>
      </c>
      <c r="AG214" s="67">
        <f>town_establishments[[#This Row],[share of state establishments]]/($AF$250-$AF$249)</f>
        <v>1.1950676299636047E-3</v>
      </c>
      <c r="AH214" s="67">
        <f>town_establishments[[#This Row],[share of state establishments (no residual)]]/(INDEX(regional_establishments[share of state establishments],MATCH(town_establishments[[#This Row],[Regional Planning Commission]],regional_establishments[Regional Planning Commission],0)))</f>
        <v>1.3580246913580249E-2</v>
      </c>
    </row>
    <row r="215" spans="1:34" x14ac:dyDescent="0.25">
      <c r="A215" t="s">
        <v>315</v>
      </c>
      <c r="B215" t="str">
        <f>INDEX([1]!town_population[Regional Planning Commission],MATCH(town_establishments[[#This Row],[Municipality]],[1]!town_population[Municipality],0))</f>
        <v>Two Rivers-Ottauquechee Regional Commission</v>
      </c>
      <c r="C215">
        <v>1</v>
      </c>
      <c r="D215">
        <v>1</v>
      </c>
      <c r="E215">
        <v>2</v>
      </c>
      <c r="H215">
        <v>1</v>
      </c>
      <c r="I215">
        <v>3</v>
      </c>
      <c r="K215">
        <v>3</v>
      </c>
      <c r="L215">
        <v>1</v>
      </c>
      <c r="M215">
        <v>1</v>
      </c>
      <c r="N215">
        <v>1</v>
      </c>
      <c r="P215">
        <v>2</v>
      </c>
      <c r="Q215">
        <f t="shared" si="48"/>
        <v>16</v>
      </c>
      <c r="R215" s="67">
        <f t="shared" si="49"/>
        <v>6.25E-2</v>
      </c>
      <c r="S215" s="67">
        <f t="shared" si="50"/>
        <v>6.25E-2</v>
      </c>
      <c r="T215" s="67">
        <f t="shared" si="51"/>
        <v>0.125</v>
      </c>
      <c r="U215" s="67">
        <f t="shared" si="52"/>
        <v>0</v>
      </c>
      <c r="V215" s="67">
        <f t="shared" si="53"/>
        <v>0</v>
      </c>
      <c r="W215" s="67">
        <f t="shared" si="54"/>
        <v>6.25E-2</v>
      </c>
      <c r="X215" s="67">
        <f t="shared" si="55"/>
        <v>0.1875</v>
      </c>
      <c r="Y215" s="67">
        <f t="shared" si="56"/>
        <v>0</v>
      </c>
      <c r="Z215" s="67">
        <f t="shared" si="57"/>
        <v>0.1875</v>
      </c>
      <c r="AA215" s="67">
        <f t="shared" si="58"/>
        <v>6.25E-2</v>
      </c>
      <c r="AB215" s="67">
        <f t="shared" si="59"/>
        <v>6.25E-2</v>
      </c>
      <c r="AC215" s="67">
        <f t="shared" si="60"/>
        <v>6.25E-2</v>
      </c>
      <c r="AD215" s="67">
        <f t="shared" si="61"/>
        <v>0</v>
      </c>
      <c r="AE215" s="67">
        <f t="shared" si="62"/>
        <v>0.125</v>
      </c>
      <c r="AF215" s="67">
        <f t="shared" si="63"/>
        <v>8.4024787312257112E-4</v>
      </c>
      <c r="AG215" s="67">
        <f>town_establishments[[#This Row],[share of state establishments]]/($AF$250-$AF$249)</f>
        <v>8.6914009451898521E-4</v>
      </c>
      <c r="AH215" s="67">
        <f>town_establishments[[#This Row],[share of state establishments (no residual)]]/(INDEX(regional_establishments[share of state establishments],MATCH(town_establishments[[#This Row],[Regional Planning Commission]],regional_establishments[Regional Planning Commission],0)))</f>
        <v>9.876543209876543E-3</v>
      </c>
    </row>
    <row r="216" spans="1:34" x14ac:dyDescent="0.25">
      <c r="A216" t="s">
        <v>316</v>
      </c>
      <c r="B216" t="str">
        <f>INDEX([1]!town_population[Regional Planning Commission],MATCH(town_establishments[[#This Row],[Municipality]],[1]!town_population[Municipality],0))</f>
        <v>Two Rivers-Ottauquechee Regional Commission</v>
      </c>
      <c r="C216">
        <v>3</v>
      </c>
      <c r="D216">
        <v>2</v>
      </c>
      <c r="E216">
        <v>2</v>
      </c>
      <c r="F216">
        <v>0</v>
      </c>
      <c r="G216">
        <v>0</v>
      </c>
      <c r="H216">
        <v>1</v>
      </c>
      <c r="I216">
        <v>7</v>
      </c>
      <c r="K216">
        <v>5</v>
      </c>
      <c r="L216">
        <v>1</v>
      </c>
      <c r="M216">
        <v>1</v>
      </c>
      <c r="N216">
        <v>1</v>
      </c>
      <c r="O216">
        <v>2</v>
      </c>
      <c r="P216">
        <v>4</v>
      </c>
      <c r="Q216">
        <f t="shared" si="48"/>
        <v>29</v>
      </c>
      <c r="R216" s="67">
        <f t="shared" si="49"/>
        <v>0.10344827586206896</v>
      </c>
      <c r="S216" s="67">
        <f t="shared" si="50"/>
        <v>6.8965517241379309E-2</v>
      </c>
      <c r="T216" s="67">
        <f t="shared" si="51"/>
        <v>6.8965517241379309E-2</v>
      </c>
      <c r="U216" s="67">
        <f t="shared" si="52"/>
        <v>0</v>
      </c>
      <c r="V216" s="67">
        <f t="shared" si="53"/>
        <v>0</v>
      </c>
      <c r="W216" s="67">
        <f t="shared" si="54"/>
        <v>3.4482758620689655E-2</v>
      </c>
      <c r="X216" s="67">
        <f t="shared" si="55"/>
        <v>0.2413793103448276</v>
      </c>
      <c r="Y216" s="67">
        <f t="shared" si="56"/>
        <v>0</v>
      </c>
      <c r="Z216" s="67">
        <f t="shared" si="57"/>
        <v>0.17241379310344829</v>
      </c>
      <c r="AA216" s="67">
        <f t="shared" si="58"/>
        <v>3.4482758620689655E-2</v>
      </c>
      <c r="AB216" s="67">
        <f t="shared" si="59"/>
        <v>3.4482758620689655E-2</v>
      </c>
      <c r="AC216" s="67">
        <f t="shared" si="60"/>
        <v>3.4482758620689655E-2</v>
      </c>
      <c r="AD216" s="67">
        <f t="shared" si="61"/>
        <v>6.8965517241379309E-2</v>
      </c>
      <c r="AE216" s="67">
        <f t="shared" si="62"/>
        <v>0.13793103448275862</v>
      </c>
      <c r="AF216" s="67">
        <f t="shared" si="63"/>
        <v>1.5229492700346602E-3</v>
      </c>
      <c r="AG216" s="67">
        <f>town_establishments[[#This Row],[share of state establishments]]/($AF$250-$AF$249)</f>
        <v>1.5753164213156607E-3</v>
      </c>
      <c r="AH216" s="67">
        <f>town_establishments[[#This Row],[share of state establishments (no residual)]]/(INDEX(regional_establishments[share of state establishments],MATCH(town_establishments[[#This Row],[Regional Planning Commission]],regional_establishments[Regional Planning Commission],0)))</f>
        <v>1.7901234567901235E-2</v>
      </c>
    </row>
    <row r="217" spans="1:34" x14ac:dyDescent="0.25">
      <c r="A217" t="s">
        <v>317</v>
      </c>
      <c r="B217" t="str">
        <f>INDEX([1]!town_population[Regional Planning Commission],MATCH(town_establishments[[#This Row],[Municipality]],[1]!town_population[Municipality],0))</f>
        <v>Two Rivers-Ottauquechee Regional Commission</v>
      </c>
      <c r="C217">
        <v>2</v>
      </c>
      <c r="D217">
        <v>6</v>
      </c>
      <c r="E217">
        <v>5</v>
      </c>
      <c r="G217">
        <v>4</v>
      </c>
      <c r="H217">
        <v>1</v>
      </c>
      <c r="I217">
        <v>16</v>
      </c>
      <c r="K217">
        <v>9</v>
      </c>
      <c r="L217">
        <v>3</v>
      </c>
      <c r="M217">
        <v>9</v>
      </c>
      <c r="N217">
        <v>1</v>
      </c>
      <c r="O217">
        <v>4</v>
      </c>
      <c r="P217">
        <v>3</v>
      </c>
      <c r="Q217">
        <f t="shared" si="48"/>
        <v>63</v>
      </c>
      <c r="R217" s="67">
        <f t="shared" si="49"/>
        <v>3.1746031746031744E-2</v>
      </c>
      <c r="S217" s="67">
        <f t="shared" si="50"/>
        <v>9.5238095238095233E-2</v>
      </c>
      <c r="T217" s="67">
        <f t="shared" si="51"/>
        <v>7.9365079365079361E-2</v>
      </c>
      <c r="U217" s="67">
        <f t="shared" si="52"/>
        <v>0</v>
      </c>
      <c r="V217" s="67">
        <f t="shared" si="53"/>
        <v>6.3492063492063489E-2</v>
      </c>
      <c r="W217" s="67">
        <f t="shared" si="54"/>
        <v>1.5873015873015872E-2</v>
      </c>
      <c r="X217" s="67">
        <f t="shared" si="55"/>
        <v>0.25396825396825395</v>
      </c>
      <c r="Y217" s="67">
        <f t="shared" si="56"/>
        <v>0</v>
      </c>
      <c r="Z217" s="67">
        <f t="shared" si="57"/>
        <v>0.14285714285714285</v>
      </c>
      <c r="AA217" s="67">
        <f t="shared" si="58"/>
        <v>4.7619047619047616E-2</v>
      </c>
      <c r="AB217" s="67">
        <f t="shared" si="59"/>
        <v>0.14285714285714285</v>
      </c>
      <c r="AC217" s="67">
        <f t="shared" si="60"/>
        <v>1.5873015873015872E-2</v>
      </c>
      <c r="AD217" s="67">
        <f t="shared" si="61"/>
        <v>6.3492063492063489E-2</v>
      </c>
      <c r="AE217" s="67">
        <f t="shared" si="62"/>
        <v>4.7619047619047616E-2</v>
      </c>
      <c r="AF217" s="67">
        <f t="shared" si="63"/>
        <v>3.3084760004201239E-3</v>
      </c>
      <c r="AG217" s="67">
        <f>town_establishments[[#This Row],[share of state establishments]]/($AF$250-$AF$249)</f>
        <v>3.4222391221685046E-3</v>
      </c>
      <c r="AH217" s="67">
        <f>town_establishments[[#This Row],[share of state establishments (no residual)]]/(INDEX(regional_establishments[share of state establishments],MATCH(town_establishments[[#This Row],[Regional Planning Commission]],regional_establishments[Regional Planning Commission],0)))</f>
        <v>3.8888888888888896E-2</v>
      </c>
    </row>
    <row r="218" spans="1:34" x14ac:dyDescent="0.25">
      <c r="A218" t="s">
        <v>318</v>
      </c>
      <c r="B218" t="str">
        <f>INDEX([1]!town_population[Regional Planning Commission],MATCH(town_establishments[[#This Row],[Municipality]],[1]!town_population[Municipality],0))</f>
        <v>Two Rivers-Ottauquechee Regional Commission</v>
      </c>
      <c r="C218">
        <v>1</v>
      </c>
      <c r="D218">
        <v>1</v>
      </c>
      <c r="E218">
        <v>3</v>
      </c>
      <c r="F218">
        <v>1</v>
      </c>
      <c r="G218">
        <v>0</v>
      </c>
      <c r="I218">
        <v>3</v>
      </c>
      <c r="O218">
        <v>1</v>
      </c>
      <c r="P218">
        <v>2</v>
      </c>
      <c r="Q218">
        <f t="shared" si="48"/>
        <v>12</v>
      </c>
      <c r="R218" s="67">
        <f t="shared" si="49"/>
        <v>8.3333333333333329E-2</v>
      </c>
      <c r="S218" s="67">
        <f t="shared" si="50"/>
        <v>8.3333333333333329E-2</v>
      </c>
      <c r="T218" s="67">
        <f t="shared" si="51"/>
        <v>0.25</v>
      </c>
      <c r="U218" s="67">
        <f t="shared" si="52"/>
        <v>8.3333333333333329E-2</v>
      </c>
      <c r="V218" s="67">
        <f t="shared" si="53"/>
        <v>0</v>
      </c>
      <c r="W218" s="67">
        <f t="shared" si="54"/>
        <v>0</v>
      </c>
      <c r="X218" s="67">
        <f t="shared" si="55"/>
        <v>0.25</v>
      </c>
      <c r="Y218" s="67">
        <f t="shared" si="56"/>
        <v>0</v>
      </c>
      <c r="Z218" s="67">
        <f t="shared" si="57"/>
        <v>0</v>
      </c>
      <c r="AA218" s="67">
        <f t="shared" si="58"/>
        <v>0</v>
      </c>
      <c r="AB218" s="67">
        <f t="shared" si="59"/>
        <v>0</v>
      </c>
      <c r="AC218" s="67">
        <f t="shared" si="60"/>
        <v>0</v>
      </c>
      <c r="AD218" s="67">
        <f t="shared" si="61"/>
        <v>8.3333333333333329E-2</v>
      </c>
      <c r="AE218" s="67">
        <f t="shared" si="62"/>
        <v>0.16666666666666666</v>
      </c>
      <c r="AF218" s="67">
        <f t="shared" si="63"/>
        <v>6.3018590484192839E-4</v>
      </c>
      <c r="AG218" s="67">
        <f>town_establishments[[#This Row],[share of state establishments]]/($AF$250-$AF$249)</f>
        <v>6.5185507088923894E-4</v>
      </c>
      <c r="AH218" s="67">
        <f>town_establishments[[#This Row],[share of state establishments (no residual)]]/(INDEX(regional_establishments[share of state establishments],MATCH(town_establishments[[#This Row],[Regional Planning Commission]],regional_establishments[Regional Planning Commission],0)))</f>
        <v>7.4074074074074077E-3</v>
      </c>
    </row>
    <row r="219" spans="1:34" x14ac:dyDescent="0.25">
      <c r="A219" t="s">
        <v>319</v>
      </c>
      <c r="B219" t="str">
        <f>INDEX([1]!town_population[Regional Planning Commission],MATCH(town_establishments[[#This Row],[Municipality]],[1]!town_population[Municipality],0))</f>
        <v>Two Rivers-Ottauquechee Regional Commission</v>
      </c>
      <c r="C219">
        <v>3</v>
      </c>
      <c r="D219">
        <v>2</v>
      </c>
      <c r="E219">
        <v>1</v>
      </c>
      <c r="F219">
        <v>1</v>
      </c>
      <c r="I219">
        <v>3</v>
      </c>
      <c r="K219">
        <v>1</v>
      </c>
      <c r="L219">
        <v>1</v>
      </c>
      <c r="N219">
        <v>1</v>
      </c>
      <c r="P219">
        <v>5</v>
      </c>
      <c r="Q219">
        <f t="shared" si="48"/>
        <v>18</v>
      </c>
      <c r="R219" s="67">
        <f t="shared" si="49"/>
        <v>0.16666666666666666</v>
      </c>
      <c r="S219" s="67">
        <f t="shared" si="50"/>
        <v>0.1111111111111111</v>
      </c>
      <c r="T219" s="67">
        <f t="shared" si="51"/>
        <v>5.5555555555555552E-2</v>
      </c>
      <c r="U219" s="67">
        <f t="shared" si="52"/>
        <v>5.5555555555555552E-2</v>
      </c>
      <c r="V219" s="67">
        <f t="shared" si="53"/>
        <v>0</v>
      </c>
      <c r="W219" s="67">
        <f t="shared" si="54"/>
        <v>0</v>
      </c>
      <c r="X219" s="67">
        <f t="shared" si="55"/>
        <v>0.16666666666666666</v>
      </c>
      <c r="Y219" s="67">
        <f t="shared" si="56"/>
        <v>0</v>
      </c>
      <c r="Z219" s="67">
        <f t="shared" si="57"/>
        <v>5.5555555555555552E-2</v>
      </c>
      <c r="AA219" s="67">
        <f t="shared" si="58"/>
        <v>5.5555555555555552E-2</v>
      </c>
      <c r="AB219" s="67">
        <f t="shared" si="59"/>
        <v>0</v>
      </c>
      <c r="AC219" s="67">
        <f t="shared" si="60"/>
        <v>5.5555555555555552E-2</v>
      </c>
      <c r="AD219" s="67">
        <f t="shared" si="61"/>
        <v>0</v>
      </c>
      <c r="AE219" s="67">
        <f t="shared" si="62"/>
        <v>0.27777777777777779</v>
      </c>
      <c r="AF219" s="67">
        <f t="shared" si="63"/>
        <v>9.4527885726289253E-4</v>
      </c>
      <c r="AG219" s="67">
        <f>town_establishments[[#This Row],[share of state establishments]]/($AF$250-$AF$249)</f>
        <v>9.7778260633385851E-4</v>
      </c>
      <c r="AH219" s="67">
        <f>town_establishments[[#This Row],[share of state establishments (no residual)]]/(INDEX(regional_establishments[share of state establishments],MATCH(town_establishments[[#This Row],[Regional Planning Commission]],regional_establishments[Regional Planning Commission],0)))</f>
        <v>1.1111111111111113E-2</v>
      </c>
    </row>
    <row r="220" spans="1:34" x14ac:dyDescent="0.25">
      <c r="A220" t="s">
        <v>320</v>
      </c>
      <c r="B220" t="str">
        <f>INDEX([1]!town_population[Regional Planning Commission],MATCH(town_establishments[[#This Row],[Municipality]],[1]!town_population[Municipality],0))</f>
        <v>Two Rivers-Ottauquechee Regional Commission</v>
      </c>
      <c r="E220">
        <v>2</v>
      </c>
      <c r="I220">
        <v>1</v>
      </c>
      <c r="K220">
        <v>1</v>
      </c>
      <c r="L220">
        <v>2</v>
      </c>
      <c r="M220">
        <v>1</v>
      </c>
      <c r="P220">
        <v>1</v>
      </c>
      <c r="Q220">
        <f t="shared" si="48"/>
        <v>8</v>
      </c>
      <c r="R220" s="67">
        <f t="shared" si="49"/>
        <v>0</v>
      </c>
      <c r="S220" s="67">
        <f t="shared" si="50"/>
        <v>0</v>
      </c>
      <c r="T220" s="67">
        <f t="shared" si="51"/>
        <v>0.25</v>
      </c>
      <c r="U220" s="67">
        <f t="shared" si="52"/>
        <v>0</v>
      </c>
      <c r="V220" s="67">
        <f t="shared" si="53"/>
        <v>0</v>
      </c>
      <c r="W220" s="67">
        <f t="shared" si="54"/>
        <v>0</v>
      </c>
      <c r="X220" s="67">
        <f t="shared" si="55"/>
        <v>0.125</v>
      </c>
      <c r="Y220" s="67">
        <f t="shared" si="56"/>
        <v>0</v>
      </c>
      <c r="Z220" s="67">
        <f t="shared" si="57"/>
        <v>0.125</v>
      </c>
      <c r="AA220" s="67">
        <f t="shared" si="58"/>
        <v>0.25</v>
      </c>
      <c r="AB220" s="67">
        <f t="shared" si="59"/>
        <v>0.125</v>
      </c>
      <c r="AC220" s="67">
        <f t="shared" si="60"/>
        <v>0</v>
      </c>
      <c r="AD220" s="67">
        <f t="shared" si="61"/>
        <v>0</v>
      </c>
      <c r="AE220" s="67">
        <f t="shared" si="62"/>
        <v>0.125</v>
      </c>
      <c r="AF220" s="67">
        <f t="shared" si="63"/>
        <v>4.2012393656128556E-4</v>
      </c>
      <c r="AG220" s="67">
        <f>town_establishments[[#This Row],[share of state establishments]]/($AF$250-$AF$249)</f>
        <v>4.3457004725949261E-4</v>
      </c>
      <c r="AH220" s="67">
        <f>town_establishments[[#This Row],[share of state establishments (no residual)]]/(INDEX(regional_establishments[share of state establishments],MATCH(town_establishments[[#This Row],[Regional Planning Commission]],regional_establishments[Regional Planning Commission],0)))</f>
        <v>4.9382716049382715E-3</v>
      </c>
    </row>
    <row r="221" spans="1:34" x14ac:dyDescent="0.25">
      <c r="A221" t="s">
        <v>321</v>
      </c>
      <c r="B221" t="str">
        <f>INDEX([1]!town_population[Regional Planning Commission],MATCH(town_establishments[[#This Row],[Municipality]],[1]!town_population[Municipality],0))</f>
        <v>Two Rivers-Ottauquechee Regional Commission</v>
      </c>
      <c r="K221">
        <v>0</v>
      </c>
      <c r="L221">
        <v>1</v>
      </c>
      <c r="M221">
        <v>1</v>
      </c>
      <c r="P221">
        <v>1</v>
      </c>
      <c r="Q221">
        <f t="shared" si="48"/>
        <v>3</v>
      </c>
      <c r="R221" s="67">
        <f t="shared" si="49"/>
        <v>0</v>
      </c>
      <c r="S221" s="67">
        <f t="shared" si="50"/>
        <v>0</v>
      </c>
      <c r="T221" s="67">
        <f t="shared" si="51"/>
        <v>0</v>
      </c>
      <c r="U221" s="67">
        <f t="shared" si="52"/>
        <v>0</v>
      </c>
      <c r="V221" s="67">
        <f t="shared" si="53"/>
        <v>0</v>
      </c>
      <c r="W221" s="67">
        <f t="shared" si="54"/>
        <v>0</v>
      </c>
      <c r="X221" s="67">
        <f t="shared" si="55"/>
        <v>0</v>
      </c>
      <c r="Y221" s="67">
        <f t="shared" si="56"/>
        <v>0</v>
      </c>
      <c r="Z221" s="67">
        <f t="shared" si="57"/>
        <v>0</v>
      </c>
      <c r="AA221" s="67">
        <f t="shared" si="58"/>
        <v>0.33333333333333331</v>
      </c>
      <c r="AB221" s="67">
        <f t="shared" si="59"/>
        <v>0.33333333333333331</v>
      </c>
      <c r="AC221" s="67">
        <f t="shared" si="60"/>
        <v>0</v>
      </c>
      <c r="AD221" s="67">
        <f t="shared" si="61"/>
        <v>0</v>
      </c>
      <c r="AE221" s="67">
        <f t="shared" si="62"/>
        <v>0.33333333333333331</v>
      </c>
      <c r="AF221" s="67">
        <f t="shared" si="63"/>
        <v>1.575464762104821E-4</v>
      </c>
      <c r="AG221" s="67">
        <f>town_establishments[[#This Row],[share of state establishments]]/($AF$250-$AF$249)</f>
        <v>1.6296376772230973E-4</v>
      </c>
      <c r="AH221" s="67">
        <f>town_establishments[[#This Row],[share of state establishments (no residual)]]/(INDEX(regional_establishments[share of state establishments],MATCH(town_establishments[[#This Row],[Regional Planning Commission]],regional_establishments[Regional Planning Commission],0)))</f>
        <v>1.8518518518518519E-3</v>
      </c>
    </row>
    <row r="222" spans="1:34" x14ac:dyDescent="0.25">
      <c r="A222" t="s">
        <v>322</v>
      </c>
      <c r="B222" t="str">
        <f>INDEX([1]!town_population[Regional Planning Commission],MATCH(town_establishments[[#This Row],[Municipality]],[1]!town_population[Municipality],0))</f>
        <v>Two Rivers-Ottauquechee Regional Commission</v>
      </c>
      <c r="C222">
        <v>9</v>
      </c>
      <c r="D222">
        <v>37</v>
      </c>
      <c r="E222">
        <v>3</v>
      </c>
      <c r="F222">
        <v>10</v>
      </c>
      <c r="G222">
        <v>10</v>
      </c>
      <c r="H222">
        <v>9</v>
      </c>
      <c r="I222">
        <v>32</v>
      </c>
      <c r="K222">
        <v>25</v>
      </c>
      <c r="L222">
        <v>3</v>
      </c>
      <c r="M222">
        <v>20</v>
      </c>
      <c r="N222">
        <v>10</v>
      </c>
      <c r="O222">
        <v>24</v>
      </c>
      <c r="P222">
        <v>33</v>
      </c>
      <c r="Q222">
        <f t="shared" si="48"/>
        <v>225</v>
      </c>
      <c r="R222" s="67">
        <f t="shared" si="49"/>
        <v>0.04</v>
      </c>
      <c r="S222" s="67">
        <f t="shared" si="50"/>
        <v>0.16444444444444445</v>
      </c>
      <c r="T222" s="67">
        <f t="shared" si="51"/>
        <v>1.3333333333333334E-2</v>
      </c>
      <c r="U222" s="67">
        <f t="shared" si="52"/>
        <v>4.4444444444444446E-2</v>
      </c>
      <c r="V222" s="67">
        <f t="shared" si="53"/>
        <v>4.4444444444444446E-2</v>
      </c>
      <c r="W222" s="67">
        <f t="shared" si="54"/>
        <v>0.04</v>
      </c>
      <c r="X222" s="67">
        <f t="shared" si="55"/>
        <v>0.14222222222222222</v>
      </c>
      <c r="Y222" s="67">
        <f t="shared" si="56"/>
        <v>0</v>
      </c>
      <c r="Z222" s="67">
        <f t="shared" si="57"/>
        <v>0.1111111111111111</v>
      </c>
      <c r="AA222" s="67">
        <f t="shared" si="58"/>
        <v>1.3333333333333334E-2</v>
      </c>
      <c r="AB222" s="67">
        <f t="shared" si="59"/>
        <v>8.8888888888888892E-2</v>
      </c>
      <c r="AC222" s="67">
        <f t="shared" si="60"/>
        <v>4.4444444444444446E-2</v>
      </c>
      <c r="AD222" s="67">
        <f t="shared" si="61"/>
        <v>0.10666666666666667</v>
      </c>
      <c r="AE222" s="67">
        <f t="shared" si="62"/>
        <v>0.14666666666666667</v>
      </c>
      <c r="AF222" s="67">
        <f t="shared" si="63"/>
        <v>1.1815985715786157E-2</v>
      </c>
      <c r="AG222" s="67">
        <f>town_establishments[[#This Row],[share of state establishments]]/($AF$250-$AF$249)</f>
        <v>1.2222282579173231E-2</v>
      </c>
      <c r="AH222" s="67">
        <f>town_establishments[[#This Row],[share of state establishments (no residual)]]/(INDEX(regional_establishments[share of state establishments],MATCH(town_establishments[[#This Row],[Regional Planning Commission]],regional_establishments[Regional Planning Commission],0)))</f>
        <v>0.13888888888888892</v>
      </c>
    </row>
    <row r="223" spans="1:34" x14ac:dyDescent="0.25">
      <c r="A223" t="s">
        <v>323</v>
      </c>
      <c r="B223" t="str">
        <f>INDEX([1]!town_population[Regional Planning Commission],MATCH(town_establishments[[#This Row],[Municipality]],[1]!town_population[Municipality],0))</f>
        <v>Windham Regional Commission</v>
      </c>
      <c r="K223">
        <v>1</v>
      </c>
      <c r="P223">
        <v>1</v>
      </c>
      <c r="Q223">
        <f t="shared" si="48"/>
        <v>2</v>
      </c>
      <c r="R223" s="67">
        <f t="shared" si="49"/>
        <v>0</v>
      </c>
      <c r="S223" s="67">
        <f t="shared" si="50"/>
        <v>0</v>
      </c>
      <c r="T223" s="67">
        <f t="shared" si="51"/>
        <v>0</v>
      </c>
      <c r="U223" s="67">
        <f t="shared" si="52"/>
        <v>0</v>
      </c>
      <c r="V223" s="67">
        <f t="shared" si="53"/>
        <v>0</v>
      </c>
      <c r="W223" s="67">
        <f t="shared" si="54"/>
        <v>0</v>
      </c>
      <c r="X223" s="67">
        <f t="shared" si="55"/>
        <v>0</v>
      </c>
      <c r="Y223" s="67">
        <f t="shared" si="56"/>
        <v>0</v>
      </c>
      <c r="Z223" s="67">
        <f t="shared" si="57"/>
        <v>0.5</v>
      </c>
      <c r="AA223" s="67">
        <f t="shared" si="58"/>
        <v>0</v>
      </c>
      <c r="AB223" s="67">
        <f t="shared" si="59"/>
        <v>0</v>
      </c>
      <c r="AC223" s="67">
        <f t="shared" si="60"/>
        <v>0</v>
      </c>
      <c r="AD223" s="67">
        <f t="shared" si="61"/>
        <v>0</v>
      </c>
      <c r="AE223" s="67">
        <f t="shared" si="62"/>
        <v>0.5</v>
      </c>
      <c r="AF223" s="67">
        <f t="shared" si="63"/>
        <v>1.0503098414032139E-4</v>
      </c>
      <c r="AG223" s="67">
        <f>town_establishments[[#This Row],[share of state establishments]]/($AF$250-$AF$249)</f>
        <v>1.0864251181487315E-4</v>
      </c>
      <c r="AH223" s="67">
        <f>town_establishments[[#This Row],[share of state establishments (no residual)]]/(INDEX(regional_establishments[share of state establishments],MATCH(town_establishments[[#This Row],[Regional Planning Commission]],regional_establishments[Regional Planning Commission],0)))</f>
        <v>1.28783000643915E-3</v>
      </c>
    </row>
    <row r="224" spans="1:34" x14ac:dyDescent="0.25">
      <c r="A224" t="s">
        <v>324</v>
      </c>
      <c r="B224" t="str">
        <f>INDEX([1]!town_population[Regional Planning Commission],MATCH(town_establishments[[#This Row],[Municipality]],[1]!town_population[Municipality],0))</f>
        <v>Windham Regional Commission</v>
      </c>
      <c r="C224">
        <v>41</v>
      </c>
      <c r="D224">
        <v>109</v>
      </c>
      <c r="E224">
        <v>9</v>
      </c>
      <c r="F224">
        <v>18</v>
      </c>
      <c r="G224">
        <v>27</v>
      </c>
      <c r="H224">
        <v>28</v>
      </c>
      <c r="I224">
        <v>69</v>
      </c>
      <c r="J224">
        <v>2</v>
      </c>
      <c r="K224">
        <v>32</v>
      </c>
      <c r="L224">
        <v>26</v>
      </c>
      <c r="M224">
        <v>97</v>
      </c>
      <c r="N224">
        <v>14</v>
      </c>
      <c r="O224">
        <v>72</v>
      </c>
      <c r="P224">
        <v>62</v>
      </c>
      <c r="Q224">
        <f t="shared" si="48"/>
        <v>606</v>
      </c>
      <c r="R224" s="67">
        <f t="shared" si="49"/>
        <v>6.7656765676567657E-2</v>
      </c>
      <c r="S224" s="67">
        <f t="shared" si="50"/>
        <v>0.17986798679867988</v>
      </c>
      <c r="T224" s="67">
        <f t="shared" si="51"/>
        <v>1.4851485148514851E-2</v>
      </c>
      <c r="U224" s="67">
        <f t="shared" si="52"/>
        <v>2.9702970297029702E-2</v>
      </c>
      <c r="V224" s="67">
        <f t="shared" si="53"/>
        <v>4.4554455445544552E-2</v>
      </c>
      <c r="W224" s="67">
        <f t="shared" si="54"/>
        <v>4.6204620462046202E-2</v>
      </c>
      <c r="X224" s="67">
        <f t="shared" si="55"/>
        <v>0.11386138613861387</v>
      </c>
      <c r="Y224" s="67">
        <f t="shared" si="56"/>
        <v>3.3003300330033004E-3</v>
      </c>
      <c r="Z224" s="67">
        <f t="shared" si="57"/>
        <v>5.2805280528052806E-2</v>
      </c>
      <c r="AA224" s="67">
        <f t="shared" si="58"/>
        <v>4.2904290429042903E-2</v>
      </c>
      <c r="AB224" s="67">
        <f t="shared" si="59"/>
        <v>0.16006600660066006</v>
      </c>
      <c r="AC224" s="67">
        <f t="shared" si="60"/>
        <v>2.3102310231023101E-2</v>
      </c>
      <c r="AD224" s="67">
        <f t="shared" si="61"/>
        <v>0.11881188118811881</v>
      </c>
      <c r="AE224" s="67">
        <f t="shared" si="62"/>
        <v>0.10231023102310231</v>
      </c>
      <c r="AF224" s="67">
        <f t="shared" si="63"/>
        <v>3.1824388194517383E-2</v>
      </c>
      <c r="AG224" s="67">
        <f>town_establishments[[#This Row],[share of state establishments]]/($AF$250-$AF$249)</f>
        <v>3.2918681079906566E-2</v>
      </c>
      <c r="AH224" s="67">
        <f>town_establishments[[#This Row],[share of state establishments (no residual)]]/(INDEX(regional_establishments[share of state establishments],MATCH(town_establishments[[#This Row],[Regional Planning Commission]],regional_establishments[Regional Planning Commission],0)))</f>
        <v>0.39021249195106245</v>
      </c>
    </row>
    <row r="225" spans="1:34" x14ac:dyDescent="0.25">
      <c r="A225" t="s">
        <v>325</v>
      </c>
      <c r="B225" t="str">
        <f>INDEX([1]!town_population[Regional Planning Commission],MATCH(town_establishments[[#This Row],[Municipality]],[1]!town_population[Municipality],0))</f>
        <v>Windham Regional Commission</v>
      </c>
      <c r="C225">
        <v>1</v>
      </c>
      <c r="D225">
        <v>1</v>
      </c>
      <c r="E225">
        <v>1</v>
      </c>
      <c r="I225">
        <v>3</v>
      </c>
      <c r="K225">
        <v>1</v>
      </c>
      <c r="M225">
        <v>1</v>
      </c>
      <c r="N225">
        <v>1</v>
      </c>
      <c r="Q225">
        <f t="shared" si="48"/>
        <v>9</v>
      </c>
      <c r="R225" s="67">
        <f t="shared" si="49"/>
        <v>0.1111111111111111</v>
      </c>
      <c r="S225" s="67">
        <f t="shared" si="50"/>
        <v>0.1111111111111111</v>
      </c>
      <c r="T225" s="67">
        <f t="shared" si="51"/>
        <v>0.1111111111111111</v>
      </c>
      <c r="U225" s="67">
        <f t="shared" si="52"/>
        <v>0</v>
      </c>
      <c r="V225" s="67">
        <f t="shared" si="53"/>
        <v>0</v>
      </c>
      <c r="W225" s="67">
        <f t="shared" si="54"/>
        <v>0</v>
      </c>
      <c r="X225" s="67">
        <f t="shared" si="55"/>
        <v>0.33333333333333331</v>
      </c>
      <c r="Y225" s="67">
        <f t="shared" si="56"/>
        <v>0</v>
      </c>
      <c r="Z225" s="67">
        <f t="shared" si="57"/>
        <v>0.1111111111111111</v>
      </c>
      <c r="AA225" s="67">
        <f t="shared" si="58"/>
        <v>0</v>
      </c>
      <c r="AB225" s="67">
        <f t="shared" si="59"/>
        <v>0.1111111111111111</v>
      </c>
      <c r="AC225" s="67">
        <f t="shared" si="60"/>
        <v>0.1111111111111111</v>
      </c>
      <c r="AD225" s="67">
        <f t="shared" si="61"/>
        <v>0</v>
      </c>
      <c r="AE225" s="67">
        <f t="shared" si="62"/>
        <v>0</v>
      </c>
      <c r="AF225" s="67">
        <f t="shared" si="63"/>
        <v>4.7263942863144627E-4</v>
      </c>
      <c r="AG225" s="67">
        <f>town_establishments[[#This Row],[share of state establishments]]/($AF$250-$AF$249)</f>
        <v>4.8889130316692926E-4</v>
      </c>
      <c r="AH225" s="67">
        <f>town_establishments[[#This Row],[share of state establishments (no residual)]]/(INDEX(regional_establishments[share of state establishments],MATCH(town_establishments[[#This Row],[Regional Planning Commission]],regional_establishments[Regional Planning Commission],0)))</f>
        <v>5.7952350289761758E-3</v>
      </c>
    </row>
    <row r="226" spans="1:34" x14ac:dyDescent="0.25">
      <c r="A226" t="s">
        <v>326</v>
      </c>
      <c r="B226" t="str">
        <f>INDEX([1]!town_population[Regional Planning Commission],MATCH(town_establishments[[#This Row],[Municipality]],[1]!town_population[Municipality],0))</f>
        <v>Windham Regional Commission</v>
      </c>
      <c r="C226">
        <v>4</v>
      </c>
      <c r="D226">
        <v>9</v>
      </c>
      <c r="E226">
        <v>2</v>
      </c>
      <c r="G226">
        <v>6</v>
      </c>
      <c r="H226">
        <v>14</v>
      </c>
      <c r="I226">
        <v>10</v>
      </c>
      <c r="K226">
        <v>9</v>
      </c>
      <c r="L226">
        <v>2</v>
      </c>
      <c r="M226">
        <v>2</v>
      </c>
      <c r="O226">
        <v>26</v>
      </c>
      <c r="P226">
        <v>6</v>
      </c>
      <c r="Q226">
        <f t="shared" si="48"/>
        <v>90</v>
      </c>
      <c r="R226" s="67">
        <f t="shared" si="49"/>
        <v>4.4444444444444446E-2</v>
      </c>
      <c r="S226" s="67">
        <f t="shared" si="50"/>
        <v>0.1</v>
      </c>
      <c r="T226" s="67">
        <f t="shared" si="51"/>
        <v>2.2222222222222223E-2</v>
      </c>
      <c r="U226" s="67">
        <f t="shared" si="52"/>
        <v>0</v>
      </c>
      <c r="V226" s="67">
        <f t="shared" si="53"/>
        <v>6.6666666666666666E-2</v>
      </c>
      <c r="W226" s="67">
        <f t="shared" si="54"/>
        <v>0.15555555555555556</v>
      </c>
      <c r="X226" s="67">
        <f t="shared" si="55"/>
        <v>0.1111111111111111</v>
      </c>
      <c r="Y226" s="67">
        <f t="shared" si="56"/>
        <v>0</v>
      </c>
      <c r="Z226" s="67">
        <f t="shared" si="57"/>
        <v>0.1</v>
      </c>
      <c r="AA226" s="67">
        <f t="shared" si="58"/>
        <v>2.2222222222222223E-2</v>
      </c>
      <c r="AB226" s="67">
        <f t="shared" si="59"/>
        <v>2.2222222222222223E-2</v>
      </c>
      <c r="AC226" s="67">
        <f t="shared" si="60"/>
        <v>0</v>
      </c>
      <c r="AD226" s="67">
        <f t="shared" si="61"/>
        <v>0.28888888888888886</v>
      </c>
      <c r="AE226" s="67">
        <f t="shared" si="62"/>
        <v>6.6666666666666666E-2</v>
      </c>
      <c r="AF226" s="67">
        <f t="shared" si="63"/>
        <v>4.7263942863144627E-3</v>
      </c>
      <c r="AG226" s="67">
        <f>town_establishments[[#This Row],[share of state establishments]]/($AF$250-$AF$249)</f>
        <v>4.8889130316692921E-3</v>
      </c>
      <c r="AH226" s="67">
        <f>town_establishments[[#This Row],[share of state establishments (no residual)]]/(INDEX(regional_establishments[share of state establishments],MATCH(town_establishments[[#This Row],[Regional Planning Commission]],regional_establishments[Regional Planning Commission],0)))</f>
        <v>5.7952350289761749E-2</v>
      </c>
    </row>
    <row r="227" spans="1:34" x14ac:dyDescent="0.25">
      <c r="A227" t="s">
        <v>327</v>
      </c>
      <c r="B227" t="str">
        <f>INDEX([1]!town_population[Regional Planning Commission],MATCH(town_establishments[[#This Row],[Municipality]],[1]!town_population[Municipality],0))</f>
        <v>Windham Regional Commission</v>
      </c>
      <c r="C227">
        <v>5</v>
      </c>
      <c r="D227">
        <v>2</v>
      </c>
      <c r="E227">
        <v>1</v>
      </c>
      <c r="F227">
        <v>5</v>
      </c>
      <c r="H227">
        <v>2</v>
      </c>
      <c r="I227">
        <v>4</v>
      </c>
      <c r="K227">
        <v>4</v>
      </c>
      <c r="L227">
        <v>1</v>
      </c>
      <c r="M227">
        <v>1</v>
      </c>
      <c r="O227">
        <v>2</v>
      </c>
      <c r="P227">
        <v>4</v>
      </c>
      <c r="Q227">
        <f t="shared" si="48"/>
        <v>31</v>
      </c>
      <c r="R227" s="67">
        <f t="shared" si="49"/>
        <v>0.16129032258064516</v>
      </c>
      <c r="S227" s="67">
        <f t="shared" si="50"/>
        <v>6.4516129032258063E-2</v>
      </c>
      <c r="T227" s="67">
        <f t="shared" si="51"/>
        <v>3.2258064516129031E-2</v>
      </c>
      <c r="U227" s="67">
        <f t="shared" si="52"/>
        <v>0.16129032258064516</v>
      </c>
      <c r="V227" s="67">
        <f t="shared" si="53"/>
        <v>0</v>
      </c>
      <c r="W227" s="67">
        <f t="shared" si="54"/>
        <v>6.4516129032258063E-2</v>
      </c>
      <c r="X227" s="67">
        <f t="shared" si="55"/>
        <v>0.12903225806451613</v>
      </c>
      <c r="Y227" s="67">
        <f t="shared" si="56"/>
        <v>0</v>
      </c>
      <c r="Z227" s="67">
        <f t="shared" si="57"/>
        <v>0.12903225806451613</v>
      </c>
      <c r="AA227" s="67">
        <f t="shared" si="58"/>
        <v>3.2258064516129031E-2</v>
      </c>
      <c r="AB227" s="67">
        <f t="shared" si="59"/>
        <v>3.2258064516129031E-2</v>
      </c>
      <c r="AC227" s="67">
        <f t="shared" si="60"/>
        <v>0</v>
      </c>
      <c r="AD227" s="67">
        <f t="shared" si="61"/>
        <v>6.4516129032258063E-2</v>
      </c>
      <c r="AE227" s="67">
        <f t="shared" si="62"/>
        <v>0.12903225806451613</v>
      </c>
      <c r="AF227" s="67">
        <f t="shared" si="63"/>
        <v>1.6279802541749816E-3</v>
      </c>
      <c r="AG227" s="67">
        <f>town_establishments[[#This Row],[share of state establishments]]/($AF$250-$AF$249)</f>
        <v>1.6839589331305339E-3</v>
      </c>
      <c r="AH227" s="67">
        <f>town_establishments[[#This Row],[share of state establishments (no residual)]]/(INDEX(regional_establishments[share of state establishments],MATCH(town_establishments[[#This Row],[Regional Planning Commission]],regional_establishments[Regional Planning Commission],0)))</f>
        <v>1.9961365099806824E-2</v>
      </c>
    </row>
    <row r="228" spans="1:34" x14ac:dyDescent="0.25">
      <c r="A228" t="s">
        <v>328</v>
      </c>
      <c r="B228" t="str">
        <f>INDEX([1]!town_population[Regional Planning Commission],MATCH(town_establishments[[#This Row],[Municipality]],[1]!town_population[Municipality],0))</f>
        <v>Windham Regional Commission</v>
      </c>
      <c r="C228">
        <v>1</v>
      </c>
      <c r="D228">
        <v>2</v>
      </c>
      <c r="E228">
        <v>1</v>
      </c>
      <c r="G228">
        <v>1</v>
      </c>
      <c r="I228">
        <v>2</v>
      </c>
      <c r="K228">
        <v>4</v>
      </c>
      <c r="L228">
        <v>1</v>
      </c>
      <c r="N228">
        <v>1</v>
      </c>
      <c r="O228">
        <v>2</v>
      </c>
      <c r="P228">
        <v>4</v>
      </c>
      <c r="Q228">
        <f t="shared" si="48"/>
        <v>19</v>
      </c>
      <c r="R228" s="67">
        <f t="shared" si="49"/>
        <v>5.2631578947368418E-2</v>
      </c>
      <c r="S228" s="67">
        <f t="shared" si="50"/>
        <v>0.10526315789473684</v>
      </c>
      <c r="T228" s="67">
        <f t="shared" si="51"/>
        <v>5.2631578947368418E-2</v>
      </c>
      <c r="U228" s="67">
        <f t="shared" si="52"/>
        <v>0</v>
      </c>
      <c r="V228" s="67">
        <f t="shared" si="53"/>
        <v>5.2631578947368418E-2</v>
      </c>
      <c r="W228" s="67">
        <f t="shared" si="54"/>
        <v>0</v>
      </c>
      <c r="X228" s="67">
        <f t="shared" si="55"/>
        <v>0.10526315789473684</v>
      </c>
      <c r="Y228" s="67">
        <f t="shared" si="56"/>
        <v>0</v>
      </c>
      <c r="Z228" s="67">
        <f t="shared" si="57"/>
        <v>0.21052631578947367</v>
      </c>
      <c r="AA228" s="67">
        <f t="shared" si="58"/>
        <v>5.2631578947368418E-2</v>
      </c>
      <c r="AB228" s="67">
        <f t="shared" si="59"/>
        <v>0</v>
      </c>
      <c r="AC228" s="67">
        <f t="shared" si="60"/>
        <v>5.2631578947368418E-2</v>
      </c>
      <c r="AD228" s="67">
        <f t="shared" si="61"/>
        <v>0.10526315789473684</v>
      </c>
      <c r="AE228" s="67">
        <f t="shared" si="62"/>
        <v>0.21052631578947367</v>
      </c>
      <c r="AF228" s="67">
        <f t="shared" si="63"/>
        <v>9.9779434933305335E-4</v>
      </c>
      <c r="AG228" s="67">
        <f>town_establishments[[#This Row],[share of state establishments]]/($AF$250-$AF$249)</f>
        <v>1.0321038622412952E-3</v>
      </c>
      <c r="AH228" s="67">
        <f>town_establishments[[#This Row],[share of state establishments (no residual)]]/(INDEX(regional_establishments[share of state establishments],MATCH(town_establishments[[#This Row],[Regional Planning Commission]],regional_establishments[Regional Planning Commission],0)))</f>
        <v>1.2234385061171927E-2</v>
      </c>
    </row>
    <row r="229" spans="1:34" x14ac:dyDescent="0.25">
      <c r="A229" t="s">
        <v>329</v>
      </c>
      <c r="B229" t="str">
        <f>INDEX([1]!town_population[Regional Planning Commission],MATCH(town_establishments[[#This Row],[Municipality]],[1]!town_population[Municipality],0))</f>
        <v>Windham Regional Commission</v>
      </c>
      <c r="C229">
        <v>4</v>
      </c>
      <c r="D229">
        <v>1</v>
      </c>
      <c r="E229">
        <v>1</v>
      </c>
      <c r="F229">
        <v>1</v>
      </c>
      <c r="H229">
        <v>1</v>
      </c>
      <c r="I229">
        <v>6</v>
      </c>
      <c r="K229">
        <v>8</v>
      </c>
      <c r="L229">
        <v>1</v>
      </c>
      <c r="M229">
        <v>2</v>
      </c>
      <c r="P229">
        <v>7</v>
      </c>
      <c r="Q229">
        <f t="shared" si="48"/>
        <v>32</v>
      </c>
      <c r="R229" s="67">
        <f t="shared" si="49"/>
        <v>0.125</v>
      </c>
      <c r="S229" s="67">
        <f t="shared" si="50"/>
        <v>3.125E-2</v>
      </c>
      <c r="T229" s="67">
        <f t="shared" si="51"/>
        <v>3.125E-2</v>
      </c>
      <c r="U229" s="67">
        <f t="shared" si="52"/>
        <v>3.125E-2</v>
      </c>
      <c r="V229" s="67">
        <f t="shared" si="53"/>
        <v>0</v>
      </c>
      <c r="W229" s="67">
        <f t="shared" si="54"/>
        <v>3.125E-2</v>
      </c>
      <c r="X229" s="67">
        <f t="shared" si="55"/>
        <v>0.1875</v>
      </c>
      <c r="Y229" s="67">
        <f t="shared" si="56"/>
        <v>0</v>
      </c>
      <c r="Z229" s="67">
        <f t="shared" si="57"/>
        <v>0.25</v>
      </c>
      <c r="AA229" s="67">
        <f t="shared" si="58"/>
        <v>3.125E-2</v>
      </c>
      <c r="AB229" s="67">
        <f t="shared" si="59"/>
        <v>6.25E-2</v>
      </c>
      <c r="AC229" s="67">
        <f t="shared" si="60"/>
        <v>0</v>
      </c>
      <c r="AD229" s="67">
        <f t="shared" si="61"/>
        <v>0</v>
      </c>
      <c r="AE229" s="67">
        <f t="shared" si="62"/>
        <v>0.21875</v>
      </c>
      <c r="AF229" s="67">
        <f t="shared" si="63"/>
        <v>1.6804957462451422E-3</v>
      </c>
      <c r="AG229" s="67">
        <f>town_establishments[[#This Row],[share of state establishments]]/($AF$250-$AF$249)</f>
        <v>1.7382801890379704E-3</v>
      </c>
      <c r="AH229" s="67">
        <f>town_establishments[[#This Row],[share of state establishments (no residual)]]/(INDEX(regional_establishments[share of state establishments],MATCH(town_establishments[[#This Row],[Regional Planning Commission]],regional_establishments[Regional Planning Commission],0)))</f>
        <v>2.06052801030264E-2</v>
      </c>
    </row>
    <row r="230" spans="1:34" x14ac:dyDescent="0.25">
      <c r="A230" t="s">
        <v>330</v>
      </c>
      <c r="B230" t="str">
        <f>INDEX([1]!town_population[Regional Planning Commission],MATCH(town_establishments[[#This Row],[Municipality]],[1]!town_population[Municipality],0))</f>
        <v>Windham Regional Commission</v>
      </c>
      <c r="C230">
        <v>1</v>
      </c>
      <c r="D230">
        <v>1</v>
      </c>
      <c r="E230">
        <v>1</v>
      </c>
      <c r="I230">
        <v>3</v>
      </c>
      <c r="K230">
        <v>1</v>
      </c>
      <c r="L230">
        <v>1</v>
      </c>
      <c r="M230">
        <v>1</v>
      </c>
      <c r="P230">
        <v>0</v>
      </c>
      <c r="Q230">
        <f t="shared" si="48"/>
        <v>9</v>
      </c>
      <c r="R230" s="67">
        <f t="shared" si="49"/>
        <v>0.1111111111111111</v>
      </c>
      <c r="S230" s="67">
        <f t="shared" si="50"/>
        <v>0.1111111111111111</v>
      </c>
      <c r="T230" s="67">
        <f t="shared" si="51"/>
        <v>0.1111111111111111</v>
      </c>
      <c r="U230" s="67">
        <f t="shared" si="52"/>
        <v>0</v>
      </c>
      <c r="V230" s="67">
        <f t="shared" si="53"/>
        <v>0</v>
      </c>
      <c r="W230" s="67">
        <f t="shared" si="54"/>
        <v>0</v>
      </c>
      <c r="X230" s="67">
        <f t="shared" si="55"/>
        <v>0.33333333333333331</v>
      </c>
      <c r="Y230" s="67">
        <f t="shared" si="56"/>
        <v>0</v>
      </c>
      <c r="Z230" s="67">
        <f t="shared" si="57"/>
        <v>0.1111111111111111</v>
      </c>
      <c r="AA230" s="67">
        <f t="shared" si="58"/>
        <v>0.1111111111111111</v>
      </c>
      <c r="AB230" s="67">
        <f t="shared" si="59"/>
        <v>0.1111111111111111</v>
      </c>
      <c r="AC230" s="67">
        <f t="shared" si="60"/>
        <v>0</v>
      </c>
      <c r="AD230" s="67">
        <f t="shared" si="61"/>
        <v>0</v>
      </c>
      <c r="AE230" s="67">
        <f t="shared" si="62"/>
        <v>0</v>
      </c>
      <c r="AF230" s="67">
        <f t="shared" si="63"/>
        <v>4.7263942863144627E-4</v>
      </c>
      <c r="AG230" s="67">
        <f>town_establishments[[#This Row],[share of state establishments]]/($AF$250-$AF$249)</f>
        <v>4.8889130316692926E-4</v>
      </c>
      <c r="AH230" s="67">
        <f>town_establishments[[#This Row],[share of state establishments (no residual)]]/(INDEX(regional_establishments[share of state establishments],MATCH(town_establishments[[#This Row],[Regional Planning Commission]],regional_establishments[Regional Planning Commission],0)))</f>
        <v>5.7952350289761758E-3</v>
      </c>
    </row>
    <row r="231" spans="1:34" x14ac:dyDescent="0.25">
      <c r="A231" t="s">
        <v>331</v>
      </c>
      <c r="B231" t="str">
        <f>INDEX([1]!town_population[Regional Planning Commission],MATCH(town_establishments[[#This Row],[Municipality]],[1]!town_population[Municipality],0))</f>
        <v>Windham Regional Commission</v>
      </c>
      <c r="C231">
        <v>1</v>
      </c>
      <c r="D231">
        <v>6</v>
      </c>
      <c r="E231">
        <v>1</v>
      </c>
      <c r="H231">
        <v>1</v>
      </c>
      <c r="I231">
        <v>5</v>
      </c>
      <c r="J231">
        <v>1</v>
      </c>
      <c r="K231">
        <v>4</v>
      </c>
      <c r="L231">
        <v>1</v>
      </c>
      <c r="O231">
        <v>4</v>
      </c>
      <c r="P231">
        <v>1</v>
      </c>
      <c r="Q231">
        <f t="shared" si="48"/>
        <v>25</v>
      </c>
      <c r="R231" s="67">
        <f t="shared" si="49"/>
        <v>0.04</v>
      </c>
      <c r="S231" s="67">
        <f t="shared" si="50"/>
        <v>0.24</v>
      </c>
      <c r="T231" s="67">
        <f t="shared" si="51"/>
        <v>0.04</v>
      </c>
      <c r="U231" s="67">
        <f t="shared" si="52"/>
        <v>0</v>
      </c>
      <c r="V231" s="67">
        <f t="shared" si="53"/>
        <v>0</v>
      </c>
      <c r="W231" s="67">
        <f t="shared" si="54"/>
        <v>0.04</v>
      </c>
      <c r="X231" s="67">
        <f t="shared" si="55"/>
        <v>0.2</v>
      </c>
      <c r="Y231" s="67">
        <f t="shared" si="56"/>
        <v>0.04</v>
      </c>
      <c r="Z231" s="67">
        <f t="shared" si="57"/>
        <v>0.16</v>
      </c>
      <c r="AA231" s="67">
        <f t="shared" si="58"/>
        <v>0.04</v>
      </c>
      <c r="AB231" s="67">
        <f t="shared" si="59"/>
        <v>0</v>
      </c>
      <c r="AC231" s="67">
        <f t="shared" si="60"/>
        <v>0</v>
      </c>
      <c r="AD231" s="67">
        <f t="shared" si="61"/>
        <v>0.16</v>
      </c>
      <c r="AE231" s="67">
        <f t="shared" si="62"/>
        <v>0.04</v>
      </c>
      <c r="AF231" s="67">
        <f t="shared" si="63"/>
        <v>1.3128873017540174E-3</v>
      </c>
      <c r="AG231" s="67">
        <f>town_establishments[[#This Row],[share of state establishments]]/($AF$250-$AF$249)</f>
        <v>1.3580313976859144E-3</v>
      </c>
      <c r="AH231" s="67">
        <f>town_establishments[[#This Row],[share of state establishments (no residual)]]/(INDEX(regional_establishments[share of state establishments],MATCH(town_establishments[[#This Row],[Regional Planning Commission]],regional_establishments[Regional Planning Commission],0)))</f>
        <v>1.6097875080489373E-2</v>
      </c>
    </row>
    <row r="232" spans="1:34" x14ac:dyDescent="0.25">
      <c r="A232" t="s">
        <v>332</v>
      </c>
      <c r="B232" t="str">
        <f>INDEX([1]!town_population[Regional Planning Commission],MATCH(town_establishments[[#This Row],[Municipality]],[1]!town_population[Municipality],0))</f>
        <v>Windham Regional Commission</v>
      </c>
      <c r="C232">
        <v>7</v>
      </c>
      <c r="D232">
        <v>12</v>
      </c>
      <c r="E232">
        <v>4</v>
      </c>
      <c r="F232">
        <v>1</v>
      </c>
      <c r="G232">
        <v>3</v>
      </c>
      <c r="H232">
        <v>6</v>
      </c>
      <c r="I232">
        <v>9</v>
      </c>
      <c r="K232">
        <v>12</v>
      </c>
      <c r="L232">
        <v>2</v>
      </c>
      <c r="M232">
        <v>3</v>
      </c>
      <c r="N232">
        <v>3</v>
      </c>
      <c r="O232">
        <v>8</v>
      </c>
      <c r="P232">
        <v>5</v>
      </c>
      <c r="Q232">
        <f t="shared" si="48"/>
        <v>75</v>
      </c>
      <c r="R232" s="67">
        <f t="shared" si="49"/>
        <v>9.3333333333333338E-2</v>
      </c>
      <c r="S232" s="67">
        <f t="shared" si="50"/>
        <v>0.16</v>
      </c>
      <c r="T232" s="67">
        <f t="shared" si="51"/>
        <v>5.3333333333333337E-2</v>
      </c>
      <c r="U232" s="67">
        <f t="shared" si="52"/>
        <v>1.3333333333333334E-2</v>
      </c>
      <c r="V232" s="67">
        <f t="shared" si="53"/>
        <v>0.04</v>
      </c>
      <c r="W232" s="67">
        <f t="shared" si="54"/>
        <v>0.08</v>
      </c>
      <c r="X232" s="67">
        <f t="shared" si="55"/>
        <v>0.12</v>
      </c>
      <c r="Y232" s="67">
        <f t="shared" si="56"/>
        <v>0</v>
      </c>
      <c r="Z232" s="67">
        <f t="shared" si="57"/>
        <v>0.16</v>
      </c>
      <c r="AA232" s="67">
        <f t="shared" si="58"/>
        <v>2.6666666666666668E-2</v>
      </c>
      <c r="AB232" s="67">
        <f t="shared" si="59"/>
        <v>0.04</v>
      </c>
      <c r="AC232" s="67">
        <f t="shared" si="60"/>
        <v>0.04</v>
      </c>
      <c r="AD232" s="67">
        <f t="shared" si="61"/>
        <v>0.10666666666666667</v>
      </c>
      <c r="AE232" s="67">
        <f t="shared" si="62"/>
        <v>6.6666666666666666E-2</v>
      </c>
      <c r="AF232" s="67">
        <f t="shared" si="63"/>
        <v>3.9386619052620524E-3</v>
      </c>
      <c r="AG232" s="67">
        <f>town_establishments[[#This Row],[share of state establishments]]/($AF$250-$AF$249)</f>
        <v>4.0740941930577437E-3</v>
      </c>
      <c r="AH232" s="67">
        <f>town_establishments[[#This Row],[share of state establishments (no residual)]]/(INDEX(regional_establishments[share of state establishments],MATCH(town_establishments[[#This Row],[Regional Planning Commission]],regional_establishments[Regional Planning Commission],0)))</f>
        <v>4.829362524146813E-2</v>
      </c>
    </row>
    <row r="233" spans="1:34" x14ac:dyDescent="0.25">
      <c r="A233" t="s">
        <v>333</v>
      </c>
      <c r="B233" t="str">
        <f>INDEX([1]!town_population[Regional Planning Commission],MATCH(town_establishments[[#This Row],[Municipality]],[1]!town_population[Municipality],0))</f>
        <v>Windham Regional Commission</v>
      </c>
      <c r="C233">
        <v>1</v>
      </c>
      <c r="D233">
        <v>3</v>
      </c>
      <c r="E233">
        <v>1</v>
      </c>
      <c r="F233">
        <v>1</v>
      </c>
      <c r="I233">
        <v>1</v>
      </c>
      <c r="K233">
        <v>2</v>
      </c>
      <c r="L233">
        <v>2</v>
      </c>
      <c r="M233">
        <v>1</v>
      </c>
      <c r="O233">
        <v>2</v>
      </c>
      <c r="P233">
        <v>3</v>
      </c>
      <c r="Q233">
        <f t="shared" si="48"/>
        <v>17</v>
      </c>
      <c r="R233" s="67">
        <f t="shared" si="49"/>
        <v>5.8823529411764705E-2</v>
      </c>
      <c r="S233" s="67">
        <f t="shared" si="50"/>
        <v>0.17647058823529413</v>
      </c>
      <c r="T233" s="67">
        <f t="shared" si="51"/>
        <v>5.8823529411764705E-2</v>
      </c>
      <c r="U233" s="67">
        <f t="shared" si="52"/>
        <v>5.8823529411764705E-2</v>
      </c>
      <c r="V233" s="67">
        <f t="shared" si="53"/>
        <v>0</v>
      </c>
      <c r="W233" s="67">
        <f t="shared" si="54"/>
        <v>0</v>
      </c>
      <c r="X233" s="67">
        <f t="shared" si="55"/>
        <v>5.8823529411764705E-2</v>
      </c>
      <c r="Y233" s="67">
        <f t="shared" si="56"/>
        <v>0</v>
      </c>
      <c r="Z233" s="67">
        <f t="shared" si="57"/>
        <v>0.11764705882352941</v>
      </c>
      <c r="AA233" s="67">
        <f t="shared" si="58"/>
        <v>0.11764705882352941</v>
      </c>
      <c r="AB233" s="67">
        <f t="shared" si="59"/>
        <v>5.8823529411764705E-2</v>
      </c>
      <c r="AC233" s="67">
        <f t="shared" si="60"/>
        <v>0</v>
      </c>
      <c r="AD233" s="67">
        <f t="shared" si="61"/>
        <v>0.11764705882352941</v>
      </c>
      <c r="AE233" s="67">
        <f t="shared" si="62"/>
        <v>0.17647058823529413</v>
      </c>
      <c r="AF233" s="67">
        <f t="shared" si="63"/>
        <v>8.9276336519273183E-4</v>
      </c>
      <c r="AG233" s="67">
        <f>town_establishments[[#This Row],[share of state establishments]]/($AF$250-$AF$249)</f>
        <v>9.2346135042642181E-4</v>
      </c>
      <c r="AH233" s="67">
        <f>town_establishments[[#This Row],[share of state establishments (no residual)]]/(INDEX(regional_establishments[share of state establishments],MATCH(town_establishments[[#This Row],[Regional Planning Commission]],regional_establishments[Regional Planning Commission],0)))</f>
        <v>1.0946555054732774E-2</v>
      </c>
    </row>
    <row r="234" spans="1:34" x14ac:dyDescent="0.25">
      <c r="A234" t="s">
        <v>334</v>
      </c>
      <c r="B234" t="str">
        <f>INDEX([1]!town_population[Regional Planning Commission],MATCH(town_establishments[[#This Row],[Municipality]],[1]!town_population[Municipality],0))</f>
        <v>Windham Regional Commission</v>
      </c>
      <c r="C234">
        <v>5</v>
      </c>
      <c r="D234">
        <v>9</v>
      </c>
      <c r="E234">
        <v>3</v>
      </c>
      <c r="G234">
        <v>1</v>
      </c>
      <c r="I234">
        <v>10</v>
      </c>
      <c r="K234">
        <v>5</v>
      </c>
      <c r="L234">
        <v>1</v>
      </c>
      <c r="M234">
        <v>4</v>
      </c>
      <c r="N234">
        <v>1</v>
      </c>
      <c r="O234">
        <v>1</v>
      </c>
      <c r="P234">
        <v>4</v>
      </c>
      <c r="Q234">
        <f t="shared" si="48"/>
        <v>44</v>
      </c>
      <c r="R234" s="67">
        <f t="shared" si="49"/>
        <v>0.11363636363636363</v>
      </c>
      <c r="S234" s="67">
        <f t="shared" si="50"/>
        <v>0.20454545454545456</v>
      </c>
      <c r="T234" s="67">
        <f t="shared" si="51"/>
        <v>6.8181818181818177E-2</v>
      </c>
      <c r="U234" s="67">
        <f t="shared" si="52"/>
        <v>0</v>
      </c>
      <c r="V234" s="67">
        <f t="shared" si="53"/>
        <v>2.2727272727272728E-2</v>
      </c>
      <c r="W234" s="67">
        <f t="shared" si="54"/>
        <v>0</v>
      </c>
      <c r="X234" s="67">
        <f t="shared" si="55"/>
        <v>0.22727272727272727</v>
      </c>
      <c r="Y234" s="67">
        <f t="shared" si="56"/>
        <v>0</v>
      </c>
      <c r="Z234" s="67">
        <f t="shared" si="57"/>
        <v>0.11363636363636363</v>
      </c>
      <c r="AA234" s="67">
        <f t="shared" si="58"/>
        <v>2.2727272727272728E-2</v>
      </c>
      <c r="AB234" s="67">
        <f t="shared" si="59"/>
        <v>9.0909090909090912E-2</v>
      </c>
      <c r="AC234" s="67">
        <f t="shared" si="60"/>
        <v>2.2727272727272728E-2</v>
      </c>
      <c r="AD234" s="67">
        <f t="shared" si="61"/>
        <v>2.2727272727272728E-2</v>
      </c>
      <c r="AE234" s="67">
        <f t="shared" si="62"/>
        <v>9.0909090909090912E-2</v>
      </c>
      <c r="AF234" s="67">
        <f t="shared" si="63"/>
        <v>2.3106816510870707E-3</v>
      </c>
      <c r="AG234" s="67">
        <f>town_establishments[[#This Row],[share of state establishments]]/($AF$250-$AF$249)</f>
        <v>2.3901352599272094E-3</v>
      </c>
      <c r="AH234" s="67">
        <f>town_establishments[[#This Row],[share of state establishments (no residual)]]/(INDEX(regional_establishments[share of state establishments],MATCH(town_establishments[[#This Row],[Regional Planning Commission]],regional_establishments[Regional Planning Commission],0)))</f>
        <v>2.8332260141661299E-2</v>
      </c>
    </row>
    <row r="235" spans="1:34" x14ac:dyDescent="0.25">
      <c r="A235" t="s">
        <v>335</v>
      </c>
      <c r="B235" t="str">
        <f>INDEX([1]!town_population[Regional Planning Commission],MATCH(town_establishments[[#This Row],[Municipality]],[1]!town_population[Municipality],0))</f>
        <v>Windham Regional Commission</v>
      </c>
      <c r="C235">
        <v>6</v>
      </c>
      <c r="D235">
        <v>8</v>
      </c>
      <c r="E235">
        <v>2</v>
      </c>
      <c r="F235">
        <v>2</v>
      </c>
      <c r="G235">
        <v>2</v>
      </c>
      <c r="I235">
        <v>14</v>
      </c>
      <c r="K235">
        <v>8</v>
      </c>
      <c r="L235">
        <v>7</v>
      </c>
      <c r="M235">
        <v>3</v>
      </c>
      <c r="N235">
        <v>2</v>
      </c>
      <c r="O235">
        <v>8</v>
      </c>
      <c r="P235">
        <v>11</v>
      </c>
      <c r="Q235">
        <f t="shared" si="48"/>
        <v>73</v>
      </c>
      <c r="R235" s="67">
        <f t="shared" si="49"/>
        <v>8.2191780821917804E-2</v>
      </c>
      <c r="S235" s="67">
        <f t="shared" si="50"/>
        <v>0.1095890410958904</v>
      </c>
      <c r="T235" s="67">
        <f t="shared" si="51"/>
        <v>2.7397260273972601E-2</v>
      </c>
      <c r="U235" s="67">
        <f t="shared" si="52"/>
        <v>2.7397260273972601E-2</v>
      </c>
      <c r="V235" s="67">
        <f t="shared" si="53"/>
        <v>2.7397260273972601E-2</v>
      </c>
      <c r="W235" s="67">
        <f t="shared" si="54"/>
        <v>0</v>
      </c>
      <c r="X235" s="67">
        <f t="shared" si="55"/>
        <v>0.19178082191780821</v>
      </c>
      <c r="Y235" s="67">
        <f t="shared" si="56"/>
        <v>0</v>
      </c>
      <c r="Z235" s="67">
        <f t="shared" si="57"/>
        <v>0.1095890410958904</v>
      </c>
      <c r="AA235" s="67">
        <f t="shared" si="58"/>
        <v>9.5890410958904104E-2</v>
      </c>
      <c r="AB235" s="67">
        <f t="shared" si="59"/>
        <v>4.1095890410958902E-2</v>
      </c>
      <c r="AC235" s="67">
        <f t="shared" si="60"/>
        <v>2.7397260273972601E-2</v>
      </c>
      <c r="AD235" s="67">
        <f t="shared" si="61"/>
        <v>0.1095890410958904</v>
      </c>
      <c r="AE235" s="67">
        <f t="shared" si="62"/>
        <v>0.15068493150684931</v>
      </c>
      <c r="AF235" s="67">
        <f t="shared" si="63"/>
        <v>3.8336309211217307E-3</v>
      </c>
      <c r="AG235" s="67">
        <f>town_establishments[[#This Row],[share of state establishments]]/($AF$250-$AF$249)</f>
        <v>3.9654516812428703E-3</v>
      </c>
      <c r="AH235" s="67">
        <f>town_establishments[[#This Row],[share of state establishments (no residual)]]/(INDEX(regional_establishments[share of state establishments],MATCH(town_establishments[[#This Row],[Regional Planning Commission]],regional_establishments[Regional Planning Commission],0)))</f>
        <v>4.7005795235028978E-2</v>
      </c>
    </row>
    <row r="236" spans="1:34" x14ac:dyDescent="0.25">
      <c r="A236" t="s">
        <v>336</v>
      </c>
      <c r="B236" t="str">
        <f>INDEX([1]!town_population[Regional Planning Commission],MATCH(town_establishments[[#This Row],[Municipality]],[1]!town_population[Municipality],0))</f>
        <v>Windham Regional Commission</v>
      </c>
      <c r="D236">
        <v>1</v>
      </c>
      <c r="E236">
        <v>1</v>
      </c>
      <c r="H236">
        <v>1</v>
      </c>
      <c r="I236">
        <v>3</v>
      </c>
      <c r="J236">
        <v>1</v>
      </c>
      <c r="K236">
        <v>2</v>
      </c>
      <c r="L236">
        <v>1</v>
      </c>
      <c r="M236">
        <v>1</v>
      </c>
      <c r="O236">
        <v>1</v>
      </c>
      <c r="P236">
        <v>3</v>
      </c>
      <c r="Q236">
        <f t="shared" si="48"/>
        <v>15</v>
      </c>
      <c r="R236" s="67">
        <f t="shared" si="49"/>
        <v>0</v>
      </c>
      <c r="S236" s="67">
        <f t="shared" si="50"/>
        <v>6.6666666666666666E-2</v>
      </c>
      <c r="T236" s="67">
        <f t="shared" si="51"/>
        <v>6.6666666666666666E-2</v>
      </c>
      <c r="U236" s="67">
        <f t="shared" si="52"/>
        <v>0</v>
      </c>
      <c r="V236" s="67">
        <f t="shared" si="53"/>
        <v>0</v>
      </c>
      <c r="W236" s="67">
        <f t="shared" si="54"/>
        <v>6.6666666666666666E-2</v>
      </c>
      <c r="X236" s="67">
        <f t="shared" si="55"/>
        <v>0.2</v>
      </c>
      <c r="Y236" s="67">
        <f t="shared" si="56"/>
        <v>6.6666666666666666E-2</v>
      </c>
      <c r="Z236" s="67">
        <f t="shared" si="57"/>
        <v>0.13333333333333333</v>
      </c>
      <c r="AA236" s="67">
        <f t="shared" si="58"/>
        <v>6.6666666666666666E-2</v>
      </c>
      <c r="AB236" s="67">
        <f t="shared" si="59"/>
        <v>6.6666666666666666E-2</v>
      </c>
      <c r="AC236" s="67">
        <f t="shared" si="60"/>
        <v>0</v>
      </c>
      <c r="AD236" s="67">
        <f t="shared" si="61"/>
        <v>6.6666666666666666E-2</v>
      </c>
      <c r="AE236" s="67">
        <f t="shared" si="62"/>
        <v>0.2</v>
      </c>
      <c r="AF236" s="67">
        <f t="shared" si="63"/>
        <v>7.8773238105241041E-4</v>
      </c>
      <c r="AG236" s="67">
        <f>town_establishments[[#This Row],[share of state establishments]]/($AF$250-$AF$249)</f>
        <v>8.1481883861154862E-4</v>
      </c>
      <c r="AH236" s="67">
        <f>town_establishments[[#This Row],[share of state establishments (no residual)]]/(INDEX(regional_establishments[share of state establishments],MATCH(town_establishments[[#This Row],[Regional Planning Commission]],regional_establishments[Regional Planning Commission],0)))</f>
        <v>9.6587250482936243E-3</v>
      </c>
    </row>
    <row r="237" spans="1:34" x14ac:dyDescent="0.25">
      <c r="A237" t="s">
        <v>337</v>
      </c>
      <c r="B237" t="str">
        <f>INDEX([1]!town_population[Regional Planning Commission],MATCH(town_establishments[[#This Row],[Municipality]],[1]!town_population[Municipality],0))</f>
        <v>Windham Regional Commission</v>
      </c>
      <c r="C237">
        <v>5</v>
      </c>
      <c r="D237">
        <v>32</v>
      </c>
      <c r="E237">
        <v>8</v>
      </c>
      <c r="F237">
        <v>6</v>
      </c>
      <c r="G237">
        <v>4</v>
      </c>
      <c r="H237">
        <v>3</v>
      </c>
      <c r="I237">
        <v>15</v>
      </c>
      <c r="K237">
        <v>10</v>
      </c>
      <c r="L237">
        <v>3</v>
      </c>
      <c r="M237">
        <v>20</v>
      </c>
      <c r="N237">
        <v>6</v>
      </c>
      <c r="O237">
        <v>20</v>
      </c>
      <c r="P237">
        <v>17</v>
      </c>
      <c r="Q237">
        <f t="shared" si="48"/>
        <v>149</v>
      </c>
      <c r="R237" s="67">
        <f t="shared" si="49"/>
        <v>3.3557046979865772E-2</v>
      </c>
      <c r="S237" s="67">
        <f t="shared" si="50"/>
        <v>0.21476510067114093</v>
      </c>
      <c r="T237" s="67">
        <f t="shared" si="51"/>
        <v>5.3691275167785234E-2</v>
      </c>
      <c r="U237" s="67">
        <f t="shared" si="52"/>
        <v>4.0268456375838924E-2</v>
      </c>
      <c r="V237" s="67">
        <f t="shared" si="53"/>
        <v>2.6845637583892617E-2</v>
      </c>
      <c r="W237" s="67">
        <f t="shared" si="54"/>
        <v>2.0134228187919462E-2</v>
      </c>
      <c r="X237" s="67">
        <f t="shared" si="55"/>
        <v>0.10067114093959731</v>
      </c>
      <c r="Y237" s="67">
        <f t="shared" si="56"/>
        <v>0</v>
      </c>
      <c r="Z237" s="67">
        <f t="shared" si="57"/>
        <v>6.7114093959731544E-2</v>
      </c>
      <c r="AA237" s="67">
        <f t="shared" si="58"/>
        <v>2.0134228187919462E-2</v>
      </c>
      <c r="AB237" s="67">
        <f t="shared" si="59"/>
        <v>0.13422818791946309</v>
      </c>
      <c r="AC237" s="67">
        <f t="shared" si="60"/>
        <v>4.0268456375838924E-2</v>
      </c>
      <c r="AD237" s="67">
        <f t="shared" si="61"/>
        <v>0.13422818791946309</v>
      </c>
      <c r="AE237" s="67">
        <f t="shared" si="62"/>
        <v>0.11409395973154363</v>
      </c>
      <c r="AF237" s="67">
        <f t="shared" si="63"/>
        <v>7.8248083184539446E-3</v>
      </c>
      <c r="AG237" s="67">
        <f>town_establishments[[#This Row],[share of state establishments]]/($AF$250-$AF$249)</f>
        <v>8.0938671302080503E-3</v>
      </c>
      <c r="AH237" s="67">
        <f>town_establishments[[#This Row],[share of state establishments (no residual)]]/(INDEX(regional_establishments[share of state establishments],MATCH(town_establishments[[#This Row],[Regional Planning Commission]],regional_establishments[Regional Planning Commission],0)))</f>
        <v>9.5943335479716674E-2</v>
      </c>
    </row>
    <row r="238" spans="1:34" x14ac:dyDescent="0.25">
      <c r="A238" t="s">
        <v>338</v>
      </c>
      <c r="B238" t="str">
        <f>INDEX([1]!town_population[Regional Planning Commission],MATCH(town_establishments[[#This Row],[Municipality]],[1]!town_population[Municipality],0))</f>
        <v>Windham Regional Commission</v>
      </c>
      <c r="C238">
        <v>1</v>
      </c>
      <c r="K238">
        <v>2</v>
      </c>
      <c r="Q238">
        <f t="shared" si="48"/>
        <v>3</v>
      </c>
      <c r="R238" s="67">
        <f t="shared" si="49"/>
        <v>0.33333333333333331</v>
      </c>
      <c r="S238" s="67">
        <f t="shared" si="50"/>
        <v>0</v>
      </c>
      <c r="T238" s="67">
        <f t="shared" si="51"/>
        <v>0</v>
      </c>
      <c r="U238" s="67">
        <f t="shared" si="52"/>
        <v>0</v>
      </c>
      <c r="V238" s="67">
        <f t="shared" si="53"/>
        <v>0</v>
      </c>
      <c r="W238" s="67">
        <f t="shared" si="54"/>
        <v>0</v>
      </c>
      <c r="X238" s="67">
        <f t="shared" si="55"/>
        <v>0</v>
      </c>
      <c r="Y238" s="67">
        <f t="shared" si="56"/>
        <v>0</v>
      </c>
      <c r="Z238" s="67">
        <f t="shared" si="57"/>
        <v>0.66666666666666663</v>
      </c>
      <c r="AA238" s="67">
        <f t="shared" si="58"/>
        <v>0</v>
      </c>
      <c r="AB238" s="67">
        <f t="shared" si="59"/>
        <v>0</v>
      </c>
      <c r="AC238" s="67">
        <f t="shared" si="60"/>
        <v>0</v>
      </c>
      <c r="AD238" s="67">
        <f t="shared" si="61"/>
        <v>0</v>
      </c>
      <c r="AE238" s="67">
        <f t="shared" si="62"/>
        <v>0</v>
      </c>
      <c r="AF238" s="67">
        <f t="shared" si="63"/>
        <v>1.575464762104821E-4</v>
      </c>
      <c r="AG238" s="67">
        <f>town_establishments[[#This Row],[share of state establishments]]/($AF$250-$AF$249)</f>
        <v>1.6296376772230973E-4</v>
      </c>
      <c r="AH238" s="67">
        <f>town_establishments[[#This Row],[share of state establishments (no residual)]]/(INDEX(regional_establishments[share of state establishments],MATCH(town_establishments[[#This Row],[Regional Planning Commission]],regional_establishments[Regional Planning Commission],0)))</f>
        <v>1.9317450096587249E-3</v>
      </c>
    </row>
    <row r="239" spans="1:34" x14ac:dyDescent="0.25">
      <c r="A239" t="s">
        <v>339</v>
      </c>
      <c r="B239" t="str">
        <f>INDEX([1]!town_population[Regional Planning Commission],MATCH(town_establishments[[#This Row],[Municipality]],[1]!town_population[Municipality],0))</f>
        <v>Windham Regional Commission</v>
      </c>
      <c r="C239">
        <v>1</v>
      </c>
      <c r="D239">
        <v>1</v>
      </c>
      <c r="E239">
        <v>1</v>
      </c>
      <c r="G239">
        <v>1</v>
      </c>
      <c r="H239">
        <v>1</v>
      </c>
      <c r="I239">
        <v>3</v>
      </c>
      <c r="K239">
        <v>1</v>
      </c>
      <c r="L239">
        <v>2</v>
      </c>
      <c r="M239">
        <v>1</v>
      </c>
      <c r="N239">
        <v>1</v>
      </c>
      <c r="O239">
        <v>7</v>
      </c>
      <c r="P239">
        <v>3</v>
      </c>
      <c r="Q239">
        <f t="shared" si="48"/>
        <v>23</v>
      </c>
      <c r="R239" s="67">
        <f t="shared" si="49"/>
        <v>4.3478260869565216E-2</v>
      </c>
      <c r="S239" s="67">
        <f t="shared" si="50"/>
        <v>4.3478260869565216E-2</v>
      </c>
      <c r="T239" s="67">
        <f t="shared" si="51"/>
        <v>4.3478260869565216E-2</v>
      </c>
      <c r="U239" s="67">
        <f t="shared" si="52"/>
        <v>0</v>
      </c>
      <c r="V239" s="67">
        <f t="shared" si="53"/>
        <v>4.3478260869565216E-2</v>
      </c>
      <c r="W239" s="67">
        <f t="shared" si="54"/>
        <v>4.3478260869565216E-2</v>
      </c>
      <c r="X239" s="67">
        <f t="shared" si="55"/>
        <v>0.13043478260869565</v>
      </c>
      <c r="Y239" s="67">
        <f t="shared" si="56"/>
        <v>0</v>
      </c>
      <c r="Z239" s="67">
        <f t="shared" si="57"/>
        <v>4.3478260869565216E-2</v>
      </c>
      <c r="AA239" s="67">
        <f t="shared" si="58"/>
        <v>8.6956521739130432E-2</v>
      </c>
      <c r="AB239" s="67">
        <f t="shared" si="59"/>
        <v>4.3478260869565216E-2</v>
      </c>
      <c r="AC239" s="67">
        <f t="shared" si="60"/>
        <v>4.3478260869565216E-2</v>
      </c>
      <c r="AD239" s="67">
        <f t="shared" si="61"/>
        <v>0.30434782608695654</v>
      </c>
      <c r="AE239" s="67">
        <f t="shared" si="62"/>
        <v>0.13043478260869565</v>
      </c>
      <c r="AF239" s="67">
        <f t="shared" si="63"/>
        <v>1.207856317613696E-3</v>
      </c>
      <c r="AG239" s="67">
        <f>town_establishments[[#This Row],[share of state establishments]]/($AF$250-$AF$249)</f>
        <v>1.2493888858710412E-3</v>
      </c>
      <c r="AH239" s="67">
        <f>town_establishments[[#This Row],[share of state establishments (no residual)]]/(INDEX(regional_establishments[share of state establishments],MATCH(town_establishments[[#This Row],[Regional Planning Commission]],regional_establishments[Regional Planning Commission],0)))</f>
        <v>1.4810045074050223E-2</v>
      </c>
    </row>
    <row r="240" spans="1:34" x14ac:dyDescent="0.25">
      <c r="A240" t="s">
        <v>340</v>
      </c>
      <c r="B240" t="str">
        <f>INDEX([1]!town_population[Regional Planning Commission],MATCH(town_establishments[[#This Row],[Municipality]],[1]!town_population[Municipality],0))</f>
        <v>Windham Regional Commission</v>
      </c>
      <c r="C240">
        <v>1</v>
      </c>
      <c r="D240">
        <v>4</v>
      </c>
      <c r="E240">
        <v>1</v>
      </c>
      <c r="F240">
        <v>2</v>
      </c>
      <c r="G240">
        <v>2</v>
      </c>
      <c r="I240">
        <v>3</v>
      </c>
      <c r="K240">
        <v>5</v>
      </c>
      <c r="L240">
        <v>3</v>
      </c>
      <c r="M240">
        <v>7</v>
      </c>
      <c r="O240">
        <v>6</v>
      </c>
      <c r="P240">
        <v>1</v>
      </c>
      <c r="Q240">
        <f t="shared" si="48"/>
        <v>35</v>
      </c>
      <c r="R240" s="67">
        <f t="shared" si="49"/>
        <v>2.8571428571428571E-2</v>
      </c>
      <c r="S240" s="67">
        <f t="shared" si="50"/>
        <v>0.11428571428571428</v>
      </c>
      <c r="T240" s="67">
        <f t="shared" si="51"/>
        <v>2.8571428571428571E-2</v>
      </c>
      <c r="U240" s="67">
        <f t="shared" si="52"/>
        <v>5.7142857142857141E-2</v>
      </c>
      <c r="V240" s="67">
        <f t="shared" si="53"/>
        <v>5.7142857142857141E-2</v>
      </c>
      <c r="W240" s="67">
        <f t="shared" si="54"/>
        <v>0</v>
      </c>
      <c r="X240" s="67">
        <f t="shared" si="55"/>
        <v>8.5714285714285715E-2</v>
      </c>
      <c r="Y240" s="67">
        <f t="shared" si="56"/>
        <v>0</v>
      </c>
      <c r="Z240" s="67">
        <f t="shared" si="57"/>
        <v>0.14285714285714285</v>
      </c>
      <c r="AA240" s="67">
        <f t="shared" si="58"/>
        <v>8.5714285714285715E-2</v>
      </c>
      <c r="AB240" s="67">
        <f t="shared" si="59"/>
        <v>0.2</v>
      </c>
      <c r="AC240" s="67">
        <f t="shared" si="60"/>
        <v>0</v>
      </c>
      <c r="AD240" s="67">
        <f t="shared" si="61"/>
        <v>0.17142857142857143</v>
      </c>
      <c r="AE240" s="67">
        <f t="shared" si="62"/>
        <v>2.8571428571428571E-2</v>
      </c>
      <c r="AF240" s="67">
        <f t="shared" si="63"/>
        <v>1.8380422224556245E-3</v>
      </c>
      <c r="AG240" s="67">
        <f>town_establishments[[#This Row],[share of state establishments]]/($AF$250-$AF$249)</f>
        <v>1.9012439567602803E-3</v>
      </c>
      <c r="AH240" s="67">
        <f>town_establishments[[#This Row],[share of state establishments (no residual)]]/(INDEX(regional_establishments[share of state establishments],MATCH(town_establishments[[#This Row],[Regional Planning Commission]],regional_establishments[Regional Planning Commission],0)))</f>
        <v>2.2537025112685127E-2</v>
      </c>
    </row>
    <row r="241" spans="1:34" x14ac:dyDescent="0.25">
      <c r="A241" t="s">
        <v>341</v>
      </c>
      <c r="B241" t="str">
        <f>INDEX([1]!town_population[Regional Planning Commission],MATCH(town_establishments[[#This Row],[Municipality]],[1]!town_population[Municipality],0))</f>
        <v>Windham Regional Commission</v>
      </c>
      <c r="C241">
        <v>5</v>
      </c>
      <c r="D241">
        <v>2</v>
      </c>
      <c r="E241">
        <v>1</v>
      </c>
      <c r="G241">
        <v>1</v>
      </c>
      <c r="H241">
        <v>1</v>
      </c>
      <c r="I241">
        <v>8</v>
      </c>
      <c r="K241">
        <v>7</v>
      </c>
      <c r="L241">
        <v>1</v>
      </c>
      <c r="M241">
        <v>3</v>
      </c>
      <c r="O241">
        <v>3</v>
      </c>
      <c r="P241">
        <v>2</v>
      </c>
      <c r="Q241">
        <f t="shared" si="48"/>
        <v>34</v>
      </c>
      <c r="R241" s="67">
        <f t="shared" si="49"/>
        <v>0.14705882352941177</v>
      </c>
      <c r="S241" s="67">
        <f t="shared" si="50"/>
        <v>5.8823529411764705E-2</v>
      </c>
      <c r="T241" s="67">
        <f t="shared" si="51"/>
        <v>2.9411764705882353E-2</v>
      </c>
      <c r="U241" s="67">
        <f t="shared" si="52"/>
        <v>0</v>
      </c>
      <c r="V241" s="67">
        <f t="shared" si="53"/>
        <v>2.9411764705882353E-2</v>
      </c>
      <c r="W241" s="67">
        <f t="shared" si="54"/>
        <v>2.9411764705882353E-2</v>
      </c>
      <c r="X241" s="67">
        <f t="shared" si="55"/>
        <v>0.23529411764705882</v>
      </c>
      <c r="Y241" s="67">
        <f t="shared" si="56"/>
        <v>0</v>
      </c>
      <c r="Z241" s="67">
        <f t="shared" si="57"/>
        <v>0.20588235294117646</v>
      </c>
      <c r="AA241" s="67">
        <f t="shared" si="58"/>
        <v>2.9411764705882353E-2</v>
      </c>
      <c r="AB241" s="67">
        <f t="shared" si="59"/>
        <v>8.8235294117647065E-2</v>
      </c>
      <c r="AC241" s="67">
        <f t="shared" si="60"/>
        <v>0</v>
      </c>
      <c r="AD241" s="67">
        <f t="shared" si="61"/>
        <v>8.8235294117647065E-2</v>
      </c>
      <c r="AE241" s="67">
        <f t="shared" si="62"/>
        <v>5.8823529411764705E-2</v>
      </c>
      <c r="AF241" s="67">
        <f t="shared" si="63"/>
        <v>1.7855267303854637E-3</v>
      </c>
      <c r="AG241" s="67">
        <f>town_establishments[[#This Row],[share of state establishments]]/($AF$250-$AF$249)</f>
        <v>1.8469227008528436E-3</v>
      </c>
      <c r="AH241" s="67">
        <f>town_establishments[[#This Row],[share of state establishments (no residual)]]/(INDEX(regional_establishments[share of state establishments],MATCH(town_establishments[[#This Row],[Regional Planning Commission]],regional_establishments[Regional Planning Commission],0)))</f>
        <v>2.1893110109465548E-2</v>
      </c>
    </row>
    <row r="242" spans="1:34" x14ac:dyDescent="0.25">
      <c r="A242" t="s">
        <v>342</v>
      </c>
      <c r="B242" t="str">
        <f>INDEX([1]!town_population[Regional Planning Commission],MATCH(town_establishments[[#This Row],[Municipality]],[1]!town_population[Municipality],0))</f>
        <v>Windham Regional Commission</v>
      </c>
      <c r="C242">
        <v>3</v>
      </c>
      <c r="D242">
        <v>1</v>
      </c>
      <c r="E242">
        <v>2</v>
      </c>
      <c r="F242">
        <v>1</v>
      </c>
      <c r="H242">
        <v>2</v>
      </c>
      <c r="I242">
        <v>1</v>
      </c>
      <c r="K242">
        <v>4</v>
      </c>
      <c r="L242">
        <v>1</v>
      </c>
      <c r="O242">
        <v>2</v>
      </c>
      <c r="Q242">
        <f t="shared" si="48"/>
        <v>17</v>
      </c>
      <c r="R242" s="67">
        <f t="shared" si="49"/>
        <v>0.17647058823529413</v>
      </c>
      <c r="S242" s="67">
        <f t="shared" si="50"/>
        <v>5.8823529411764705E-2</v>
      </c>
      <c r="T242" s="67">
        <f t="shared" si="51"/>
        <v>0.11764705882352941</v>
      </c>
      <c r="U242" s="67">
        <f t="shared" si="52"/>
        <v>5.8823529411764705E-2</v>
      </c>
      <c r="V242" s="67">
        <f t="shared" si="53"/>
        <v>0</v>
      </c>
      <c r="W242" s="67">
        <f t="shared" si="54"/>
        <v>0.11764705882352941</v>
      </c>
      <c r="X242" s="67">
        <f t="shared" si="55"/>
        <v>5.8823529411764705E-2</v>
      </c>
      <c r="Y242" s="67">
        <f t="shared" si="56"/>
        <v>0</v>
      </c>
      <c r="Z242" s="67">
        <f t="shared" si="57"/>
        <v>0.23529411764705882</v>
      </c>
      <c r="AA242" s="67">
        <f t="shared" si="58"/>
        <v>5.8823529411764705E-2</v>
      </c>
      <c r="AB242" s="67">
        <f t="shared" si="59"/>
        <v>0</v>
      </c>
      <c r="AC242" s="67">
        <f t="shared" si="60"/>
        <v>0</v>
      </c>
      <c r="AD242" s="67">
        <f t="shared" si="61"/>
        <v>0.11764705882352941</v>
      </c>
      <c r="AE242" s="67">
        <f t="shared" si="62"/>
        <v>0</v>
      </c>
      <c r="AF242" s="67">
        <f t="shared" si="63"/>
        <v>8.9276336519273183E-4</v>
      </c>
      <c r="AG242" s="67">
        <f>town_establishments[[#This Row],[share of state establishments]]/($AF$250-$AF$249)</f>
        <v>9.2346135042642181E-4</v>
      </c>
      <c r="AH242" s="67">
        <f>town_establishments[[#This Row],[share of state establishments (no residual)]]/(INDEX(regional_establishments[share of state establishments],MATCH(town_establishments[[#This Row],[Regional Planning Commission]],regional_establishments[Regional Planning Commission],0)))</f>
        <v>1.0946555054732774E-2</v>
      </c>
    </row>
    <row r="243" spans="1:34" x14ac:dyDescent="0.25">
      <c r="A243" t="s">
        <v>343</v>
      </c>
      <c r="B243" t="str">
        <f>INDEX([1]!town_population[Regional Planning Commission],MATCH(town_establishments[[#This Row],[Municipality]],[1]!town_population[Municipality],0))</f>
        <v>Windham Regional Commission</v>
      </c>
      <c r="C243">
        <v>5</v>
      </c>
      <c r="D243">
        <v>10</v>
      </c>
      <c r="E243">
        <v>4</v>
      </c>
      <c r="F243">
        <v>1</v>
      </c>
      <c r="G243">
        <v>1</v>
      </c>
      <c r="H243">
        <v>3</v>
      </c>
      <c r="I243">
        <v>4</v>
      </c>
      <c r="K243">
        <v>6</v>
      </c>
      <c r="L243">
        <v>2</v>
      </c>
      <c r="M243">
        <v>5</v>
      </c>
      <c r="N243">
        <v>1</v>
      </c>
      <c r="O243">
        <v>2</v>
      </c>
      <c r="P243">
        <v>9</v>
      </c>
      <c r="Q243">
        <f t="shared" si="48"/>
        <v>53</v>
      </c>
      <c r="R243" s="67">
        <f t="shared" si="49"/>
        <v>9.4339622641509441E-2</v>
      </c>
      <c r="S243" s="67">
        <f t="shared" si="50"/>
        <v>0.18867924528301888</v>
      </c>
      <c r="T243" s="67">
        <f t="shared" si="51"/>
        <v>7.5471698113207544E-2</v>
      </c>
      <c r="U243" s="67">
        <f t="shared" si="52"/>
        <v>1.8867924528301886E-2</v>
      </c>
      <c r="V243" s="67">
        <f t="shared" si="53"/>
        <v>1.8867924528301886E-2</v>
      </c>
      <c r="W243" s="67">
        <f t="shared" si="54"/>
        <v>5.6603773584905662E-2</v>
      </c>
      <c r="X243" s="67">
        <f t="shared" si="55"/>
        <v>7.5471698113207544E-2</v>
      </c>
      <c r="Y243" s="67">
        <f t="shared" si="56"/>
        <v>0</v>
      </c>
      <c r="Z243" s="67">
        <f t="shared" si="57"/>
        <v>0.11320754716981132</v>
      </c>
      <c r="AA243" s="67">
        <f t="shared" si="58"/>
        <v>3.7735849056603772E-2</v>
      </c>
      <c r="AB243" s="67">
        <f t="shared" si="59"/>
        <v>9.4339622641509441E-2</v>
      </c>
      <c r="AC243" s="67">
        <f t="shared" si="60"/>
        <v>1.8867924528301886E-2</v>
      </c>
      <c r="AD243" s="67">
        <f t="shared" si="61"/>
        <v>3.7735849056603772E-2</v>
      </c>
      <c r="AE243" s="67">
        <f t="shared" si="62"/>
        <v>0.16981132075471697</v>
      </c>
      <c r="AF243" s="67">
        <f t="shared" si="63"/>
        <v>2.783321079718517E-3</v>
      </c>
      <c r="AG243" s="67">
        <f>town_establishments[[#This Row],[share of state establishments]]/($AF$250-$AF$249)</f>
        <v>2.8790265630941388E-3</v>
      </c>
      <c r="AH243" s="67">
        <f>town_establishments[[#This Row],[share of state establishments (no residual)]]/(INDEX(regional_establishments[share of state establishments],MATCH(town_establishments[[#This Row],[Regional Planning Commission]],regional_establishments[Regional Planning Commission],0)))</f>
        <v>3.4127495170637477E-2</v>
      </c>
    </row>
    <row r="244" spans="1:34" x14ac:dyDescent="0.25">
      <c r="A244" t="s">
        <v>344</v>
      </c>
      <c r="B244" t="str">
        <f>INDEX([1]!town_population[Regional Planning Commission],MATCH(town_establishments[[#This Row],[Municipality]],[1]!town_population[Municipality],0))</f>
        <v>Windham Regional Commission</v>
      </c>
      <c r="C244">
        <v>4</v>
      </c>
      <c r="D244">
        <v>6</v>
      </c>
      <c r="E244">
        <v>1</v>
      </c>
      <c r="F244">
        <v>2</v>
      </c>
      <c r="I244">
        <v>3</v>
      </c>
      <c r="K244">
        <v>3</v>
      </c>
      <c r="M244">
        <v>1</v>
      </c>
      <c r="N244">
        <v>5</v>
      </c>
      <c r="O244">
        <v>3</v>
      </c>
      <c r="P244">
        <v>2</v>
      </c>
      <c r="Q244">
        <f t="shared" si="48"/>
        <v>30</v>
      </c>
      <c r="R244" s="67">
        <f t="shared" si="49"/>
        <v>0.13333333333333333</v>
      </c>
      <c r="S244" s="67">
        <f t="shared" si="50"/>
        <v>0.2</v>
      </c>
      <c r="T244" s="67">
        <f t="shared" si="51"/>
        <v>3.3333333333333333E-2</v>
      </c>
      <c r="U244" s="67">
        <f t="shared" si="52"/>
        <v>6.6666666666666666E-2</v>
      </c>
      <c r="V244" s="67">
        <f t="shared" si="53"/>
        <v>0</v>
      </c>
      <c r="W244" s="67">
        <f t="shared" si="54"/>
        <v>0</v>
      </c>
      <c r="X244" s="67">
        <f t="shared" si="55"/>
        <v>0.1</v>
      </c>
      <c r="Y244" s="67">
        <f t="shared" si="56"/>
        <v>0</v>
      </c>
      <c r="Z244" s="67">
        <f t="shared" si="57"/>
        <v>0.1</v>
      </c>
      <c r="AA244" s="67">
        <f t="shared" si="58"/>
        <v>0</v>
      </c>
      <c r="AB244" s="67">
        <f t="shared" si="59"/>
        <v>3.3333333333333333E-2</v>
      </c>
      <c r="AC244" s="67">
        <f t="shared" si="60"/>
        <v>0.16666666666666666</v>
      </c>
      <c r="AD244" s="67">
        <f t="shared" si="61"/>
        <v>0.1</v>
      </c>
      <c r="AE244" s="67">
        <f t="shared" si="62"/>
        <v>6.6666666666666666E-2</v>
      </c>
      <c r="AF244" s="67">
        <f t="shared" si="63"/>
        <v>1.5754647621048208E-3</v>
      </c>
      <c r="AG244" s="67">
        <f>town_establishments[[#This Row],[share of state establishments]]/($AF$250-$AF$249)</f>
        <v>1.6296376772230972E-3</v>
      </c>
      <c r="AH244" s="67">
        <f>town_establishments[[#This Row],[share of state establishments (no residual)]]/(INDEX(regional_establishments[share of state establishments],MATCH(town_establishments[[#This Row],[Regional Planning Commission]],regional_establishments[Regional Planning Commission],0)))</f>
        <v>1.9317450096587249E-2</v>
      </c>
    </row>
    <row r="245" spans="1:34" x14ac:dyDescent="0.25">
      <c r="A245" t="s">
        <v>345</v>
      </c>
      <c r="B245" t="str">
        <f>INDEX([1]!town_population[Regional Planning Commission],MATCH(town_establishments[[#This Row],[Municipality]],[1]!town_population[Municipality],0))</f>
        <v>Windham Regional Commission</v>
      </c>
      <c r="D245">
        <v>2</v>
      </c>
      <c r="E245">
        <v>3</v>
      </c>
      <c r="F245">
        <v>1</v>
      </c>
      <c r="H245">
        <v>1</v>
      </c>
      <c r="I245">
        <v>2</v>
      </c>
      <c r="K245">
        <v>1</v>
      </c>
      <c r="M245">
        <v>2</v>
      </c>
      <c r="P245">
        <v>3</v>
      </c>
      <c r="Q245">
        <f t="shared" si="48"/>
        <v>15</v>
      </c>
      <c r="R245" s="67">
        <f t="shared" si="49"/>
        <v>0</v>
      </c>
      <c r="S245" s="67">
        <f t="shared" si="50"/>
        <v>0.13333333333333333</v>
      </c>
      <c r="T245" s="67">
        <f t="shared" si="51"/>
        <v>0.2</v>
      </c>
      <c r="U245" s="67">
        <f t="shared" si="52"/>
        <v>6.6666666666666666E-2</v>
      </c>
      <c r="V245" s="67">
        <f t="shared" si="53"/>
        <v>0</v>
      </c>
      <c r="W245" s="67">
        <f t="shared" si="54"/>
        <v>6.6666666666666666E-2</v>
      </c>
      <c r="X245" s="67">
        <f t="shared" si="55"/>
        <v>0.13333333333333333</v>
      </c>
      <c r="Y245" s="67">
        <f t="shared" si="56"/>
        <v>0</v>
      </c>
      <c r="Z245" s="67">
        <f t="shared" si="57"/>
        <v>6.6666666666666666E-2</v>
      </c>
      <c r="AA245" s="67">
        <f t="shared" si="58"/>
        <v>0</v>
      </c>
      <c r="AB245" s="67">
        <f t="shared" si="59"/>
        <v>0.13333333333333333</v>
      </c>
      <c r="AC245" s="67">
        <f t="shared" si="60"/>
        <v>0</v>
      </c>
      <c r="AD245" s="67">
        <f t="shared" si="61"/>
        <v>0</v>
      </c>
      <c r="AE245" s="67">
        <f t="shared" si="62"/>
        <v>0.2</v>
      </c>
      <c r="AF245" s="67">
        <f t="shared" si="63"/>
        <v>7.8773238105241041E-4</v>
      </c>
      <c r="AG245" s="67">
        <f>town_establishments[[#This Row],[share of state establishments]]/($AF$250-$AF$249)</f>
        <v>8.1481883861154862E-4</v>
      </c>
      <c r="AH245" s="67">
        <f>town_establishments[[#This Row],[share of state establishments (no residual)]]/(INDEX(regional_establishments[share of state establishments],MATCH(town_establishments[[#This Row],[Regional Planning Commission]],regional_establishments[Regional Planning Commission],0)))</f>
        <v>9.6587250482936243E-3</v>
      </c>
    </row>
    <row r="246" spans="1:34" x14ac:dyDescent="0.25">
      <c r="A246" t="s">
        <v>346</v>
      </c>
      <c r="B246" t="str">
        <f>INDEX([1]!town_population[Regional Planning Commission],MATCH(town_establishments[[#This Row],[Municipality]],[1]!town_population[Municipality],0))</f>
        <v>Windham Regional Commission</v>
      </c>
      <c r="C246">
        <v>4</v>
      </c>
      <c r="D246">
        <v>17</v>
      </c>
      <c r="E246">
        <v>4</v>
      </c>
      <c r="F246">
        <v>4</v>
      </c>
      <c r="G246">
        <v>4</v>
      </c>
      <c r="H246">
        <v>7</v>
      </c>
      <c r="I246">
        <v>7</v>
      </c>
      <c r="K246">
        <v>10</v>
      </c>
      <c r="L246">
        <v>1</v>
      </c>
      <c r="M246">
        <v>8</v>
      </c>
      <c r="N246">
        <v>2</v>
      </c>
      <c r="O246">
        <v>20</v>
      </c>
      <c r="P246">
        <v>8</v>
      </c>
      <c r="Q246">
        <f t="shared" si="48"/>
        <v>96</v>
      </c>
      <c r="R246" s="67">
        <f t="shared" si="49"/>
        <v>4.1666666666666664E-2</v>
      </c>
      <c r="S246" s="67">
        <f t="shared" si="50"/>
        <v>0.17708333333333334</v>
      </c>
      <c r="T246" s="67">
        <f t="shared" si="51"/>
        <v>4.1666666666666664E-2</v>
      </c>
      <c r="U246" s="67">
        <f t="shared" si="52"/>
        <v>4.1666666666666664E-2</v>
      </c>
      <c r="V246" s="67">
        <f t="shared" si="53"/>
        <v>4.1666666666666664E-2</v>
      </c>
      <c r="W246" s="67">
        <f t="shared" si="54"/>
        <v>7.2916666666666671E-2</v>
      </c>
      <c r="X246" s="67">
        <f t="shared" si="55"/>
        <v>7.2916666666666671E-2</v>
      </c>
      <c r="Y246" s="67">
        <f t="shared" si="56"/>
        <v>0</v>
      </c>
      <c r="Z246" s="67">
        <f t="shared" si="57"/>
        <v>0.10416666666666667</v>
      </c>
      <c r="AA246" s="67">
        <f t="shared" si="58"/>
        <v>1.0416666666666666E-2</v>
      </c>
      <c r="AB246" s="67">
        <f t="shared" si="59"/>
        <v>8.3333333333333329E-2</v>
      </c>
      <c r="AC246" s="67">
        <f t="shared" si="60"/>
        <v>2.0833333333333332E-2</v>
      </c>
      <c r="AD246" s="67">
        <f t="shared" si="61"/>
        <v>0.20833333333333334</v>
      </c>
      <c r="AE246" s="67">
        <f t="shared" si="62"/>
        <v>8.3333333333333329E-2</v>
      </c>
      <c r="AF246" s="67">
        <f t="shared" si="63"/>
        <v>5.0414872387354271E-3</v>
      </c>
      <c r="AG246" s="67">
        <f>town_establishments[[#This Row],[share of state establishments]]/($AF$250-$AF$249)</f>
        <v>5.2148405671139115E-3</v>
      </c>
      <c r="AH246" s="67">
        <f>town_establishments[[#This Row],[share of state establishments (no residual)]]/(INDEX(regional_establishments[share of state establishments],MATCH(town_establishments[[#This Row],[Regional Planning Commission]],regional_establishments[Regional Planning Commission],0)))</f>
        <v>6.1815840309079197E-2</v>
      </c>
    </row>
    <row r="247" spans="1:34" x14ac:dyDescent="0.25">
      <c r="A247" t="s">
        <v>347</v>
      </c>
      <c r="B247" t="str">
        <f>INDEX([1]!town_population[Regional Planning Commission],MATCH(town_establishments[[#This Row],[Municipality]],[1]!town_population[Municipality],0))</f>
        <v>Windham Regional Commission</v>
      </c>
      <c r="G247">
        <v>1</v>
      </c>
      <c r="I247">
        <v>3</v>
      </c>
      <c r="L247">
        <v>1</v>
      </c>
      <c r="M247">
        <v>1</v>
      </c>
      <c r="O247">
        <v>1</v>
      </c>
      <c r="Q247">
        <f t="shared" si="48"/>
        <v>7</v>
      </c>
      <c r="R247" s="67">
        <f t="shared" si="49"/>
        <v>0</v>
      </c>
      <c r="S247" s="67">
        <f t="shared" si="50"/>
        <v>0</v>
      </c>
      <c r="T247" s="67">
        <f t="shared" si="51"/>
        <v>0</v>
      </c>
      <c r="U247" s="67">
        <f t="shared" si="52"/>
        <v>0</v>
      </c>
      <c r="V247" s="67">
        <f t="shared" si="53"/>
        <v>0.14285714285714285</v>
      </c>
      <c r="W247" s="67">
        <f t="shared" si="54"/>
        <v>0</v>
      </c>
      <c r="X247" s="67">
        <f t="shared" si="55"/>
        <v>0.42857142857142855</v>
      </c>
      <c r="Y247" s="67">
        <f t="shared" si="56"/>
        <v>0</v>
      </c>
      <c r="Z247" s="67">
        <f t="shared" si="57"/>
        <v>0</v>
      </c>
      <c r="AA247" s="67">
        <f t="shared" si="58"/>
        <v>0.14285714285714285</v>
      </c>
      <c r="AB247" s="67">
        <f t="shared" si="59"/>
        <v>0.14285714285714285</v>
      </c>
      <c r="AC247" s="67">
        <f t="shared" si="60"/>
        <v>0</v>
      </c>
      <c r="AD247" s="67">
        <f t="shared" si="61"/>
        <v>0.14285714285714285</v>
      </c>
      <c r="AE247" s="67">
        <f t="shared" si="62"/>
        <v>0</v>
      </c>
      <c r="AF247" s="67">
        <f t="shared" si="63"/>
        <v>3.676084444911249E-4</v>
      </c>
      <c r="AG247" s="67">
        <f>town_establishments[[#This Row],[share of state establishments]]/($AF$250-$AF$249)</f>
        <v>3.8024879135205606E-4</v>
      </c>
      <c r="AH247" s="67">
        <f>town_establishments[[#This Row],[share of state establishments (no residual)]]/(INDEX(regional_establishments[share of state establishments],MATCH(town_establishments[[#This Row],[Regional Planning Commission]],regional_establishments[Regional Planning Commission],0)))</f>
        <v>4.5074050225370251E-3</v>
      </c>
    </row>
    <row r="248" spans="1:34" x14ac:dyDescent="0.25">
      <c r="A248" t="s">
        <v>348</v>
      </c>
      <c r="B248" t="str">
        <f>INDEX([1]!town_population[Regional Planning Commission],MATCH(town_establishments[[#This Row],[Municipality]],[1]!town_population[Municipality],0))</f>
        <v>Windham Regional Commission</v>
      </c>
      <c r="C248">
        <v>5</v>
      </c>
      <c r="D248">
        <v>5</v>
      </c>
      <c r="E248">
        <v>1</v>
      </c>
      <c r="F248">
        <v>2</v>
      </c>
      <c r="G248">
        <v>1</v>
      </c>
      <c r="H248">
        <v>8</v>
      </c>
      <c r="I248">
        <v>6</v>
      </c>
      <c r="K248">
        <v>4</v>
      </c>
      <c r="L248">
        <v>1</v>
      </c>
      <c r="M248">
        <v>0</v>
      </c>
      <c r="N248">
        <v>1</v>
      </c>
      <c r="O248">
        <v>6</v>
      </c>
      <c r="P248">
        <v>4</v>
      </c>
      <c r="Q248">
        <f t="shared" si="48"/>
        <v>44</v>
      </c>
      <c r="R248" s="67">
        <f t="shared" si="49"/>
        <v>0.11363636363636363</v>
      </c>
      <c r="S248" s="67">
        <f t="shared" si="50"/>
        <v>0.11363636363636363</v>
      </c>
      <c r="T248" s="67">
        <f t="shared" si="51"/>
        <v>2.2727272727272728E-2</v>
      </c>
      <c r="U248" s="67">
        <f t="shared" si="52"/>
        <v>4.5454545454545456E-2</v>
      </c>
      <c r="V248" s="67">
        <f t="shared" si="53"/>
        <v>2.2727272727272728E-2</v>
      </c>
      <c r="W248" s="67">
        <f t="shared" si="54"/>
        <v>0.18181818181818182</v>
      </c>
      <c r="X248" s="67">
        <f t="shared" si="55"/>
        <v>0.13636363636363635</v>
      </c>
      <c r="Y248" s="67">
        <f t="shared" si="56"/>
        <v>0</v>
      </c>
      <c r="Z248" s="67">
        <f t="shared" si="57"/>
        <v>9.0909090909090912E-2</v>
      </c>
      <c r="AA248" s="67">
        <f t="shared" si="58"/>
        <v>2.2727272727272728E-2</v>
      </c>
      <c r="AB248" s="67">
        <f t="shared" si="59"/>
        <v>0</v>
      </c>
      <c r="AC248" s="67">
        <f t="shared" si="60"/>
        <v>2.2727272727272728E-2</v>
      </c>
      <c r="AD248" s="67">
        <f t="shared" si="61"/>
        <v>0.13636363636363635</v>
      </c>
      <c r="AE248" s="67">
        <f t="shared" si="62"/>
        <v>9.0909090909090912E-2</v>
      </c>
      <c r="AF248" s="67">
        <f t="shared" si="63"/>
        <v>2.3106816510870707E-3</v>
      </c>
      <c r="AG248" s="67">
        <f>town_establishments[[#This Row],[share of state establishments]]/($AF$250-$AF$249)</f>
        <v>2.3901352599272094E-3</v>
      </c>
      <c r="AH248" s="67">
        <f>town_establishments[[#This Row],[share of state establishments (no residual)]]/(INDEX(regional_establishments[share of state establishments],MATCH(town_establishments[[#This Row],[Regional Planning Commission]],regional_establishments[Regional Planning Commission],0)))</f>
        <v>2.8332260141661299E-2</v>
      </c>
    </row>
    <row r="249" spans="1:34" x14ac:dyDescent="0.25">
      <c r="A249" t="s">
        <v>349</v>
      </c>
      <c r="B249" t="e">
        <f>INDEX([1]!town_population[Regional Planning Commission],MATCH(town_establishments[[#This Row],[Municipality]],[1]!town_population[Municipality],0))</f>
        <v>#N/A</v>
      </c>
      <c r="C249">
        <v>180</v>
      </c>
      <c r="D249">
        <v>33</v>
      </c>
      <c r="E249">
        <v>15</v>
      </c>
      <c r="F249">
        <v>19</v>
      </c>
      <c r="G249">
        <v>36</v>
      </c>
      <c r="H249">
        <v>8</v>
      </c>
      <c r="I249">
        <v>142</v>
      </c>
      <c r="J249">
        <v>25</v>
      </c>
      <c r="K249">
        <v>115</v>
      </c>
      <c r="L249">
        <v>14</v>
      </c>
      <c r="M249">
        <v>20</v>
      </c>
      <c r="N249">
        <v>3</v>
      </c>
      <c r="O249">
        <v>5</v>
      </c>
      <c r="P249">
        <v>18</v>
      </c>
      <c r="Q249">
        <f t="shared" si="48"/>
        <v>633</v>
      </c>
      <c r="R249" s="67">
        <f t="shared" si="49"/>
        <v>0.28436018957345971</v>
      </c>
      <c r="S249" s="67">
        <f t="shared" si="50"/>
        <v>5.2132701421800945E-2</v>
      </c>
      <c r="T249" s="67">
        <f t="shared" si="51"/>
        <v>2.3696682464454975E-2</v>
      </c>
      <c r="U249" s="67">
        <f t="shared" si="52"/>
        <v>3.0015797788309637E-2</v>
      </c>
      <c r="V249" s="67">
        <f t="shared" si="53"/>
        <v>5.6872037914691941E-2</v>
      </c>
      <c r="W249" s="67">
        <f t="shared" si="54"/>
        <v>1.2638230647709321E-2</v>
      </c>
      <c r="X249" s="67">
        <f t="shared" si="55"/>
        <v>0.22432859399684044</v>
      </c>
      <c r="Y249" s="67">
        <f t="shared" si="56"/>
        <v>3.9494470774091628E-2</v>
      </c>
      <c r="Z249" s="67">
        <f t="shared" si="57"/>
        <v>0.18167456556082148</v>
      </c>
      <c r="AA249" s="67">
        <f t="shared" si="58"/>
        <v>2.2116903633491312E-2</v>
      </c>
      <c r="AB249" s="67">
        <f t="shared" si="59"/>
        <v>3.15955766192733E-2</v>
      </c>
      <c r="AC249" s="67">
        <f t="shared" si="60"/>
        <v>4.7393364928909956E-3</v>
      </c>
      <c r="AD249" s="67">
        <f t="shared" si="61"/>
        <v>7.8988941548183249E-3</v>
      </c>
      <c r="AE249" s="67">
        <f t="shared" si="62"/>
        <v>2.843601895734597E-2</v>
      </c>
      <c r="AF249" s="67">
        <f t="shared" si="63"/>
        <v>3.3242306480411724E-2</v>
      </c>
      <c r="AG249" s="67">
        <f>town_establishments[[#This Row],[share of state establishments]]/($AF$250-$AF$249)</f>
        <v>3.4385354989407355E-2</v>
      </c>
      <c r="AH249" s="67" t="e">
        <f>town_establishments[[#This Row],[share of state establishments (no residual)]]/(INDEX(regional_establishments[share of state establishments],MATCH(town_establishments[[#This Row],[Regional Planning Commission]],regional_establishments[Regional Planning Commission],0)))</f>
        <v>#N/A</v>
      </c>
    </row>
    <row r="250" spans="1:34" x14ac:dyDescent="0.25">
      <c r="A250" t="s">
        <v>74</v>
      </c>
      <c r="B250" t="e">
        <f>INDEX([1]!town_population[Regional Planning Commission],MATCH(town_establishments[[#This Row],[Municipality]],[1]!town_population[Municipality],0))</f>
        <v>#N/A</v>
      </c>
      <c r="C250">
        <f t="shared" ref="C250:P250" si="64">SUM(C3:C249)</f>
        <v>1424</v>
      </c>
      <c r="D250">
        <f t="shared" si="64"/>
        <v>3136</v>
      </c>
      <c r="E250">
        <f t="shared" si="64"/>
        <v>633</v>
      </c>
      <c r="F250">
        <f t="shared" si="64"/>
        <v>489</v>
      </c>
      <c r="G250">
        <f t="shared" si="64"/>
        <v>943</v>
      </c>
      <c r="H250">
        <f t="shared" si="64"/>
        <v>720</v>
      </c>
      <c r="I250">
        <f t="shared" si="64"/>
        <v>3215</v>
      </c>
      <c r="J250">
        <f t="shared" si="64"/>
        <v>111</v>
      </c>
      <c r="K250">
        <f t="shared" si="64"/>
        <v>1634</v>
      </c>
      <c r="L250">
        <f t="shared" si="64"/>
        <v>549</v>
      </c>
      <c r="M250">
        <f t="shared" si="64"/>
        <v>1923</v>
      </c>
      <c r="N250">
        <f t="shared" si="64"/>
        <v>423</v>
      </c>
      <c r="O250">
        <f t="shared" si="64"/>
        <v>1835</v>
      </c>
      <c r="P250">
        <f t="shared" si="64"/>
        <v>2007</v>
      </c>
      <c r="Q250">
        <f t="shared" si="48"/>
        <v>19042</v>
      </c>
      <c r="R250" s="67">
        <f t="shared" si="49"/>
        <v>7.4782060707908826E-2</v>
      </c>
      <c r="S250" s="67">
        <f t="shared" si="50"/>
        <v>0.16468858313202395</v>
      </c>
      <c r="T250" s="67">
        <f t="shared" si="51"/>
        <v>3.3242306480411724E-2</v>
      </c>
      <c r="U250" s="67">
        <f t="shared" si="52"/>
        <v>2.568007562230858E-2</v>
      </c>
      <c r="V250" s="67">
        <f t="shared" si="53"/>
        <v>4.9522109022161538E-2</v>
      </c>
      <c r="W250" s="67">
        <f t="shared" si="54"/>
        <v>3.7811154290515701E-2</v>
      </c>
      <c r="X250" s="67">
        <f t="shared" si="55"/>
        <v>0.16883730700556665</v>
      </c>
      <c r="Y250" s="67">
        <f t="shared" si="56"/>
        <v>5.8292196197878374E-3</v>
      </c>
      <c r="Z250" s="67">
        <f t="shared" si="57"/>
        <v>8.5810314042642583E-2</v>
      </c>
      <c r="AA250" s="67">
        <f t="shared" si="58"/>
        <v>2.8831005146518224E-2</v>
      </c>
      <c r="AB250" s="67">
        <f t="shared" si="59"/>
        <v>0.10098729125091901</v>
      </c>
      <c r="AC250" s="67">
        <f t="shared" si="60"/>
        <v>2.2214053145677974E-2</v>
      </c>
      <c r="AD250" s="67">
        <f t="shared" si="61"/>
        <v>9.6365927948744878E-2</v>
      </c>
      <c r="AE250" s="67">
        <f t="shared" si="62"/>
        <v>0.10539859258481252</v>
      </c>
      <c r="AF250" s="67">
        <f t="shared" si="63"/>
        <v>1</v>
      </c>
      <c r="AG250" s="67">
        <f>town_establishments[[#This Row],[share of state establishments]]/($AF$250-$AF$249)</f>
        <v>1.0343853549894073</v>
      </c>
      <c r="AH250" s="67" t="e">
        <f>town_establishments[[#This Row],[share of state establishments (no residual)]]/(INDEX(regional_establishments[share of state establishments],MATCH(town_establishments[[#This Row],[Regional Planning Commission]],regional_establishments[Regional Planning Commission],0)))</f>
        <v>#N/A</v>
      </c>
    </row>
  </sheetData>
  <pageMargins left="0.7" right="0.7" top="0.75" bottom="0.75" header="0.3" footer="0.3"/>
  <pageSetup orientation="portrait" horizontalDpi="200" verticalDpi="0" copies="0" r:id="rId1"/>
  <tableParts count="2">
    <tablePart r:id="rId2"/>
    <tablePart r:id="rId3"/>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T24" sqref="T24"/>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256"/>
  <sheetViews>
    <sheetView zoomScale="90" zoomScaleNormal="90" workbookViewId="0">
      <selection activeCell="C11" sqref="C11:N11"/>
    </sheetView>
  </sheetViews>
  <sheetFormatPr defaultRowHeight="15" x14ac:dyDescent="0.25"/>
  <cols>
    <col min="1" max="1" width="14.28515625" customWidth="1"/>
    <col min="2" max="2" width="52.7109375" bestFit="1" customWidth="1"/>
    <col min="3" max="3" width="13.85546875" customWidth="1"/>
    <col min="4" max="4" width="24" bestFit="1" customWidth="1"/>
    <col min="5" max="5" width="25.5703125" bestFit="1" customWidth="1"/>
    <col min="7" max="7" width="52.7109375" bestFit="1" customWidth="1"/>
    <col min="8" max="8" width="23" customWidth="1"/>
  </cols>
  <sheetData>
    <row r="1" spans="1:8" x14ac:dyDescent="0.25">
      <c r="A1" t="s">
        <v>72</v>
      </c>
      <c r="B1" t="s">
        <v>73</v>
      </c>
      <c r="C1" t="s">
        <v>369</v>
      </c>
      <c r="D1" t="s">
        <v>370</v>
      </c>
      <c r="E1" t="s">
        <v>371</v>
      </c>
      <c r="G1" t="s">
        <v>73</v>
      </c>
      <c r="H1" t="s">
        <v>370</v>
      </c>
    </row>
    <row r="2" spans="1:8" x14ac:dyDescent="0.25">
      <c r="A2" t="s">
        <v>92</v>
      </c>
      <c r="B2" t="s">
        <v>93</v>
      </c>
      <c r="C2" s="7">
        <v>1139</v>
      </c>
      <c r="D2" s="67">
        <f>town_vehicles[[#This Row],[Vehicles]]/SUM(town_vehicles[Vehicles])</f>
        <v>2.5756876792126853E-3</v>
      </c>
      <c r="E2" s="67">
        <f>town_vehicles[[#This Row],[Share of State Vehicles]]/INDEX(regional_vehicles[Share of State Vehicles],MATCH(town_vehicles[[#This Row],[Regional Planning Commission]],regional_vehicles[Regional Planning Commission]))</f>
        <v>4.5205588188601369E-2</v>
      </c>
      <c r="G2" t="s">
        <v>93</v>
      </c>
      <c r="H2" s="75">
        <f>SUMIF(town_vehicles[Regional Planning Commission],G2,town_vehicles[Share of State Vehicles])</f>
        <v>5.6977196457807563E-2</v>
      </c>
    </row>
    <row r="3" spans="1:8" x14ac:dyDescent="0.25">
      <c r="A3" t="s">
        <v>187</v>
      </c>
      <c r="B3" t="s">
        <v>103</v>
      </c>
      <c r="C3" s="7">
        <v>715</v>
      </c>
      <c r="D3" s="67">
        <f>town_vehicles[[#This Row],[Vehicles]]/SUM(town_vehicles[Vehicles])</f>
        <v>1.616871545774425E-3</v>
      </c>
      <c r="E3" s="67">
        <f>town_vehicles[[#This Row],[Share of State Vehicles]]/INDEX(regional_vehicles[Share of State Vehicles],MATCH(town_vehicles[[#This Row],[Regional Planning Commission]],regional_vehicles[Regional Planning Commission]))</f>
        <v>1.6014872552972268E-2</v>
      </c>
      <c r="G3" t="s">
        <v>95</v>
      </c>
      <c r="H3" s="75">
        <f>SUMIF(town_vehicles[Regional Planning Commission],G3,town_vehicles[Share of State Vehicles])</f>
        <v>5.5939232766184545E-2</v>
      </c>
    </row>
    <row r="4" spans="1:8" x14ac:dyDescent="0.25">
      <c r="A4" t="s">
        <v>236</v>
      </c>
      <c r="B4" t="s">
        <v>105</v>
      </c>
      <c r="C4" s="7">
        <v>1329</v>
      </c>
      <c r="D4" s="67">
        <f>town_vehicles[[#This Row],[Vehicles]]/SUM(town_vehicles[Vehicles])</f>
        <v>3.0053458522156795E-3</v>
      </c>
      <c r="E4" s="67">
        <f>town_vehicles[[#This Row],[Share of State Vehicles]]/INDEX(regional_vehicles[Share of State Vehicles],MATCH(town_vehicles[[#This Row],[Regional Planning Commission]],regional_vehicles[Regional Planning Commission]))</f>
        <v>3.3421350433798569E-2</v>
      </c>
      <c r="G4" t="s">
        <v>97</v>
      </c>
      <c r="H4" s="75">
        <f>SUMIF(town_vehicles[Regional Planning Commission],G4,town_vehicles[Share of State Vehicles])</f>
        <v>0.10269282606532612</v>
      </c>
    </row>
    <row r="5" spans="1:8" x14ac:dyDescent="0.25">
      <c r="A5" t="s">
        <v>283</v>
      </c>
      <c r="B5" t="s">
        <v>109</v>
      </c>
      <c r="C5" s="7">
        <v>384</v>
      </c>
      <c r="D5" s="67">
        <f>town_vehicles[[#This Row],[Vehicles]]/SUM(town_vehicles[Vehicles])</f>
        <v>8.6836178122710374E-4</v>
      </c>
      <c r="E5" s="67">
        <f>town_vehicles[[#This Row],[Share of State Vehicles]]/INDEX(regional_vehicles[Share of State Vehicles],MATCH(town_vehicles[[#This Row],[Regional Planning Commission]],regional_vehicles[Regional Planning Commission]))</f>
        <v>2.1360627468431887E-2</v>
      </c>
      <c r="G5" t="s">
        <v>99</v>
      </c>
      <c r="H5" s="75">
        <f>SUMIF(town_vehicles[Regional Planning Commission],G5,town_vehicles[Share of State Vehicles])</f>
        <v>0.24305536710898845</v>
      </c>
    </row>
    <row r="6" spans="1:8" x14ac:dyDescent="0.25">
      <c r="A6" t="s">
        <v>124</v>
      </c>
      <c r="B6" t="s">
        <v>95</v>
      </c>
      <c r="C6" s="7">
        <v>1844</v>
      </c>
      <c r="D6" s="67">
        <f>town_vehicles[[#This Row],[Vehicles]]/SUM(town_vehicles[Vehicles])</f>
        <v>4.1699456369343208E-3</v>
      </c>
      <c r="E6" s="67">
        <f>town_vehicles[[#This Row],[Share of State Vehicles]]/INDEX(regional_vehicles[Share of State Vehicles],MATCH(town_vehicles[[#This Row],[Regional Planning Commission]],regional_vehicles[Regional Planning Commission]))</f>
        <v>7.4544205036989122E-2</v>
      </c>
      <c r="G6" t="s">
        <v>101</v>
      </c>
      <c r="H6" s="75">
        <f>SUMIF(town_vehicles[Regional Planning Commission],G6,town_vehicles[Share of State Vehicles])</f>
        <v>4.028158439843333E-2</v>
      </c>
    </row>
    <row r="7" spans="1:8" x14ac:dyDescent="0.25">
      <c r="A7" t="s">
        <v>323</v>
      </c>
      <c r="B7" t="s">
        <v>113</v>
      </c>
      <c r="C7" s="7">
        <v>281</v>
      </c>
      <c r="D7" s="67">
        <f>town_vehicles[[#This Row],[Vehicles]]/SUM(town_vehicles[Vehicles])</f>
        <v>6.3544182428337543E-4</v>
      </c>
      <c r="E7" s="67">
        <f>town_vehicles[[#This Row],[Share of State Vehicles]]/INDEX(regional_vehicles[Share of State Vehicles],MATCH(town_vehicles[[#This Row],[Regional Planning Commission]],regional_vehicles[Regional Planning Commission]))</f>
        <v>8.280048324837197E-3</v>
      </c>
      <c r="G7" t="s">
        <v>103</v>
      </c>
      <c r="H7" s="75">
        <f>SUMIF(town_vehicles[Regional Planning Commission],G7,town_vehicles[Share of State Vehicles])</f>
        <v>0.10096062522048251</v>
      </c>
    </row>
    <row r="8" spans="1:8" x14ac:dyDescent="0.25">
      <c r="A8" t="s">
        <v>188</v>
      </c>
      <c r="B8" t="s">
        <v>103</v>
      </c>
      <c r="C8" s="7">
        <v>18</v>
      </c>
      <c r="D8" s="67">
        <f>town_vehicles[[#This Row],[Vehicles]]/SUM(town_vehicles[Vehicles])</f>
        <v>4.0704458495020489E-5</v>
      </c>
      <c r="E8" s="67">
        <f>town_vehicles[[#This Row],[Share of State Vehicles]]/INDEX(regional_vehicles[Share of State Vehicles],MATCH(town_vehicles[[#This Row],[Regional Planning Commission]],regional_vehicles[Regional Planning Commission]))</f>
        <v>4.0317161671818294E-4</v>
      </c>
      <c r="G8" t="s">
        <v>105</v>
      </c>
      <c r="H8" s="75">
        <f>SUMIF(town_vehicles[Regional Planning Commission],G8,town_vehicles[Share of State Vehicles])</f>
        <v>8.9922932891916094E-2</v>
      </c>
    </row>
    <row r="9" spans="1:8" x14ac:dyDescent="0.25">
      <c r="A9" t="s">
        <v>360</v>
      </c>
      <c r="B9" t="s">
        <v>103</v>
      </c>
      <c r="C9" s="7">
        <v>0</v>
      </c>
      <c r="D9" s="67">
        <f>town_vehicles[[#This Row],[Vehicles]]/SUM(town_vehicles[Vehicles])</f>
        <v>0</v>
      </c>
      <c r="E9" s="67">
        <f>town_vehicles[[#This Row],[Share of State Vehicles]]/INDEX(regional_vehicles[Share of State Vehicles],MATCH(town_vehicles[[#This Row],[Regional Planning Commission]],regional_vehicles[Regional Planning Commission]))</f>
        <v>0</v>
      </c>
      <c r="G9" t="s">
        <v>107</v>
      </c>
      <c r="H9" s="75">
        <f>SUMIF(town_vehicles[Regional Planning Commission],G9,town_vehicles[Share of State Vehicles])</f>
        <v>9.6408509945456022E-2</v>
      </c>
    </row>
    <row r="10" spans="1:8" x14ac:dyDescent="0.25">
      <c r="A10" t="s">
        <v>237</v>
      </c>
      <c r="B10" t="s">
        <v>105</v>
      </c>
      <c r="C10" s="7">
        <v>1038</v>
      </c>
      <c r="D10" s="67">
        <f>town_vehicles[[#This Row],[Vehicles]]/SUM(town_vehicles[Vehicles])</f>
        <v>2.3472904398795149E-3</v>
      </c>
      <c r="E10" s="67">
        <f>town_vehicles[[#This Row],[Share of State Vehicles]]/INDEX(regional_vehicles[Share of State Vehicles],MATCH(town_vehicles[[#This Row],[Regional Planning Commission]],regional_vehicles[Regional Planning Commission]))</f>
        <v>2.6103357223689175E-2</v>
      </c>
      <c r="G10" t="s">
        <v>109</v>
      </c>
      <c r="H10" s="75">
        <f>SUMIF(town_vehicles[Regional Planning Commission],G10,town_vehicles[Share of State Vehicles])</f>
        <v>4.0652447242499071E-2</v>
      </c>
    </row>
    <row r="11" spans="1:8" x14ac:dyDescent="0.25">
      <c r="A11" t="s">
        <v>284</v>
      </c>
      <c r="B11" t="s">
        <v>109</v>
      </c>
      <c r="C11" s="7">
        <v>194</v>
      </c>
      <c r="D11" s="67">
        <f>town_vehicles[[#This Row],[Vehicles]]/SUM(town_vehicles[Vehicles])</f>
        <v>4.3870360822410973E-4</v>
      </c>
      <c r="E11" s="67">
        <f>town_vehicles[[#This Row],[Share of State Vehicles]]/INDEX(regional_vehicles[Share of State Vehicles],MATCH(town_vehicles[[#This Row],[Regional Planning Commission]],regional_vehicles[Regional Planning Commission]))</f>
        <v>1.0791567002280693E-2</v>
      </c>
      <c r="G11" t="s">
        <v>111</v>
      </c>
      <c r="H11" s="75">
        <f>SUMIF(town_vehicles[Regional Planning Commission],G11,town_vehicles[Share of State Vehicles])</f>
        <v>9.6365544128155733E-2</v>
      </c>
    </row>
    <row r="12" spans="1:8" x14ac:dyDescent="0.25">
      <c r="A12" t="s">
        <v>293</v>
      </c>
      <c r="B12" t="s">
        <v>111</v>
      </c>
      <c r="C12" s="7">
        <v>635</v>
      </c>
      <c r="D12" s="67">
        <f>town_vehicles[[#This Row],[Vehicles]]/SUM(town_vehicles[Vehicles])</f>
        <v>1.4359628413521117E-3</v>
      </c>
      <c r="E12" s="67">
        <f>town_vehicles[[#This Row],[Share of State Vehicles]]/INDEX(regional_vehicles[Share of State Vehicles],MATCH(town_vehicles[[#This Row],[Regional Planning Commission]],regional_vehicles[Regional Planning Commission]))</f>
        <v>1.4901206176373961E-2</v>
      </c>
      <c r="G12" t="s">
        <v>113</v>
      </c>
      <c r="H12" s="75">
        <f>SUMIF(town_vehicles[Regional Planning Commission],G12,town_vehicles[Share of State Vehicles])</f>
        <v>7.6743733774750592E-2</v>
      </c>
    </row>
    <row r="13" spans="1:8" x14ac:dyDescent="0.25">
      <c r="A13" t="s">
        <v>189</v>
      </c>
      <c r="B13" t="s">
        <v>103</v>
      </c>
      <c r="C13" s="7">
        <v>1224</v>
      </c>
      <c r="D13" s="67">
        <f>town_vehicles[[#This Row],[Vehicles]]/SUM(town_vehicles[Vehicles])</f>
        <v>2.7679031776613934E-3</v>
      </c>
      <c r="E13" s="67">
        <f>town_vehicles[[#This Row],[Share of State Vehicles]]/INDEX(regional_vehicles[Share of State Vehicles],MATCH(town_vehicles[[#This Row],[Regional Planning Commission]],regional_vehicles[Regional Planning Commission]))</f>
        <v>2.7415669936836442E-2</v>
      </c>
    </row>
    <row r="14" spans="1:8" x14ac:dyDescent="0.25">
      <c r="A14" t="s">
        <v>137</v>
      </c>
      <c r="B14" t="s">
        <v>97</v>
      </c>
      <c r="C14" s="7">
        <v>5549</v>
      </c>
      <c r="D14" s="67">
        <f>town_vehicles[[#This Row],[Vehicles]]/SUM(town_vehicles[Vehicles])</f>
        <v>1.2548280010492704E-2</v>
      </c>
      <c r="E14" s="67">
        <f>town_vehicles[[#This Row],[Share of State Vehicles]]/INDEX(regional_vehicles[Share of State Vehicles],MATCH(town_vehicles[[#This Row],[Regional Planning Commission]],regional_vehicles[Regional Planning Commission]))</f>
        <v>0.1221923720602484</v>
      </c>
    </row>
    <row r="15" spans="1:8" x14ac:dyDescent="0.25">
      <c r="A15" t="s">
        <v>138</v>
      </c>
      <c r="B15" t="s">
        <v>97</v>
      </c>
      <c r="C15" s="7">
        <v>5934</v>
      </c>
      <c r="D15" s="67">
        <f>town_vehicles[[#This Row],[Vehicles]]/SUM(town_vehicles[Vehicles])</f>
        <v>1.3418903150525088E-2</v>
      </c>
      <c r="E15" s="67">
        <f>town_vehicles[[#This Row],[Share of State Vehicles]]/INDEX(regional_vehicles[Share of State Vehicles],MATCH(town_vehicles[[#This Row],[Regional Planning Commission]],regional_vehicles[Regional Planning Commission]))</f>
        <v>0.13067030740773367</v>
      </c>
    </row>
    <row r="16" spans="1:8" x14ac:dyDescent="0.25">
      <c r="A16" t="s">
        <v>190</v>
      </c>
      <c r="B16" t="s">
        <v>103</v>
      </c>
      <c r="C16" s="7">
        <v>1812</v>
      </c>
      <c r="D16" s="67">
        <f>town_vehicles[[#This Row],[Vehicles]]/SUM(town_vehicles[Vehicles])</f>
        <v>4.0975821551653959E-3</v>
      </c>
      <c r="E16" s="67">
        <f>town_vehicles[[#This Row],[Share of State Vehicles]]/INDEX(regional_vehicles[Share of State Vehicles],MATCH(town_vehicles[[#This Row],[Regional Planning Commission]],regional_vehicles[Regional Planning Commission]))</f>
        <v>4.058594274963042E-2</v>
      </c>
    </row>
    <row r="17" spans="1:5" x14ac:dyDescent="0.25">
      <c r="A17" t="s">
        <v>177</v>
      </c>
      <c r="B17" t="s">
        <v>101</v>
      </c>
      <c r="C17" s="7">
        <v>276</v>
      </c>
      <c r="D17" s="67">
        <f>town_vehicles[[#This Row],[Vehicles]]/SUM(town_vehicles[Vehicles])</f>
        <v>6.2413503025698079E-4</v>
      </c>
      <c r="E17" s="67">
        <f>town_vehicles[[#This Row],[Share of State Vehicles]]/INDEX(regional_vehicles[Share of State Vehicles],MATCH(town_vehicles[[#This Row],[Regional Planning Commission]],regional_vehicles[Regional Planning Commission]))</f>
        <v>1.5494301914332228E-2</v>
      </c>
    </row>
    <row r="18" spans="1:5" x14ac:dyDescent="0.25">
      <c r="A18" t="s">
        <v>125</v>
      </c>
      <c r="B18" t="s">
        <v>95</v>
      </c>
      <c r="C18" s="7">
        <v>9468</v>
      </c>
      <c r="D18" s="67">
        <f>town_vehicles[[#This Row],[Vehicles]]/SUM(town_vehicles[Vehicles])</f>
        <v>2.1410545168380778E-2</v>
      </c>
      <c r="E18" s="67">
        <f>town_vehicles[[#This Row],[Share of State Vehicles]]/INDEX(regional_vehicles[Share of State Vehicles],MATCH(town_vehicles[[#This Row],[Regional Planning Commission]],regional_vehicles[Regional Planning Commission]))</f>
        <v>0.38274649310749081</v>
      </c>
    </row>
    <row r="19" spans="1:5" x14ac:dyDescent="0.25">
      <c r="A19" t="s">
        <v>256</v>
      </c>
      <c r="B19" t="s">
        <v>107</v>
      </c>
      <c r="C19" s="7">
        <v>749</v>
      </c>
      <c r="D19" s="67">
        <f>town_vehicles[[#This Row],[Vehicles]]/SUM(town_vehicles[Vehicles])</f>
        <v>1.6937577451539081E-3</v>
      </c>
      <c r="E19" s="67">
        <f>town_vehicles[[#This Row],[Share of State Vehicles]]/INDEX(regional_vehicles[Share of State Vehicles],MATCH(town_vehicles[[#This Row],[Regional Planning Commission]],regional_vehicles[Regional Planning Commission]))</f>
        <v>1.7568550184129665E-2</v>
      </c>
    </row>
    <row r="20" spans="1:5" x14ac:dyDescent="0.25">
      <c r="A20" t="s">
        <v>238</v>
      </c>
      <c r="B20" t="s">
        <v>105</v>
      </c>
      <c r="C20" s="7">
        <v>1129</v>
      </c>
      <c r="D20" s="67">
        <f>town_vehicles[[#This Row],[Vehicles]]/SUM(town_vehicles[Vehicles])</f>
        <v>2.5530740911598963E-3</v>
      </c>
      <c r="E20" s="67">
        <f>town_vehicles[[#This Row],[Share of State Vehicles]]/INDEX(regional_vehicles[Share of State Vehicles],MATCH(town_vehicles[[#This Row],[Regional Planning Commission]],regional_vehicles[Regional Planning Commission]))</f>
        <v>2.8391801835785241E-2</v>
      </c>
    </row>
    <row r="21" spans="1:5" x14ac:dyDescent="0.25">
      <c r="A21" t="s">
        <v>139</v>
      </c>
      <c r="B21" t="s">
        <v>97</v>
      </c>
      <c r="C21" s="7">
        <v>1836</v>
      </c>
      <c r="D21" s="67">
        <f>town_vehicles[[#This Row],[Vehicles]]/SUM(town_vehicles[Vehicles])</f>
        <v>4.1518547664920894E-3</v>
      </c>
      <c r="E21" s="67">
        <f>town_vehicles[[#This Row],[Share of State Vehicles]]/INDEX(regional_vehicles[Share of State Vehicles],MATCH(town_vehicles[[#This Row],[Regional Planning Commission]],regional_vehicles[Regional Planning Commission]))</f>
        <v>4.0429842332423152E-2</v>
      </c>
    </row>
    <row r="22" spans="1:5" x14ac:dyDescent="0.25">
      <c r="A22" t="s">
        <v>294</v>
      </c>
      <c r="B22" t="s">
        <v>111</v>
      </c>
      <c r="C22" s="7">
        <v>1520</v>
      </c>
      <c r="D22" s="67">
        <f>town_vehicles[[#This Row],[Vehicles]]/SUM(town_vehicles[Vehicles])</f>
        <v>3.4372653840239525E-3</v>
      </c>
      <c r="E22" s="67">
        <f>town_vehicles[[#This Row],[Share of State Vehicles]]/INDEX(regional_vehicles[Share of State Vehicles],MATCH(town_vehicles[[#This Row],[Regional Planning Commission]],regional_vehicles[Regional Planning Commission]))</f>
        <v>3.5669028957619558E-2</v>
      </c>
    </row>
    <row r="23" spans="1:5" x14ac:dyDescent="0.25">
      <c r="A23" t="s">
        <v>191</v>
      </c>
      <c r="B23" t="s">
        <v>103</v>
      </c>
      <c r="C23" s="7">
        <v>177</v>
      </c>
      <c r="D23" s="67">
        <f>town_vehicles[[#This Row],[Vehicles]]/SUM(town_vehicles[Vehicles])</f>
        <v>4.0026050853436815E-4</v>
      </c>
      <c r="E23" s="67">
        <f>town_vehicles[[#This Row],[Share of State Vehicles]]/INDEX(regional_vehicles[Share of State Vehicles],MATCH(town_vehicles[[#This Row],[Regional Planning Commission]],regional_vehicles[Regional Planning Commission]))</f>
        <v>3.9645208977287993E-3</v>
      </c>
    </row>
    <row r="24" spans="1:5" x14ac:dyDescent="0.25">
      <c r="A24" t="s">
        <v>160</v>
      </c>
      <c r="B24" t="s">
        <v>99</v>
      </c>
      <c r="C24" s="7">
        <v>1018</v>
      </c>
      <c r="D24" s="67">
        <f>town_vehicles[[#This Row],[Vehicles]]/SUM(town_vehicles[Vehicles])</f>
        <v>2.3020632637739363E-3</v>
      </c>
      <c r="E24" s="67">
        <f>town_vehicles[[#This Row],[Share of State Vehicles]]/INDEX(regional_vehicles[Share of State Vehicles],MATCH(town_vehicles[[#This Row],[Regional Planning Commission]],regional_vehicles[Regional Planning Commission]))</f>
        <v>9.4713533428853192E-3</v>
      </c>
    </row>
    <row r="25" spans="1:5" x14ac:dyDescent="0.25">
      <c r="A25" t="s">
        <v>295</v>
      </c>
      <c r="B25" t="s">
        <v>111</v>
      </c>
      <c r="C25" s="7">
        <v>1931</v>
      </c>
      <c r="D25" s="67">
        <f>town_vehicles[[#This Row],[Vehicles]]/SUM(town_vehicles[Vehicles])</f>
        <v>4.3666838529935869E-3</v>
      </c>
      <c r="E25" s="67">
        <f>town_vehicles[[#This Row],[Share of State Vehicles]]/INDEX(regional_vehicles[Share of State Vehicles],MATCH(town_vehicles[[#This Row],[Regional Planning Commission]],regional_vehicles[Regional Planning Commission]))</f>
        <v>4.5313746656028532E-2</v>
      </c>
    </row>
    <row r="26" spans="1:5" x14ac:dyDescent="0.25">
      <c r="A26" t="s">
        <v>296</v>
      </c>
      <c r="B26" t="s">
        <v>111</v>
      </c>
      <c r="C26" s="7">
        <v>981</v>
      </c>
      <c r="D26" s="67">
        <f>town_vehicles[[#This Row],[Vehicles]]/SUM(town_vehicles[Vehicles])</f>
        <v>2.2183929879786165E-3</v>
      </c>
      <c r="E26" s="67">
        <f>town_vehicles[[#This Row],[Share of State Vehicles]]/INDEX(regional_vehicles[Share of State Vehicles],MATCH(town_vehicles[[#This Row],[Regional Planning Commission]],regional_vehicles[Regional Planning Commission]))</f>
        <v>2.3020603557516305E-2</v>
      </c>
    </row>
    <row r="27" spans="1:5" x14ac:dyDescent="0.25">
      <c r="A27" t="s">
        <v>257</v>
      </c>
      <c r="B27" t="s">
        <v>107</v>
      </c>
      <c r="C27" s="7">
        <v>2813</v>
      </c>
      <c r="D27" s="67">
        <f>town_vehicles[[#This Row],[Vehicles]]/SUM(town_vehicles[Vehicles])</f>
        <v>6.361202319249591E-3</v>
      </c>
      <c r="E27" s="67">
        <f>town_vehicles[[#This Row],[Share of State Vehicles]]/INDEX(regional_vehicles[Share of State Vehicles],MATCH(town_vehicles[[#This Row],[Regional Planning Commission]],regional_vehicles[Regional Planning Commission]))</f>
        <v>6.5981751225576438E-2</v>
      </c>
    </row>
    <row r="28" spans="1:5" x14ac:dyDescent="0.25">
      <c r="A28" t="s">
        <v>324</v>
      </c>
      <c r="B28" t="s">
        <v>113</v>
      </c>
      <c r="C28" s="7">
        <v>7828</v>
      </c>
      <c r="D28" s="67">
        <f>town_vehicles[[#This Row],[Vehicles]]/SUM(town_vehicles[Vehicles])</f>
        <v>1.7701916727723355E-2</v>
      </c>
      <c r="E28" s="67">
        <f>town_vehicles[[#This Row],[Share of State Vehicles]]/INDEX(regional_vehicles[Share of State Vehicles],MATCH(town_vehicles[[#This Row],[Regional Planning Commission]],regional_vehicles[Regional Planning Commission]))</f>
        <v>0.2306626985296284</v>
      </c>
    </row>
    <row r="29" spans="1:5" x14ac:dyDescent="0.25">
      <c r="A29" t="s">
        <v>297</v>
      </c>
      <c r="B29" t="s">
        <v>111</v>
      </c>
      <c r="C29" s="7">
        <v>730</v>
      </c>
      <c r="D29" s="67">
        <f>town_vehicles[[#This Row],[Vehicles]]/SUM(town_vehicles[Vehicles])</f>
        <v>1.6507919278536086E-3</v>
      </c>
      <c r="E29" s="67">
        <f>town_vehicles[[#This Row],[Share of State Vehicles]]/INDEX(regional_vehicles[Share of State Vehicles],MATCH(town_vehicles[[#This Row],[Regional Planning Commission]],regional_vehicles[Regional Planning Commission]))</f>
        <v>1.7130520486225181E-2</v>
      </c>
    </row>
    <row r="30" spans="1:5" x14ac:dyDescent="0.25">
      <c r="A30" t="s">
        <v>94</v>
      </c>
      <c r="B30" t="s">
        <v>93</v>
      </c>
      <c r="C30" s="7">
        <v>930</v>
      </c>
      <c r="D30" s="67">
        <f>town_vehicles[[#This Row],[Vehicles]]/SUM(town_vehicles[Vehicles])</f>
        <v>2.1030636889093918E-3</v>
      </c>
      <c r="E30" s="67">
        <f>town_vehicles[[#This Row],[Share of State Vehicles]]/INDEX(regional_vehicles[Share of State Vehicles],MATCH(town_vehicles[[#This Row],[Regional Planning Commission]],regional_vehicles[Regional Planning Commission]))</f>
        <v>3.6910620733449757E-2</v>
      </c>
    </row>
    <row r="31" spans="1:5" x14ac:dyDescent="0.25">
      <c r="A31" t="s">
        <v>192</v>
      </c>
      <c r="B31" t="s">
        <v>103</v>
      </c>
      <c r="C31" s="7">
        <v>624</v>
      </c>
      <c r="D31" s="67">
        <f>town_vehicles[[#This Row],[Vehicles]]/SUM(town_vehicles[Vehicles])</f>
        <v>1.4110878944940436E-3</v>
      </c>
      <c r="E31" s="67">
        <f>town_vehicles[[#This Row],[Share of State Vehicles]]/INDEX(regional_vehicles[Share of State Vehicles],MATCH(town_vehicles[[#This Row],[Regional Planning Commission]],regional_vehicles[Regional Planning Commission]))</f>
        <v>1.3976616046230343E-2</v>
      </c>
    </row>
    <row r="32" spans="1:5" x14ac:dyDescent="0.25">
      <c r="A32" t="s">
        <v>96</v>
      </c>
      <c r="B32" t="s">
        <v>93</v>
      </c>
      <c r="C32" s="7">
        <v>2742</v>
      </c>
      <c r="D32" s="67">
        <f>town_vehicles[[#This Row],[Vehicles]]/SUM(town_vehicles[Vehicles])</f>
        <v>6.2006458440747878E-3</v>
      </c>
      <c r="E32" s="67">
        <f>town_vehicles[[#This Row],[Share of State Vehicles]]/INDEX(regional_vehicles[Share of State Vehicles],MATCH(town_vehicles[[#This Row],[Regional Planning Commission]],regional_vehicles[Regional Planning Commission]))</f>
        <v>0.10882679790442928</v>
      </c>
    </row>
    <row r="33" spans="1:5" x14ac:dyDescent="0.25">
      <c r="A33" t="s">
        <v>298</v>
      </c>
      <c r="B33" t="s">
        <v>111</v>
      </c>
      <c r="C33" s="7">
        <v>1105</v>
      </c>
      <c r="D33" s="67">
        <f>town_vehicles[[#This Row],[Vehicles]]/SUM(town_vehicles[Vehicles])</f>
        <v>2.498801479833202E-3</v>
      </c>
      <c r="E33" s="67">
        <f>town_vehicles[[#This Row],[Share of State Vehicles]]/INDEX(regional_vehicles[Share of State Vehicles],MATCH(town_vehicles[[#This Row],[Regional Planning Commission]],regional_vehicles[Regional Planning Commission]))</f>
        <v>2.5930445393532637E-2</v>
      </c>
    </row>
    <row r="34" spans="1:5" x14ac:dyDescent="0.25">
      <c r="A34" t="s">
        <v>325</v>
      </c>
      <c r="B34" t="s">
        <v>113</v>
      </c>
      <c r="C34" s="7">
        <v>515</v>
      </c>
      <c r="D34" s="67">
        <f>town_vehicles[[#This Row],[Vehicles]]/SUM(town_vehicles[Vehicles])</f>
        <v>1.1645997847186417E-3</v>
      </c>
      <c r="E34" s="67">
        <f>town_vehicles[[#This Row],[Share of State Vehicles]]/INDEX(regional_vehicles[Share of State Vehicles],MATCH(town_vehicles[[#This Row],[Regional Planning Commission]],regional_vehicles[Regional Planning Commission]))</f>
        <v>1.5175177534843971E-2</v>
      </c>
    </row>
    <row r="35" spans="1:5" x14ac:dyDescent="0.25">
      <c r="A35" t="s">
        <v>193</v>
      </c>
      <c r="B35" t="s">
        <v>103</v>
      </c>
      <c r="C35" s="7">
        <v>780</v>
      </c>
      <c r="D35" s="67">
        <f>town_vehicles[[#This Row],[Vehicles]]/SUM(town_vehicles[Vehicles])</f>
        <v>1.7638598681175544E-3</v>
      </c>
      <c r="E35" s="67">
        <f>town_vehicles[[#This Row],[Share of State Vehicles]]/INDEX(regional_vehicles[Share of State Vehicles],MATCH(town_vehicles[[#This Row],[Regional Planning Commission]],regional_vehicles[Regional Planning Commission]))</f>
        <v>1.7470770057787927E-2</v>
      </c>
    </row>
    <row r="36" spans="1:5" x14ac:dyDescent="0.25">
      <c r="A36" t="s">
        <v>194</v>
      </c>
      <c r="B36" t="s">
        <v>103</v>
      </c>
      <c r="C36" s="7">
        <v>72</v>
      </c>
      <c r="D36" s="67">
        <f>town_vehicles[[#This Row],[Vehicles]]/SUM(town_vehicles[Vehicles])</f>
        <v>1.6281783398008196E-4</v>
      </c>
      <c r="E36" s="67">
        <f>town_vehicles[[#This Row],[Share of State Vehicles]]/INDEX(regional_vehicles[Share of State Vehicles],MATCH(town_vehicles[[#This Row],[Regional Planning Commission]],regional_vehicles[Regional Planning Commission]))</f>
        <v>1.6126864668727318E-3</v>
      </c>
    </row>
    <row r="37" spans="1:5" x14ac:dyDescent="0.25">
      <c r="A37" t="s">
        <v>361</v>
      </c>
      <c r="B37" t="s">
        <v>99</v>
      </c>
      <c r="C37" s="7">
        <v>31</v>
      </c>
      <c r="D37" s="67">
        <f>town_vehicles[[#This Row],[Vehicles]]/SUM(town_vehicles[Vehicles])</f>
        <v>7.01021229636464E-5</v>
      </c>
      <c r="E37" s="67">
        <f>town_vehicles[[#This Row],[Share of State Vehicles]]/INDEX(regional_vehicles[Share of State Vehicles],MATCH(town_vehicles[[#This Row],[Regional Planning Commission]],regional_vehicles[Regional Planning Commission]))</f>
        <v>2.8842038666939584E-4</v>
      </c>
    </row>
    <row r="38" spans="1:5" x14ac:dyDescent="0.25">
      <c r="A38" t="s">
        <v>195</v>
      </c>
      <c r="B38" t="s">
        <v>103</v>
      </c>
      <c r="C38" s="7">
        <v>1136</v>
      </c>
      <c r="D38" s="67">
        <f>town_vehicles[[#This Row],[Vehicles]]/SUM(town_vehicles[Vehicles])</f>
        <v>2.5689036027968484E-3</v>
      </c>
      <c r="E38" s="67">
        <f>town_vehicles[[#This Row],[Share of State Vehicles]]/INDEX(regional_vehicles[Share of State Vehicles],MATCH(town_vehicles[[#This Row],[Regional Planning Commission]],regional_vehicles[Regional Planning Commission]))</f>
        <v>2.5444608699547545E-2</v>
      </c>
    </row>
    <row r="39" spans="1:5" x14ac:dyDescent="0.25">
      <c r="A39" t="s">
        <v>161</v>
      </c>
      <c r="B39" t="s">
        <v>99</v>
      </c>
      <c r="C39" s="7">
        <v>22428</v>
      </c>
      <c r="D39" s="67">
        <f>town_vehicles[[#This Row],[Vehicles]]/SUM(town_vehicles[Vehicles])</f>
        <v>5.0717755284795531E-2</v>
      </c>
      <c r="E39" s="67">
        <f>town_vehicles[[#This Row],[Share of State Vehicles]]/INDEX(regional_vehicles[Share of State Vehicles],MATCH(town_vehicles[[#This Row],[Regional Planning Commission]],regional_vehicles[Regional Planning Commission]))</f>
        <v>0.2086674978135874</v>
      </c>
    </row>
    <row r="40" spans="1:5" x14ac:dyDescent="0.25">
      <c r="A40" t="s">
        <v>140</v>
      </c>
      <c r="B40" t="s">
        <v>97</v>
      </c>
      <c r="C40" s="7">
        <v>968</v>
      </c>
      <c r="D40" s="67">
        <f>town_vehicles[[#This Row],[Vehicles]]/SUM(town_vehicles[Vehicles])</f>
        <v>2.1889953235099905E-3</v>
      </c>
      <c r="E40" s="67">
        <f>town_vehicles[[#This Row],[Share of State Vehicles]]/INDEX(regional_vehicles[Share of State Vehicles],MATCH(town_vehicles[[#This Row],[Regional Planning Commission]],regional_vehicles[Regional Planning Commission]))</f>
        <v>2.131595173082005E-2</v>
      </c>
    </row>
    <row r="41" spans="1:5" x14ac:dyDescent="0.25">
      <c r="A41" t="s">
        <v>141</v>
      </c>
      <c r="B41" t="s">
        <v>97</v>
      </c>
      <c r="C41" s="7">
        <v>1167</v>
      </c>
      <c r="D41" s="67">
        <f>town_vehicles[[#This Row],[Vehicles]]/SUM(town_vehicles[Vehicles])</f>
        <v>2.6390057257604949E-3</v>
      </c>
      <c r="E41" s="67">
        <f>town_vehicles[[#This Row],[Share of State Vehicles]]/INDEX(regional_vehicles[Share of State Vehicles],MATCH(town_vehicles[[#This Row],[Regional Planning Commission]],regional_vehicles[Regional Planning Commission]))</f>
        <v>2.5698053377961775E-2</v>
      </c>
    </row>
    <row r="42" spans="1:5" x14ac:dyDescent="0.25">
      <c r="A42" t="s">
        <v>178</v>
      </c>
      <c r="B42" t="s">
        <v>101</v>
      </c>
      <c r="C42" s="7">
        <v>2934</v>
      </c>
      <c r="D42" s="67">
        <f>town_vehicles[[#This Row],[Vehicles]]/SUM(town_vehicles[Vehicles])</f>
        <v>6.6348267346883396E-3</v>
      </c>
      <c r="E42" s="67">
        <f>town_vehicles[[#This Row],[Share of State Vehicles]]/INDEX(regional_vehicles[Share of State Vehicles],MATCH(town_vehicles[[#This Row],[Regional Planning Commission]],regional_vehicles[Regional Planning Commission]))</f>
        <v>0.16471116600235783</v>
      </c>
    </row>
    <row r="43" spans="1:5" x14ac:dyDescent="0.25">
      <c r="A43" t="s">
        <v>196</v>
      </c>
      <c r="B43" t="s">
        <v>103</v>
      </c>
      <c r="C43" s="7">
        <v>815</v>
      </c>
      <c r="D43" s="67">
        <f>town_vehicles[[#This Row],[Vehicles]]/SUM(town_vehicles[Vehicles])</f>
        <v>1.8430074263023166E-3</v>
      </c>
      <c r="E43" s="67">
        <f>town_vehicles[[#This Row],[Share of State Vehicles]]/INDEX(regional_vehicles[Share of State Vehicles],MATCH(town_vehicles[[#This Row],[Regional Planning Commission]],regional_vehicles[Regional Planning Commission]))</f>
        <v>1.8254714868073285E-2</v>
      </c>
    </row>
    <row r="44" spans="1:5" x14ac:dyDescent="0.25">
      <c r="A44" t="s">
        <v>258</v>
      </c>
      <c r="B44" t="s">
        <v>107</v>
      </c>
      <c r="C44" s="7">
        <v>2710</v>
      </c>
      <c r="D44" s="67">
        <f>town_vehicles[[#This Row],[Vehicles]]/SUM(town_vehicles[Vehicles])</f>
        <v>6.128282362305862E-3</v>
      </c>
      <c r="E44" s="67">
        <f>town_vehicles[[#This Row],[Share of State Vehicles]]/INDEX(regional_vehicles[Share of State Vehicles],MATCH(town_vehicles[[#This Row],[Regional Planning Commission]],regional_vehicles[Regional Planning Commission]))</f>
        <v>6.3565782375155394E-2</v>
      </c>
    </row>
    <row r="45" spans="1:5" x14ac:dyDescent="0.25">
      <c r="A45" t="s">
        <v>285</v>
      </c>
      <c r="B45" t="s">
        <v>109</v>
      </c>
      <c r="C45" s="7">
        <v>1131</v>
      </c>
      <c r="D45" s="67">
        <f>town_vehicles[[#This Row],[Vehicles]]/SUM(town_vehicles[Vehicles])</f>
        <v>2.5575968087704539E-3</v>
      </c>
      <c r="E45" s="67">
        <f>town_vehicles[[#This Row],[Share of State Vehicles]]/INDEX(regional_vehicles[Share of State Vehicles],MATCH(town_vehicles[[#This Row],[Regional Planning Commission]],regional_vehicles[Regional Planning Commission]))</f>
        <v>6.2913723090615783E-2</v>
      </c>
    </row>
    <row r="46" spans="1:5" x14ac:dyDescent="0.25">
      <c r="A46" t="s">
        <v>197</v>
      </c>
      <c r="B46" t="s">
        <v>103</v>
      </c>
      <c r="C46" s="7">
        <v>834</v>
      </c>
      <c r="D46" s="67">
        <f>town_vehicles[[#This Row],[Vehicles]]/SUM(town_vehicles[Vehicles])</f>
        <v>1.8859732436026159E-3</v>
      </c>
      <c r="E46" s="67">
        <f>town_vehicles[[#This Row],[Share of State Vehicles]]/INDEX(regional_vehicles[Share of State Vehicles],MATCH(town_vehicles[[#This Row],[Regional Planning Commission]],regional_vehicles[Regional Planning Commission]))</f>
        <v>1.8680284907942477E-2</v>
      </c>
    </row>
    <row r="47" spans="1:5" x14ac:dyDescent="0.25">
      <c r="A47" t="s">
        <v>162</v>
      </c>
      <c r="B47" t="s">
        <v>99</v>
      </c>
      <c r="C47" s="7">
        <v>3022</v>
      </c>
      <c r="D47" s="67">
        <f>town_vehicles[[#This Row],[Vehicles]]/SUM(town_vehicles[Vehicles])</f>
        <v>6.8338263095528845E-3</v>
      </c>
      <c r="E47" s="67">
        <f>town_vehicles[[#This Row],[Share of State Vehicles]]/INDEX(regional_vehicles[Share of State Vehicles],MATCH(town_vehicles[[#This Row],[Regional Planning Commission]],regional_vehicles[Regional Planning Commission]))</f>
        <v>2.8116335758545618E-2</v>
      </c>
    </row>
    <row r="48" spans="1:5" x14ac:dyDescent="0.25">
      <c r="A48" t="s">
        <v>299</v>
      </c>
      <c r="B48" t="s">
        <v>111</v>
      </c>
      <c r="C48" s="7">
        <v>995</v>
      </c>
      <c r="D48" s="67">
        <f>town_vehicles[[#This Row],[Vehicles]]/SUM(town_vehicles[Vehicles])</f>
        <v>2.2500520112525213E-3</v>
      </c>
      <c r="E48" s="67">
        <f>town_vehicles[[#This Row],[Share of State Vehicles]]/INDEX(regional_vehicles[Share of State Vehicles],MATCH(town_vehicles[[#This Row],[Regional Planning Commission]],regional_vehicles[Regional Planning Commission]))</f>
        <v>2.3349134087389117E-2</v>
      </c>
    </row>
    <row r="49" spans="1:5" x14ac:dyDescent="0.25">
      <c r="A49" t="s">
        <v>286</v>
      </c>
      <c r="B49" t="s">
        <v>109</v>
      </c>
      <c r="C49" s="7">
        <v>2516</v>
      </c>
      <c r="D49" s="67">
        <f>town_vehicles[[#This Row],[Vehicles]]/SUM(town_vehicles[Vehicles])</f>
        <v>5.6895787540817526E-3</v>
      </c>
      <c r="E49" s="67">
        <f>town_vehicles[[#This Row],[Share of State Vehicles]]/INDEX(regional_vehicles[Share of State Vehicles],MATCH(town_vehicles[[#This Row],[Regional Planning Commission]],regional_vehicles[Regional Planning Commission]))</f>
        <v>0.13995661122545475</v>
      </c>
    </row>
    <row r="50" spans="1:5" x14ac:dyDescent="0.25">
      <c r="A50" t="s">
        <v>259</v>
      </c>
      <c r="B50" t="s">
        <v>107</v>
      </c>
      <c r="C50" s="7">
        <v>993</v>
      </c>
      <c r="D50" s="67">
        <f>town_vehicles[[#This Row],[Vehicles]]/SUM(town_vehicles[Vehicles])</f>
        <v>2.2455292936419636E-3</v>
      </c>
      <c r="E50" s="67">
        <f>town_vehicles[[#This Row],[Share of State Vehicles]]/INDEX(regional_vehicles[Share of State Vehicles],MATCH(town_vehicles[[#This Row],[Regional Planning Commission]],regional_vehicles[Regional Planning Commission]))</f>
        <v>2.3291816198719305E-2</v>
      </c>
    </row>
    <row r="51" spans="1:5" x14ac:dyDescent="0.25">
      <c r="A51" t="s">
        <v>260</v>
      </c>
      <c r="B51" t="s">
        <v>107</v>
      </c>
      <c r="C51" s="7">
        <v>2005</v>
      </c>
      <c r="D51" s="67">
        <f>town_vehicles[[#This Row],[Vehicles]]/SUM(town_vehicles[Vehicles])</f>
        <v>4.5340244045842266E-3</v>
      </c>
      <c r="E51" s="67">
        <f>town_vehicles[[#This Row],[Share of State Vehicles]]/INDEX(regional_vehicles[Share of State Vehicles],MATCH(town_vehicles[[#This Row],[Regional Planning Commission]],regional_vehicles[Regional Planning Commission]))</f>
        <v>4.7029296554312386E-2</v>
      </c>
    </row>
    <row r="52" spans="1:5" x14ac:dyDescent="0.25">
      <c r="A52" t="s">
        <v>163</v>
      </c>
      <c r="B52" t="s">
        <v>99</v>
      </c>
      <c r="C52" s="7">
        <v>12269</v>
      </c>
      <c r="D52" s="67">
        <f>town_vehicles[[#This Row],[Vehicles]]/SUM(town_vehicles[Vehicles])</f>
        <v>2.774461118196702E-2</v>
      </c>
      <c r="E52" s="67">
        <f>town_vehicles[[#This Row],[Share of State Vehicles]]/INDEX(regional_vehicles[Share of State Vehicles],MATCH(town_vehicles[[#This Row],[Regional Planning Commission]],regional_vehicles[Regional Planning Commission]))</f>
        <v>0.11414934593699409</v>
      </c>
    </row>
    <row r="53" spans="1:5" x14ac:dyDescent="0.25">
      <c r="A53" t="s">
        <v>198</v>
      </c>
      <c r="B53" t="s">
        <v>103</v>
      </c>
      <c r="C53" s="7">
        <v>902</v>
      </c>
      <c r="D53" s="67">
        <f>town_vehicles[[#This Row],[Vehicles]]/SUM(town_vehicles[Vehicles])</f>
        <v>2.0397456423615823E-3</v>
      </c>
      <c r="E53" s="67">
        <f>town_vehicles[[#This Row],[Share of State Vehicles]]/INDEX(regional_vehicles[Share of State Vehicles],MATCH(town_vehicles[[#This Row],[Regional Planning Commission]],regional_vehicles[Regional Planning Commission]))</f>
        <v>2.0203377682211168E-2</v>
      </c>
    </row>
    <row r="54" spans="1:5" x14ac:dyDescent="0.25">
      <c r="A54" t="s">
        <v>300</v>
      </c>
      <c r="B54" t="s">
        <v>111</v>
      </c>
      <c r="C54" s="7">
        <v>1112</v>
      </c>
      <c r="D54" s="67">
        <f>town_vehicles[[#This Row],[Vehicles]]/SUM(town_vehicles[Vehicles])</f>
        <v>2.5146309914701546E-3</v>
      </c>
      <c r="E54" s="67">
        <f>town_vehicles[[#This Row],[Share of State Vehicles]]/INDEX(regional_vehicles[Share of State Vehicles],MATCH(town_vehicles[[#This Row],[Regional Planning Commission]],regional_vehicles[Regional Planning Commission]))</f>
        <v>2.6094710658469047E-2</v>
      </c>
    </row>
    <row r="55" spans="1:5" x14ac:dyDescent="0.25">
      <c r="A55" t="s">
        <v>98</v>
      </c>
      <c r="B55" t="s">
        <v>93</v>
      </c>
      <c r="C55" s="7">
        <v>892</v>
      </c>
      <c r="D55" s="67">
        <f>town_vehicles[[#This Row],[Vehicles]]/SUM(town_vehicles[Vehicles])</f>
        <v>2.0171320543087932E-3</v>
      </c>
      <c r="E55" s="67">
        <f>town_vehicles[[#This Row],[Share of State Vehicles]]/INDEX(regional_vehicles[Share of State Vehicles],MATCH(town_vehicles[[#This Row],[Regional Planning Commission]],regional_vehicles[Regional Planning Commission]))</f>
        <v>3.5402444832513098E-2</v>
      </c>
    </row>
    <row r="56" spans="1:5" x14ac:dyDescent="0.25">
      <c r="A56" t="s">
        <v>199</v>
      </c>
      <c r="B56" t="s">
        <v>103</v>
      </c>
      <c r="C56" s="7">
        <v>765</v>
      </c>
      <c r="D56" s="67">
        <f>town_vehicles[[#This Row],[Vehicles]]/SUM(town_vehicles[Vehicles])</f>
        <v>1.7299394860383708E-3</v>
      </c>
      <c r="E56" s="67">
        <f>town_vehicles[[#This Row],[Share of State Vehicles]]/INDEX(regional_vehicles[Share of State Vehicles],MATCH(town_vehicles[[#This Row],[Regional Planning Commission]],regional_vehicles[Regional Planning Commission]))</f>
        <v>1.7134793710522775E-2</v>
      </c>
    </row>
    <row r="57" spans="1:5" x14ac:dyDescent="0.25">
      <c r="A57" t="s">
        <v>200</v>
      </c>
      <c r="B57" t="s">
        <v>103</v>
      </c>
      <c r="C57" s="7">
        <v>851</v>
      </c>
      <c r="D57" s="67">
        <f>town_vehicles[[#This Row],[Vehicles]]/SUM(town_vehicles[Vehicles])</f>
        <v>1.9244163432923574E-3</v>
      </c>
      <c r="E57" s="67">
        <f>town_vehicles[[#This Row],[Share of State Vehicles]]/INDEX(regional_vehicles[Share of State Vehicles],MATCH(town_vehicles[[#This Row],[Regional Planning Commission]],regional_vehicles[Regional Planning Commission]))</f>
        <v>1.906105810150965E-2</v>
      </c>
    </row>
    <row r="58" spans="1:5" x14ac:dyDescent="0.25">
      <c r="A58" t="s">
        <v>261</v>
      </c>
      <c r="B58" t="s">
        <v>107</v>
      </c>
      <c r="C58" s="7">
        <v>1031</v>
      </c>
      <c r="D58" s="67">
        <f>town_vehicles[[#This Row],[Vehicles]]/SUM(town_vehicles[Vehicles])</f>
        <v>2.3314609282425623E-3</v>
      </c>
      <c r="E58" s="67">
        <f>town_vehicles[[#This Row],[Share of State Vehicles]]/INDEX(regional_vehicles[Share of State Vehicles],MATCH(town_vehicles[[#This Row],[Regional Planning Commission]],regional_vehicles[Regional Planning Commission]))</f>
        <v>2.4183144512466868E-2</v>
      </c>
    </row>
    <row r="59" spans="1:5" x14ac:dyDescent="0.25">
      <c r="A59" t="s">
        <v>201</v>
      </c>
      <c r="B59" t="s">
        <v>103</v>
      </c>
      <c r="C59" s="7">
        <v>1684</v>
      </c>
      <c r="D59" s="67">
        <f>town_vehicles[[#This Row],[Vehicles]]/SUM(town_vehicles[Vehicles])</f>
        <v>3.8081282280896947E-3</v>
      </c>
      <c r="E59" s="67">
        <f>town_vehicles[[#This Row],[Share of State Vehicles]]/INDEX(regional_vehicles[Share of State Vehicles],MATCH(town_vehicles[[#This Row],[Regional Planning Commission]],regional_vehicles[Regional Planning Commission]))</f>
        <v>3.7718944586301116E-2</v>
      </c>
    </row>
    <row r="60" spans="1:5" x14ac:dyDescent="0.25">
      <c r="A60" t="s">
        <v>202</v>
      </c>
      <c r="B60" t="s">
        <v>103</v>
      </c>
      <c r="C60" s="7">
        <v>3301</v>
      </c>
      <c r="D60" s="67">
        <f>town_vehicles[[#This Row],[Vehicles]]/SUM(town_vehicles[Vehicles])</f>
        <v>7.4647454162257015E-3</v>
      </c>
      <c r="E60" s="67">
        <f>town_vehicles[[#This Row],[Share of State Vehicles]]/INDEX(regional_vehicles[Share of State Vehicles],MATCH(town_vehicles[[#This Row],[Regional Planning Commission]],regional_vehicles[Regional Planning Commission]))</f>
        <v>7.3937194821484545E-2</v>
      </c>
    </row>
    <row r="61" spans="1:5" x14ac:dyDescent="0.25">
      <c r="A61" t="s">
        <v>126</v>
      </c>
      <c r="B61" t="s">
        <v>95</v>
      </c>
      <c r="C61" s="7">
        <v>1772</v>
      </c>
      <c r="D61" s="67">
        <f>town_vehicles[[#This Row],[Vehicles]]/SUM(town_vehicles[Vehicles])</f>
        <v>4.0071278029542388E-3</v>
      </c>
      <c r="E61" s="67">
        <f>town_vehicles[[#This Row],[Share of State Vehicles]]/INDEX(regional_vehicles[Share of State Vehicles],MATCH(town_vehicles[[#This Row],[Regional Planning Commission]],regional_vehicles[Regional Planning Commission]))</f>
        <v>7.1633585317540521E-2</v>
      </c>
    </row>
    <row r="62" spans="1:5" x14ac:dyDescent="0.25">
      <c r="A62" t="s">
        <v>326</v>
      </c>
      <c r="B62" t="s">
        <v>113</v>
      </c>
      <c r="C62" s="7">
        <v>1083</v>
      </c>
      <c r="D62" s="67">
        <f>town_vehicles[[#This Row],[Vehicles]]/SUM(town_vehicles[Vehicles])</f>
        <v>2.4490515861170662E-3</v>
      </c>
      <c r="E62" s="67">
        <f>town_vehicles[[#This Row],[Share of State Vehicles]]/INDEX(regional_vehicles[Share of State Vehicles],MATCH(town_vehicles[[#This Row],[Regional Planning Commission]],regional_vehicles[Regional Planning Commission]))</f>
        <v>3.1912072369390337E-2</v>
      </c>
    </row>
    <row r="63" spans="1:5" x14ac:dyDescent="0.25">
      <c r="A63" t="s">
        <v>327</v>
      </c>
      <c r="B63" t="s">
        <v>113</v>
      </c>
      <c r="C63" s="7">
        <v>1616</v>
      </c>
      <c r="D63" s="67">
        <f>town_vehicles[[#This Row],[Vehicles]]/SUM(town_vehicles[Vehicles])</f>
        <v>3.6543558293307284E-3</v>
      </c>
      <c r="E63" s="67">
        <f>town_vehicles[[#This Row],[Share of State Vehicles]]/INDEX(regional_vehicles[Share of State Vehicles],MATCH(town_vehicles[[#This Row],[Regional Planning Commission]],regional_vehicles[Regional Planning Commission]))</f>
        <v>4.7617644458850215E-2</v>
      </c>
    </row>
    <row r="64" spans="1:5" x14ac:dyDescent="0.25">
      <c r="A64" t="s">
        <v>142</v>
      </c>
      <c r="B64" t="s">
        <v>97</v>
      </c>
      <c r="C64" s="7">
        <v>1054</v>
      </c>
      <c r="D64" s="67">
        <f>town_vehicles[[#This Row],[Vehicles]]/SUM(town_vehicles[Vehicles])</f>
        <v>2.3834721807639773E-3</v>
      </c>
      <c r="E64" s="67">
        <f>town_vehicles[[#This Row],[Share of State Vehicles]]/INDEX(regional_vehicles[Share of State Vehicles],MATCH(town_vehicles[[#This Row],[Regional Planning Commission]],regional_vehicles[Regional Planning Commission]))</f>
        <v>2.3209724301946625E-2</v>
      </c>
    </row>
    <row r="65" spans="1:5" x14ac:dyDescent="0.25">
      <c r="A65" t="s">
        <v>203</v>
      </c>
      <c r="B65" t="s">
        <v>103</v>
      </c>
      <c r="C65" s="7">
        <v>214</v>
      </c>
      <c r="D65" s="67">
        <f>town_vehicles[[#This Row],[Vehicles]]/SUM(town_vehicles[Vehicles])</f>
        <v>4.8393078432968804E-4</v>
      </c>
      <c r="E65" s="67">
        <f>town_vehicles[[#This Row],[Share of State Vehicles]]/INDEX(regional_vehicles[Share of State Vehicles],MATCH(town_vehicles[[#This Row],[Regional Planning Commission]],regional_vehicles[Regional Planning Commission]))</f>
        <v>4.7932625543161749E-3</v>
      </c>
    </row>
    <row r="66" spans="1:5" x14ac:dyDescent="0.25">
      <c r="A66" t="s">
        <v>143</v>
      </c>
      <c r="B66" t="s">
        <v>97</v>
      </c>
      <c r="C66" s="7">
        <v>2018</v>
      </c>
      <c r="D66" s="67">
        <f>town_vehicles[[#This Row],[Vehicles]]/SUM(town_vehicles[Vehicles])</f>
        <v>4.5634220690528521E-3</v>
      </c>
      <c r="E66" s="67">
        <f>town_vehicles[[#This Row],[Share of State Vehicles]]/INDEX(regional_vehicles[Share of State Vehicles],MATCH(town_vehicles[[#This Row],[Regional Planning Commission]],regional_vehicles[Regional Planning Commission]))</f>
        <v>4.4437593587597995E-2</v>
      </c>
    </row>
    <row r="67" spans="1:5" x14ac:dyDescent="0.25">
      <c r="A67" t="s">
        <v>179</v>
      </c>
      <c r="B67" t="s">
        <v>101</v>
      </c>
      <c r="C67" s="7">
        <v>947</v>
      </c>
      <c r="D67" s="67">
        <f>town_vehicles[[#This Row],[Vehicles]]/SUM(town_vehicles[Vehicles])</f>
        <v>2.1415067885991335E-3</v>
      </c>
      <c r="E67" s="67">
        <f>town_vehicles[[#This Row],[Share of State Vehicles]]/INDEX(regional_vehicles[Share of State Vehicles],MATCH(town_vehicles[[#This Row],[Regional Planning Commission]],regional_vehicles[Regional Planning Commission]))</f>
        <v>5.3163419974176167E-2</v>
      </c>
    </row>
    <row r="68" spans="1:5" x14ac:dyDescent="0.25">
      <c r="A68" t="s">
        <v>180</v>
      </c>
      <c r="B68" t="s">
        <v>101</v>
      </c>
      <c r="C68" s="7">
        <v>777</v>
      </c>
      <c r="D68" s="67">
        <f>town_vehicles[[#This Row],[Vehicles]]/SUM(town_vehicles[Vehicles])</f>
        <v>1.7570757917017177E-3</v>
      </c>
      <c r="E68" s="67">
        <f>town_vehicles[[#This Row],[Share of State Vehicles]]/INDEX(regional_vehicles[Share of State Vehicles],MATCH(town_vehicles[[#This Row],[Regional Planning Commission]],regional_vehicles[Regional Planning Commission]))</f>
        <v>4.3619828215348343E-2</v>
      </c>
    </row>
    <row r="69" spans="1:5" x14ac:dyDescent="0.25">
      <c r="A69" t="s">
        <v>239</v>
      </c>
      <c r="B69" t="s">
        <v>105</v>
      </c>
      <c r="C69" s="7">
        <v>1969</v>
      </c>
      <c r="D69" s="67">
        <f>town_vehicles[[#This Row],[Vehicles]]/SUM(town_vehicles[Vehicles])</f>
        <v>4.4526154875941856E-3</v>
      </c>
      <c r="E69" s="67">
        <f>town_vehicles[[#This Row],[Share of State Vehicles]]/INDEX(regional_vehicles[Share of State Vehicles],MATCH(town_vehicles[[#This Row],[Regional Planning Commission]],regional_vehicles[Regional Planning Commission]))</f>
        <v>4.9515905947441215E-2</v>
      </c>
    </row>
    <row r="70" spans="1:5" x14ac:dyDescent="0.25">
      <c r="A70" t="s">
        <v>164</v>
      </c>
      <c r="B70" t="s">
        <v>99</v>
      </c>
      <c r="C70" s="7">
        <v>15163</v>
      </c>
      <c r="D70" s="67">
        <f>town_vehicles[[#This Row],[Vehicles]]/SUM(town_vehicles[Vehicles])</f>
        <v>3.4288983564444202E-2</v>
      </c>
      <c r="E70" s="67">
        <f>town_vehicles[[#This Row],[Share of State Vehicles]]/INDEX(regional_vehicles[Share of State Vehicles],MATCH(town_vehicles[[#This Row],[Regional Planning Commission]],regional_vehicles[Regional Planning Commission]))</f>
        <v>0.14107478461509834</v>
      </c>
    </row>
    <row r="71" spans="1:5" x14ac:dyDescent="0.25">
      <c r="A71" t="s">
        <v>262</v>
      </c>
      <c r="B71" t="s">
        <v>107</v>
      </c>
      <c r="C71" s="7">
        <v>1894</v>
      </c>
      <c r="D71" s="67">
        <f>town_vehicles[[#This Row],[Vehicles]]/SUM(town_vehicles[Vehicles])</f>
        <v>4.2830135771982671E-3</v>
      </c>
      <c r="E71" s="67">
        <f>town_vehicles[[#This Row],[Share of State Vehicles]]/INDEX(regional_vehicles[Share of State Vehicles],MATCH(town_vehicles[[#This Row],[Regional Planning Commission]],regional_vehicles[Regional Planning Commission]))</f>
        <v>4.4425679637839235E-2</v>
      </c>
    </row>
    <row r="72" spans="1:5" x14ac:dyDescent="0.25">
      <c r="A72" t="s">
        <v>240</v>
      </c>
      <c r="B72" t="s">
        <v>105</v>
      </c>
      <c r="C72" s="7">
        <v>3377</v>
      </c>
      <c r="D72" s="67">
        <f>town_vehicles[[#This Row],[Vehicles]]/SUM(town_vehicles[Vehicles])</f>
        <v>7.6366086854268997E-3</v>
      </c>
      <c r="E72" s="67">
        <f>town_vehicles[[#This Row],[Share of State Vehicles]]/INDEX(regional_vehicles[Share of State Vehicles],MATCH(town_vehicles[[#This Row],[Regional Planning Commission]],regional_vehicles[Regional Planning Commission]))</f>
        <v>8.4923928077455052E-2</v>
      </c>
    </row>
    <row r="73" spans="1:5" x14ac:dyDescent="0.25">
      <c r="A73" t="s">
        <v>241</v>
      </c>
      <c r="B73" t="s">
        <v>105</v>
      </c>
      <c r="C73" s="7">
        <v>1316</v>
      </c>
      <c r="D73" s="67">
        <f>town_vehicles[[#This Row],[Vehicles]]/SUM(town_vehicles[Vehicles])</f>
        <v>2.9759481877470535E-3</v>
      </c>
      <c r="E73" s="67">
        <f>town_vehicles[[#This Row],[Share of State Vehicles]]/INDEX(regional_vehicles[Share of State Vehicles],MATCH(town_vehicles[[#This Row],[Regional Planning Commission]],regional_vehicles[Regional Planning Commission]))</f>
        <v>3.30944297749277E-2</v>
      </c>
    </row>
    <row r="74" spans="1:5" x14ac:dyDescent="0.25">
      <c r="A74" t="s">
        <v>301</v>
      </c>
      <c r="B74" t="s">
        <v>111</v>
      </c>
      <c r="C74" s="7">
        <v>842</v>
      </c>
      <c r="D74" s="67">
        <f>town_vehicles[[#This Row],[Vehicles]]/SUM(town_vehicles[Vehicles])</f>
        <v>1.9040641140448474E-3</v>
      </c>
      <c r="E74" s="67">
        <f>town_vehicles[[#This Row],[Share of State Vehicles]]/INDEX(regional_vehicles[Share of State Vehicles],MATCH(town_vehicles[[#This Row],[Regional Planning Commission]],regional_vehicles[Regional Planning Commission]))</f>
        <v>1.9758764725207677E-2</v>
      </c>
    </row>
    <row r="75" spans="1:5" x14ac:dyDescent="0.25">
      <c r="A75" t="s">
        <v>144</v>
      </c>
      <c r="B75" t="s">
        <v>97</v>
      </c>
      <c r="C75" s="7">
        <v>1017</v>
      </c>
      <c r="D75" s="67">
        <f>town_vehicles[[#This Row],[Vehicles]]/SUM(town_vehicles[Vehicles])</f>
        <v>2.2998019049686575E-3</v>
      </c>
      <c r="E75" s="67">
        <f>town_vehicles[[#This Row],[Share of State Vehicles]]/INDEX(regional_vehicles[Share of State Vehicles],MATCH(town_vehicles[[#This Row],[Regional Planning Commission]],regional_vehicles[Regional Planning Commission]))</f>
        <v>2.2394961684136353E-2</v>
      </c>
    </row>
    <row r="76" spans="1:5" x14ac:dyDescent="0.25">
      <c r="A76" t="s">
        <v>362</v>
      </c>
      <c r="B76" t="s">
        <v>103</v>
      </c>
      <c r="C76" s="7">
        <v>29</v>
      </c>
      <c r="D76" s="67">
        <f>town_vehicles[[#This Row],[Vehicles]]/SUM(town_vehicles[Vehicles])</f>
        <v>6.5579405353088569E-5</v>
      </c>
      <c r="E76" s="67">
        <f>town_vehicles[[#This Row],[Share of State Vehicles]]/INDEX(regional_vehicles[Share of State Vehicles],MATCH(town_vehicles[[#This Row],[Regional Planning Commission]],regional_vehicles[Regional Planning Commission]))</f>
        <v>6.4955427137929479E-4</v>
      </c>
    </row>
    <row r="77" spans="1:5" x14ac:dyDescent="0.25">
      <c r="A77" t="s">
        <v>100</v>
      </c>
      <c r="B77" t="s">
        <v>93</v>
      </c>
      <c r="C77" s="7">
        <v>2303</v>
      </c>
      <c r="D77" s="67">
        <f>town_vehicles[[#This Row],[Vehicles]]/SUM(town_vehicles[Vehicles])</f>
        <v>5.2079093285573438E-3</v>
      </c>
      <c r="E77" s="67">
        <f>town_vehicles[[#This Row],[Share of State Vehicles]]/INDEX(regional_vehicles[Share of State Vehicles],MATCH(town_vehicles[[#This Row],[Regional Planning Commission]],regional_vehicles[Regional Planning Commission]))</f>
        <v>9.1403397364661063E-2</v>
      </c>
    </row>
    <row r="78" spans="1:5" x14ac:dyDescent="0.25">
      <c r="A78" t="s">
        <v>242</v>
      </c>
      <c r="B78" t="s">
        <v>105</v>
      </c>
      <c r="C78" s="7">
        <v>1136</v>
      </c>
      <c r="D78" s="67">
        <f>town_vehicles[[#This Row],[Vehicles]]/SUM(town_vehicles[Vehicles])</f>
        <v>2.5689036027968484E-3</v>
      </c>
      <c r="E78" s="67">
        <f>town_vehicles[[#This Row],[Share of State Vehicles]]/INDEX(regional_vehicles[Share of State Vehicles],MATCH(town_vehicles[[#This Row],[Regional Planning Commission]],regional_vehicles[Regional Planning Commission]))</f>
        <v>2.8567836036715703E-2</v>
      </c>
    </row>
    <row r="79" spans="1:5" x14ac:dyDescent="0.25">
      <c r="A79" t="s">
        <v>243</v>
      </c>
      <c r="B79" t="s">
        <v>105</v>
      </c>
      <c r="C79" s="7">
        <v>1059</v>
      </c>
      <c r="D79" s="67">
        <f>town_vehicles[[#This Row],[Vehicles]]/SUM(town_vehicles[Vehicles])</f>
        <v>2.3947789747903719E-3</v>
      </c>
      <c r="E79" s="67">
        <f>town_vehicles[[#This Row],[Share of State Vehicles]]/INDEX(regional_vehicles[Share of State Vehicles],MATCH(town_vehicles[[#This Row],[Regional Planning Commission]],regional_vehicles[Regional Planning Commission]))</f>
        <v>2.6631459826480571E-2</v>
      </c>
    </row>
    <row r="80" spans="1:5" x14ac:dyDescent="0.25">
      <c r="A80" t="s">
        <v>244</v>
      </c>
      <c r="B80" t="s">
        <v>105</v>
      </c>
      <c r="C80" s="7">
        <v>3416</v>
      </c>
      <c r="D80" s="67">
        <f>town_vehicles[[#This Row],[Vehicles]]/SUM(town_vehicles[Vehicles])</f>
        <v>7.7248016788327772E-3</v>
      </c>
      <c r="E80" s="67">
        <f>town_vehicles[[#This Row],[Share of State Vehicles]]/INDEX(regional_vehicles[Share of State Vehicles],MATCH(town_vehicles[[#This Row],[Regional Planning Commission]],regional_vehicles[Regional Planning Commission]))</f>
        <v>8.5904690054067645E-2</v>
      </c>
    </row>
    <row r="81" spans="1:5" x14ac:dyDescent="0.25">
      <c r="A81" t="s">
        <v>363</v>
      </c>
      <c r="B81" t="s">
        <v>95</v>
      </c>
      <c r="C81" s="7">
        <v>12</v>
      </c>
      <c r="D81" s="67">
        <f>town_vehicles[[#This Row],[Vehicles]]/SUM(town_vehicles[Vehicles])</f>
        <v>2.7136305663346992E-5</v>
      </c>
      <c r="E81" s="67">
        <f>town_vehicles[[#This Row],[Share of State Vehicles]]/INDEX(regional_vehicles[Share of State Vehicles],MATCH(town_vehicles[[#This Row],[Regional Planning Commission]],regional_vehicles[Regional Planning Commission]))</f>
        <v>4.8510328657476654E-4</v>
      </c>
    </row>
    <row r="82" spans="1:5" x14ac:dyDescent="0.25">
      <c r="A82" t="s">
        <v>204</v>
      </c>
      <c r="B82" t="s">
        <v>103</v>
      </c>
      <c r="C82" s="7">
        <v>784</v>
      </c>
      <c r="D82" s="67">
        <f>town_vehicles[[#This Row],[Vehicles]]/SUM(town_vehicles[Vehicles])</f>
        <v>1.7729053033386701E-3</v>
      </c>
      <c r="E82" s="67">
        <f>town_vehicles[[#This Row],[Share of State Vehicles]]/INDEX(regional_vehicles[Share of State Vehicles],MATCH(town_vehicles[[#This Row],[Regional Planning Commission]],regional_vehicles[Regional Planning Commission]))</f>
        <v>1.756036375039197E-2</v>
      </c>
    </row>
    <row r="83" spans="1:5" x14ac:dyDescent="0.25">
      <c r="A83" t="s">
        <v>102</v>
      </c>
      <c r="B83" t="s">
        <v>93</v>
      </c>
      <c r="C83" s="7">
        <v>153</v>
      </c>
      <c r="D83" s="67">
        <f>town_vehicles[[#This Row],[Vehicles]]/SUM(town_vehicles[Vehicles])</f>
        <v>3.4598789720767417E-4</v>
      </c>
      <c r="E83" s="67">
        <f>town_vehicles[[#This Row],[Share of State Vehicles]]/INDEX(regional_vehicles[Share of State Vehicles],MATCH(town_vehicles[[#This Row],[Regional Planning Commission]],regional_vehicles[Regional Planning Commission]))</f>
        <v>6.0723924432449601E-3</v>
      </c>
    </row>
    <row r="84" spans="1:5" x14ac:dyDescent="0.25">
      <c r="A84" t="s">
        <v>328</v>
      </c>
      <c r="B84" t="s">
        <v>113</v>
      </c>
      <c r="C84" s="7">
        <v>535</v>
      </c>
      <c r="D84" s="67">
        <f>town_vehicles[[#This Row],[Vehicles]]/SUM(town_vehicles[Vehicles])</f>
        <v>1.2098269608242201E-3</v>
      </c>
      <c r="E84" s="67">
        <f>town_vehicles[[#This Row],[Share of State Vehicles]]/INDEX(regional_vehicles[Share of State Vehicles],MATCH(town_vehicles[[#This Row],[Regional Planning Commission]],regional_vehicles[Regional Planning Commission]))</f>
        <v>1.5764504817750536E-2</v>
      </c>
    </row>
    <row r="85" spans="1:5" x14ac:dyDescent="0.25">
      <c r="A85" t="s">
        <v>205</v>
      </c>
      <c r="B85" t="s">
        <v>103</v>
      </c>
      <c r="C85" s="7">
        <v>87</v>
      </c>
      <c r="D85" s="67">
        <f>town_vehicles[[#This Row],[Vehicles]]/SUM(town_vehicles[Vehicles])</f>
        <v>1.9673821605926568E-4</v>
      </c>
      <c r="E85" s="67">
        <f>town_vehicles[[#This Row],[Share of State Vehicles]]/INDEX(regional_vehicles[Share of State Vehicles],MATCH(town_vehicles[[#This Row],[Regional Planning Commission]],regional_vehicles[Regional Planning Commission]))</f>
        <v>1.9486628141378842E-3</v>
      </c>
    </row>
    <row r="86" spans="1:5" x14ac:dyDescent="0.25">
      <c r="A86" t="s">
        <v>245</v>
      </c>
      <c r="B86" t="s">
        <v>105</v>
      </c>
      <c r="C86" s="7">
        <v>1792</v>
      </c>
      <c r="D86" s="67">
        <f>town_vehicles[[#This Row],[Vehicles]]/SUM(town_vehicles[Vehicles])</f>
        <v>4.0523549790598178E-3</v>
      </c>
      <c r="E86" s="67">
        <f>town_vehicles[[#This Row],[Share of State Vehicles]]/INDEX(regional_vehicles[Share of State Vehicles],MATCH(town_vehicles[[#This Row],[Regional Planning Commission]],regional_vehicles[Regional Planning Commission]))</f>
        <v>4.5064755438199426E-2</v>
      </c>
    </row>
    <row r="87" spans="1:5" x14ac:dyDescent="0.25">
      <c r="A87" t="s">
        <v>302</v>
      </c>
      <c r="B87" t="s">
        <v>111</v>
      </c>
      <c r="C87" s="7">
        <v>268</v>
      </c>
      <c r="D87" s="67">
        <f>town_vehicles[[#This Row],[Vehicles]]/SUM(town_vehicles[Vehicles])</f>
        <v>6.0604415981474946E-4</v>
      </c>
      <c r="E87" s="67">
        <f>town_vehicles[[#This Row],[Share of State Vehicles]]/INDEX(regional_vehicles[Share of State Vehicles],MATCH(town_vehicles[[#This Row],[Regional Planning Commission]],regional_vehicles[Regional Planning Commission]))</f>
        <v>6.289013000422396E-3</v>
      </c>
    </row>
    <row r="88" spans="1:5" x14ac:dyDescent="0.25">
      <c r="A88" t="s">
        <v>206</v>
      </c>
      <c r="B88" t="s">
        <v>103</v>
      </c>
      <c r="C88" s="7">
        <v>603</v>
      </c>
      <c r="D88" s="67">
        <f>town_vehicles[[#This Row],[Vehicles]]/SUM(town_vehicles[Vehicles])</f>
        <v>1.3635993595831864E-3</v>
      </c>
      <c r="E88" s="67">
        <f>town_vehicles[[#This Row],[Share of State Vehicles]]/INDEX(regional_vehicles[Share of State Vehicles],MATCH(town_vehicles[[#This Row],[Regional Planning Commission]],regional_vehicles[Regional Planning Commission]))</f>
        <v>1.3506249160059129E-2</v>
      </c>
    </row>
    <row r="89" spans="1:5" x14ac:dyDescent="0.25">
      <c r="A89" t="s">
        <v>207</v>
      </c>
      <c r="B89" t="s">
        <v>103</v>
      </c>
      <c r="C89" s="7">
        <v>707</v>
      </c>
      <c r="D89" s="67">
        <f>town_vehicles[[#This Row],[Vehicles]]/SUM(town_vehicles[Vehicles])</f>
        <v>1.5987806753321935E-3</v>
      </c>
      <c r="E89" s="67">
        <f>town_vehicles[[#This Row],[Share of State Vehicles]]/INDEX(regional_vehicles[Share of State Vehicles],MATCH(town_vehicles[[#This Row],[Regional Planning Commission]],regional_vehicles[Regional Planning Commission]))</f>
        <v>1.5835685167764187E-2</v>
      </c>
    </row>
    <row r="90" spans="1:5" x14ac:dyDescent="0.25">
      <c r="A90" t="s">
        <v>208</v>
      </c>
      <c r="B90" t="s">
        <v>103</v>
      </c>
      <c r="C90" s="7">
        <v>185</v>
      </c>
      <c r="D90" s="67">
        <f>town_vehicles[[#This Row],[Vehicles]]/SUM(town_vehicles[Vehicles])</f>
        <v>4.1835137897659947E-4</v>
      </c>
      <c r="E90" s="67">
        <f>town_vehicles[[#This Row],[Share of State Vehicles]]/INDEX(regional_vehicles[Share of State Vehicles],MATCH(town_vehicles[[#This Row],[Regional Planning Commission]],regional_vehicles[Regional Planning Commission]))</f>
        <v>4.1437082829368808E-3</v>
      </c>
    </row>
    <row r="91" spans="1:5" x14ac:dyDescent="0.25">
      <c r="A91" t="s">
        <v>329</v>
      </c>
      <c r="B91" t="s">
        <v>113</v>
      </c>
      <c r="C91" s="7">
        <v>1798</v>
      </c>
      <c r="D91" s="67">
        <f>town_vehicles[[#This Row],[Vehicles]]/SUM(town_vehicles[Vehicles])</f>
        <v>4.0659231318914907E-3</v>
      </c>
      <c r="E91" s="67">
        <f>town_vehicles[[#This Row],[Share of State Vehicles]]/INDEX(regional_vehicles[Share of State Vehicles],MATCH(town_vehicles[[#This Row],[Regional Planning Commission]],regional_vehicles[Regional Planning Commission]))</f>
        <v>5.2980522733299923E-2</v>
      </c>
    </row>
    <row r="92" spans="1:5" x14ac:dyDescent="0.25">
      <c r="A92" t="s">
        <v>330</v>
      </c>
      <c r="B92" t="s">
        <v>113</v>
      </c>
      <c r="C92" s="7">
        <v>624</v>
      </c>
      <c r="D92" s="67">
        <f>town_vehicles[[#This Row],[Vehicles]]/SUM(town_vehicles[Vehicles])</f>
        <v>1.4110878944940436E-3</v>
      </c>
      <c r="E92" s="67">
        <f>town_vehicles[[#This Row],[Share of State Vehicles]]/INDEX(regional_vehicles[Share of State Vehicles],MATCH(town_vehicles[[#This Row],[Regional Planning Commission]],regional_vehicles[Regional Planning Commission]))</f>
        <v>1.8387011226684735E-2</v>
      </c>
    </row>
    <row r="93" spans="1:5" x14ac:dyDescent="0.25">
      <c r="A93" t="s">
        <v>303</v>
      </c>
      <c r="B93" t="s">
        <v>111</v>
      </c>
      <c r="C93" s="7">
        <v>279</v>
      </c>
      <c r="D93" s="67">
        <f>town_vehicles[[#This Row],[Vehicles]]/SUM(town_vehicles[Vehicles])</f>
        <v>6.3091910667281757E-4</v>
      </c>
      <c r="E93" s="67">
        <f>town_vehicles[[#This Row],[Share of State Vehicles]]/INDEX(regional_vehicles[Share of State Vehicles],MATCH(town_vehicles[[#This Row],[Regional Planning Commission]],regional_vehicles[Regional Planning Commission]))</f>
        <v>6.5471441310367478E-3</v>
      </c>
    </row>
    <row r="94" spans="1:5" x14ac:dyDescent="0.25">
      <c r="A94" t="s">
        <v>209</v>
      </c>
      <c r="B94" t="s">
        <v>103</v>
      </c>
      <c r="C94" s="7">
        <v>1973</v>
      </c>
      <c r="D94" s="67">
        <f>town_vehicles[[#This Row],[Vehicles]]/SUM(town_vehicles[Vehicles])</f>
        <v>4.4616609228153008E-3</v>
      </c>
      <c r="E94" s="67">
        <f>town_vehicles[[#This Row],[Share of State Vehicles]]/INDEX(regional_vehicles[Share of State Vehicles],MATCH(town_vehicles[[#This Row],[Regional Planning Commission]],regional_vehicles[Regional Planning Commission]))</f>
        <v>4.419208887694305E-2</v>
      </c>
    </row>
    <row r="95" spans="1:5" x14ac:dyDescent="0.25">
      <c r="A95" t="s">
        <v>304</v>
      </c>
      <c r="B95" t="s">
        <v>111</v>
      </c>
      <c r="C95" s="7">
        <v>6841</v>
      </c>
      <c r="D95" s="67">
        <f>town_vehicles[[#This Row],[Vehicles]]/SUM(town_vehicles[Vehicles])</f>
        <v>1.5469955586913064E-2</v>
      </c>
      <c r="E95" s="67">
        <f>town_vehicles[[#This Row],[Share of State Vehicles]]/INDEX(regional_vehicles[Share of State Vehicles],MATCH(town_vehicles[[#This Row],[Regional Planning Commission]],regional_vehicles[Regional Planning Commission]))</f>
        <v>0.16053409677570749</v>
      </c>
    </row>
    <row r="96" spans="1:5" x14ac:dyDescent="0.25">
      <c r="A96" t="s">
        <v>305</v>
      </c>
      <c r="B96" t="s">
        <v>111</v>
      </c>
      <c r="C96" s="7">
        <v>2595</v>
      </c>
      <c r="D96" s="67">
        <f>town_vehicles[[#This Row],[Vehicles]]/SUM(town_vehicles[Vehicles])</f>
        <v>5.8682260996987872E-3</v>
      </c>
      <c r="E96" s="67">
        <f>town_vehicles[[#This Row],[Share of State Vehicles]]/INDEX(regional_vehicles[Share of State Vehicles],MATCH(town_vehicles[[#This Row],[Regional Planning Commission]],regional_vehicles[Regional Planning Commission]))</f>
        <v>6.0895480358567608E-2</v>
      </c>
    </row>
    <row r="97" spans="1:5" x14ac:dyDescent="0.25">
      <c r="A97" t="s">
        <v>246</v>
      </c>
      <c r="B97" t="s">
        <v>105</v>
      </c>
      <c r="C97" s="7">
        <v>2583</v>
      </c>
      <c r="D97" s="67">
        <f>town_vehicles[[#This Row],[Vehicles]]/SUM(town_vehicles[Vehicles])</f>
        <v>5.8410897940354397E-3</v>
      </c>
      <c r="E97" s="67">
        <f>town_vehicles[[#This Row],[Share of State Vehicles]]/INDEX(regional_vehicles[Share of State Vehicles],MATCH(town_vehicles[[#This Row],[Regional Planning Commission]],regional_vehicles[Regional Planning Commission]))</f>
        <v>6.4956620143342136E-2</v>
      </c>
    </row>
    <row r="98" spans="1:5" x14ac:dyDescent="0.25">
      <c r="A98" t="s">
        <v>165</v>
      </c>
      <c r="B98" t="s">
        <v>99</v>
      </c>
      <c r="C98" s="7">
        <v>3167</v>
      </c>
      <c r="D98" s="67">
        <f>town_vehicles[[#This Row],[Vehicles]]/SUM(town_vehicles[Vehicles])</f>
        <v>7.1617233363183265E-3</v>
      </c>
      <c r="E98" s="67">
        <f>town_vehicles[[#This Row],[Share of State Vehicles]]/INDEX(regional_vehicles[Share of State Vehicles],MATCH(town_vehicles[[#This Row],[Regional Planning Commission]],regional_vehicles[Regional Planning Commission]))</f>
        <v>2.9465398857483113E-2</v>
      </c>
    </row>
    <row r="99" spans="1:5" x14ac:dyDescent="0.25">
      <c r="A99" t="s">
        <v>210</v>
      </c>
      <c r="B99" t="s">
        <v>103</v>
      </c>
      <c r="C99" s="7">
        <v>511</v>
      </c>
      <c r="D99" s="67">
        <f>town_vehicles[[#This Row],[Vehicles]]/SUM(town_vehicles[Vehicles])</f>
        <v>1.155554349497526E-3</v>
      </c>
      <c r="E99" s="67">
        <f>town_vehicles[[#This Row],[Share of State Vehicles]]/INDEX(regional_vehicles[Share of State Vehicles],MATCH(town_vehicles[[#This Row],[Regional Planning Commission]],regional_vehicles[Regional Planning Commission]))</f>
        <v>1.1445594230166193E-2</v>
      </c>
    </row>
    <row r="100" spans="1:5" x14ac:dyDescent="0.25">
      <c r="A100" t="s">
        <v>263</v>
      </c>
      <c r="B100" t="s">
        <v>107</v>
      </c>
      <c r="C100" s="7">
        <v>574</v>
      </c>
      <c r="D100" s="67">
        <f>town_vehicles[[#This Row],[Vehicles]]/SUM(town_vehicles[Vehicles])</f>
        <v>1.2980199542300978E-3</v>
      </c>
      <c r="E100" s="67">
        <f>town_vehicles[[#This Row],[Share of State Vehicles]]/INDEX(regional_vehicles[Share of State Vehicles],MATCH(town_vehicles[[#This Row],[Regional Planning Commission]],regional_vehicles[Regional Planning Commission]))</f>
        <v>1.3463748739239556E-2</v>
      </c>
    </row>
    <row r="101" spans="1:5" x14ac:dyDescent="0.25">
      <c r="A101" t="s">
        <v>166</v>
      </c>
      <c r="B101" t="s">
        <v>99</v>
      </c>
      <c r="C101" s="7">
        <v>1420</v>
      </c>
      <c r="D101" s="67">
        <f>town_vehicles[[#This Row],[Vehicles]]/SUM(town_vehicles[Vehicles])</f>
        <v>3.2111295034960609E-3</v>
      </c>
      <c r="E101" s="67">
        <f>town_vehicles[[#This Row],[Share of State Vehicles]]/INDEX(regional_vehicles[Share of State Vehicles],MATCH(town_vehicles[[#This Row],[Regional Planning Commission]],regional_vehicles[Regional Planning Commission]))</f>
        <v>1.3211514486146518E-2</v>
      </c>
    </row>
    <row r="102" spans="1:5" x14ac:dyDescent="0.25">
      <c r="A102" t="s">
        <v>181</v>
      </c>
      <c r="B102" t="s">
        <v>101</v>
      </c>
      <c r="C102" s="7">
        <v>2332</v>
      </c>
      <c r="D102" s="67">
        <f>town_vehicles[[#This Row],[Vehicles]]/SUM(town_vehicles[Vehicles])</f>
        <v>5.2734887339104322E-3</v>
      </c>
      <c r="E102" s="67">
        <f>town_vehicles[[#This Row],[Share of State Vehicles]]/INDEX(regional_vehicles[Share of State Vehicles],MATCH(town_vehicles[[#This Row],[Regional Planning Commission]],regional_vehicles[Regional Planning Commission]))</f>
        <v>0.13091562342109694</v>
      </c>
    </row>
    <row r="103" spans="1:5" x14ac:dyDescent="0.25">
      <c r="A103" t="s">
        <v>264</v>
      </c>
      <c r="B103" t="s">
        <v>107</v>
      </c>
      <c r="C103" s="7">
        <v>339</v>
      </c>
      <c r="D103" s="67">
        <f>town_vehicles[[#This Row],[Vehicles]]/SUM(town_vehicles[Vehicles])</f>
        <v>7.6660063498955257E-4</v>
      </c>
      <c r="E103" s="67">
        <f>town_vehicles[[#This Row],[Share of State Vehicles]]/INDEX(regional_vehicles[Share of State Vehicles],MATCH(town_vehicles[[#This Row],[Regional Planning Commission]],regional_vehicles[Regional Planning Commission]))</f>
        <v>7.9515867989585539E-3</v>
      </c>
    </row>
    <row r="104" spans="1:5" x14ac:dyDescent="0.25">
      <c r="A104" t="s">
        <v>211</v>
      </c>
      <c r="B104" t="s">
        <v>103</v>
      </c>
      <c r="C104" s="7">
        <v>961</v>
      </c>
      <c r="D104" s="67">
        <f>town_vehicles[[#This Row],[Vehicles]]/SUM(town_vehicles[Vehicles])</f>
        <v>2.1731658118730383E-3</v>
      </c>
      <c r="E104" s="67">
        <f>town_vehicles[[#This Row],[Share of State Vehicles]]/INDEX(regional_vehicles[Share of State Vehicles],MATCH(town_vehicles[[#This Row],[Regional Planning Commission]],regional_vehicles[Regional Planning Commission]))</f>
        <v>2.1524884648120766E-2</v>
      </c>
    </row>
    <row r="105" spans="1:5" x14ac:dyDescent="0.25">
      <c r="A105" t="s">
        <v>247</v>
      </c>
      <c r="B105" t="s">
        <v>105</v>
      </c>
      <c r="C105" s="7">
        <v>393</v>
      </c>
      <c r="D105" s="67">
        <f>town_vehicles[[#This Row],[Vehicles]]/SUM(town_vehicles[Vehicles])</f>
        <v>8.8871401047461399E-4</v>
      </c>
      <c r="E105" s="67">
        <f>town_vehicles[[#This Row],[Share of State Vehicles]]/INDEX(regional_vehicles[Share of State Vehicles],MATCH(town_vehicles[[#This Row],[Regional Planning Commission]],regional_vehicles[Regional Planning Commission]))</f>
        <v>9.883062995096191E-3</v>
      </c>
    </row>
    <row r="106" spans="1:5" x14ac:dyDescent="0.25">
      <c r="A106" t="s">
        <v>331</v>
      </c>
      <c r="B106" t="s">
        <v>113</v>
      </c>
      <c r="C106" s="7">
        <v>732</v>
      </c>
      <c r="D106" s="67">
        <f>town_vehicles[[#This Row],[Vehicles]]/SUM(town_vehicles[Vehicles])</f>
        <v>1.6553146454641665E-3</v>
      </c>
      <c r="E106" s="67">
        <f>town_vehicles[[#This Row],[Share of State Vehicles]]/INDEX(regional_vehicles[Share of State Vehicles],MATCH(town_vehicles[[#This Row],[Regional Planning Commission]],regional_vehicles[Regional Planning Commission]))</f>
        <v>2.156937855438017E-2</v>
      </c>
    </row>
    <row r="107" spans="1:5" x14ac:dyDescent="0.25">
      <c r="A107" t="s">
        <v>212</v>
      </c>
      <c r="B107" t="s">
        <v>103</v>
      </c>
      <c r="C107" s="7">
        <v>557</v>
      </c>
      <c r="D107" s="67">
        <f>town_vehicles[[#This Row],[Vehicles]]/SUM(town_vehicles[Vehicles])</f>
        <v>1.2595768545403561E-3</v>
      </c>
      <c r="E107" s="67">
        <f>town_vehicles[[#This Row],[Share of State Vehicles]]/INDEX(regional_vehicles[Share of State Vehicles],MATCH(town_vehicles[[#This Row],[Regional Planning Commission]],regional_vehicles[Regional Planning Commission]))</f>
        <v>1.2475921695112661E-2</v>
      </c>
    </row>
    <row r="108" spans="1:5" x14ac:dyDescent="0.25">
      <c r="A108" t="s">
        <v>167</v>
      </c>
      <c r="B108" t="s">
        <v>99</v>
      </c>
      <c r="C108" s="7">
        <v>3971</v>
      </c>
      <c r="D108" s="67">
        <f>town_vehicles[[#This Row],[Vehicles]]/SUM(town_vehicles[Vehicles])</f>
        <v>8.9798558157625757E-3</v>
      </c>
      <c r="E108" s="67">
        <f>town_vehicles[[#This Row],[Share of State Vehicles]]/INDEX(regional_vehicles[Share of State Vehicles],MATCH(town_vehicles[[#This Row],[Regional Planning Commission]],regional_vehicles[Regional Planning Commission]))</f>
        <v>3.694572114400551E-2</v>
      </c>
    </row>
    <row r="109" spans="1:5" x14ac:dyDescent="0.25">
      <c r="A109" t="s">
        <v>182</v>
      </c>
      <c r="B109" t="s">
        <v>101</v>
      </c>
      <c r="C109" s="7">
        <v>1847</v>
      </c>
      <c r="D109" s="67">
        <f>town_vehicles[[#This Row],[Vehicles]]/SUM(town_vehicles[Vehicles])</f>
        <v>4.1767297133501581E-3</v>
      </c>
      <c r="E109" s="67">
        <f>town_vehicles[[#This Row],[Share of State Vehicles]]/INDEX(regional_vehicles[Share of State Vehicles],MATCH(town_vehicles[[#This Row],[Regional Planning Commission]],regional_vehicles[Regional Planning Commission]))</f>
        <v>0.1036883175209117</v>
      </c>
    </row>
    <row r="110" spans="1:5" x14ac:dyDescent="0.25">
      <c r="A110" t="s">
        <v>275</v>
      </c>
      <c r="B110" t="s">
        <v>107</v>
      </c>
      <c r="C110" s="7">
        <v>772</v>
      </c>
      <c r="D110" s="67">
        <f>town_vehicles[[#This Row],[Vehicles]]/SUM(town_vehicles[Vehicles])</f>
        <v>1.7457689976753232E-3</v>
      </c>
      <c r="E110" s="67">
        <f>town_vehicles[[#This Row],[Share of State Vehicles]]/INDEX(regional_vehicles[Share of State Vehicles],MATCH(town_vehicles[[#This Row],[Regional Planning Commission]],regional_vehicles[Regional Planning Commission]))</f>
        <v>1.8108038374029509E-2</v>
      </c>
    </row>
    <row r="111" spans="1:5" x14ac:dyDescent="0.25">
      <c r="A111" t="s">
        <v>213</v>
      </c>
      <c r="B111" t="s">
        <v>103</v>
      </c>
      <c r="C111" s="7">
        <v>319</v>
      </c>
      <c r="D111" s="67">
        <f>town_vehicles[[#This Row],[Vehicles]]/SUM(town_vehicles[Vehicles])</f>
        <v>7.213734588839742E-4</v>
      </c>
      <c r="E111" s="67">
        <f>town_vehicles[[#This Row],[Share of State Vehicles]]/INDEX(regional_vehicles[Share of State Vehicles],MATCH(town_vehicles[[#This Row],[Regional Planning Commission]],regional_vehicles[Regional Planning Commission]))</f>
        <v>7.1450969851722425E-3</v>
      </c>
    </row>
    <row r="112" spans="1:5" x14ac:dyDescent="0.25">
      <c r="A112" t="s">
        <v>127</v>
      </c>
      <c r="B112" t="s">
        <v>95</v>
      </c>
      <c r="C112" s="7">
        <v>104</v>
      </c>
      <c r="D112" s="67">
        <f>town_vehicles[[#This Row],[Vehicles]]/SUM(town_vehicles[Vehicles])</f>
        <v>2.3518131574900726E-4</v>
      </c>
      <c r="E112" s="67">
        <f>town_vehicles[[#This Row],[Share of State Vehicles]]/INDEX(regional_vehicles[Share of State Vehicles],MATCH(town_vehicles[[#This Row],[Regional Planning Commission]],regional_vehicles[Regional Planning Commission]))</f>
        <v>4.2042284836479767E-3</v>
      </c>
    </row>
    <row r="113" spans="1:5" x14ac:dyDescent="0.25">
      <c r="A113" t="s">
        <v>104</v>
      </c>
      <c r="B113" t="s">
        <v>93</v>
      </c>
      <c r="C113" s="7">
        <v>933</v>
      </c>
      <c r="D113" s="67">
        <f>town_vehicles[[#This Row],[Vehicles]]/SUM(town_vehicles[Vehicles])</f>
        <v>2.1098477653252287E-3</v>
      </c>
      <c r="E113" s="67">
        <f>town_vehicles[[#This Row],[Share of State Vehicles]]/INDEX(regional_vehicles[Share of State Vehicles],MATCH(town_vehicles[[#This Row],[Regional Planning Commission]],regional_vehicles[Regional Planning Commission]))</f>
        <v>3.7029687251944755E-2</v>
      </c>
    </row>
    <row r="114" spans="1:5" x14ac:dyDescent="0.25">
      <c r="A114" t="s">
        <v>364</v>
      </c>
      <c r="B114" t="s">
        <v>103</v>
      </c>
      <c r="C114" s="7">
        <v>102</v>
      </c>
      <c r="D114" s="67">
        <f>town_vehicles[[#This Row],[Vehicles]]/SUM(town_vehicles[Vehicles])</f>
        <v>2.3065859813844943E-4</v>
      </c>
      <c r="E114" s="67">
        <f>town_vehicles[[#This Row],[Share of State Vehicles]]/INDEX(regional_vehicles[Share of State Vehicles],MATCH(town_vehicles[[#This Row],[Regional Planning Commission]],regional_vehicles[Regional Planning Commission]))</f>
        <v>2.2846391614030365E-3</v>
      </c>
    </row>
    <row r="115" spans="1:5" x14ac:dyDescent="0.25">
      <c r="A115" t="s">
        <v>365</v>
      </c>
      <c r="B115" t="s">
        <v>103</v>
      </c>
      <c r="C115" s="7">
        <v>0</v>
      </c>
      <c r="D115" s="67">
        <f>town_vehicles[[#This Row],[Vehicles]]/SUM(town_vehicles[Vehicles])</f>
        <v>0</v>
      </c>
      <c r="E115" s="67">
        <f>town_vehicles[[#This Row],[Share of State Vehicles]]/INDEX(regional_vehicles[Share of State Vehicles],MATCH(town_vehicles[[#This Row],[Regional Planning Commission]],regional_vehicles[Regional Planning Commission]))</f>
        <v>0</v>
      </c>
    </row>
    <row r="116" spans="1:5" x14ac:dyDescent="0.25">
      <c r="A116" t="s">
        <v>106</v>
      </c>
      <c r="B116" t="s">
        <v>93</v>
      </c>
      <c r="C116" s="7">
        <v>1012</v>
      </c>
      <c r="D116" s="67">
        <f>town_vehicles[[#This Row],[Vehicles]]/SUM(town_vehicles[Vehicles])</f>
        <v>2.288495110942263E-3</v>
      </c>
      <c r="E116" s="67">
        <f>town_vehicles[[#This Row],[Share of State Vehicles]]/INDEX(regional_vehicles[Share of State Vehicles],MATCH(town_vehicles[[#This Row],[Regional Planning Commission]],regional_vehicles[Regional Planning Commission]))</f>
        <v>4.0165105572313065E-2</v>
      </c>
    </row>
    <row r="117" spans="1:5" x14ac:dyDescent="0.25">
      <c r="A117" t="s">
        <v>332</v>
      </c>
      <c r="B117" t="s">
        <v>113</v>
      </c>
      <c r="C117" s="7">
        <v>1322</v>
      </c>
      <c r="D117" s="67">
        <f>town_vehicles[[#This Row],[Vehicles]]/SUM(town_vehicles[Vehicles])</f>
        <v>2.9895163405787269E-3</v>
      </c>
      <c r="E117" s="67">
        <f>town_vehicles[[#This Row],[Share of State Vehicles]]/INDEX(regional_vehicles[Share of State Vehicles],MATCH(town_vehicles[[#This Row],[Regional Planning Commission]],regional_vehicles[Regional Planning Commission]))</f>
        <v>3.8954533400123746E-2</v>
      </c>
    </row>
    <row r="118" spans="1:5" x14ac:dyDescent="0.25">
      <c r="A118" t="s">
        <v>214</v>
      </c>
      <c r="B118" t="s">
        <v>103</v>
      </c>
      <c r="C118" s="7">
        <v>566</v>
      </c>
      <c r="D118" s="67">
        <f>town_vehicles[[#This Row],[Vehicles]]/SUM(town_vehicles[Vehicles])</f>
        <v>1.2799290837878664E-3</v>
      </c>
      <c r="E118" s="67">
        <f>town_vehicles[[#This Row],[Share of State Vehicles]]/INDEX(regional_vehicles[Share of State Vehicles],MATCH(town_vehicles[[#This Row],[Regional Planning Commission]],regional_vehicles[Regional Planning Commission]))</f>
        <v>1.2677507503471751E-2</v>
      </c>
    </row>
    <row r="119" spans="1:5" x14ac:dyDescent="0.25">
      <c r="A119" t="s">
        <v>287</v>
      </c>
      <c r="B119" t="s">
        <v>109</v>
      </c>
      <c r="C119" s="7">
        <v>1575</v>
      </c>
      <c r="D119" s="67">
        <f>town_vehicles[[#This Row],[Vehicles]]/SUM(town_vehicles[Vehicles])</f>
        <v>3.5616401183142929E-3</v>
      </c>
      <c r="E119" s="67">
        <f>town_vehicles[[#This Row],[Share of State Vehicles]]/INDEX(regional_vehicles[Share of State Vehicles],MATCH(town_vehicles[[#This Row],[Regional Planning Commission]],regional_vehicles[Regional Planning Commission]))</f>
        <v>8.7611948600990169E-2</v>
      </c>
    </row>
    <row r="120" spans="1:5" x14ac:dyDescent="0.25">
      <c r="A120" t="s">
        <v>215</v>
      </c>
      <c r="B120" t="s">
        <v>103</v>
      </c>
      <c r="C120" s="7">
        <v>1030</v>
      </c>
      <c r="D120" s="67">
        <f>town_vehicles[[#This Row],[Vehicles]]/SUM(town_vehicles[Vehicles])</f>
        <v>2.3291995694372835E-3</v>
      </c>
      <c r="E120" s="67">
        <f>town_vehicles[[#This Row],[Share of State Vehicles]]/INDEX(regional_vehicles[Share of State Vehicles],MATCH(town_vehicles[[#This Row],[Regional Planning Commission]],regional_vehicles[Regional Planning Commission]))</f>
        <v>2.3070375845540468E-2</v>
      </c>
    </row>
    <row r="121" spans="1:5" x14ac:dyDescent="0.25">
      <c r="A121" t="s">
        <v>216</v>
      </c>
      <c r="B121" t="s">
        <v>103</v>
      </c>
      <c r="C121" s="7">
        <v>3631</v>
      </c>
      <c r="D121" s="67">
        <f>town_vehicles[[#This Row],[Vehicles]]/SUM(town_vehicles[Vehicles])</f>
        <v>8.2109938219677436E-3</v>
      </c>
      <c r="E121" s="67">
        <f>town_vehicles[[#This Row],[Share of State Vehicles]]/INDEX(regional_vehicles[Share of State Vehicles],MATCH(town_vehicles[[#This Row],[Regional Planning Commission]],regional_vehicles[Regional Planning Commission]))</f>
        <v>8.1328674461317904E-2</v>
      </c>
    </row>
    <row r="122" spans="1:5" x14ac:dyDescent="0.25">
      <c r="A122" t="s">
        <v>217</v>
      </c>
      <c r="B122" t="s">
        <v>103</v>
      </c>
      <c r="C122" s="7">
        <v>190</v>
      </c>
      <c r="D122" s="67">
        <f>town_vehicles[[#This Row],[Vehicles]]/SUM(town_vehicles[Vehicles])</f>
        <v>4.2965817300299406E-4</v>
      </c>
      <c r="E122" s="67">
        <f>town_vehicles[[#This Row],[Share of State Vehicles]]/INDEX(regional_vehicles[Share of State Vehicles],MATCH(town_vehicles[[#This Row],[Regional Planning Commission]],regional_vehicles[Regional Planning Commission]))</f>
        <v>4.2557003986919313E-3</v>
      </c>
    </row>
    <row r="123" spans="1:5" x14ac:dyDescent="0.25">
      <c r="A123" t="s">
        <v>128</v>
      </c>
      <c r="B123" t="s">
        <v>95</v>
      </c>
      <c r="C123" s="7">
        <v>3055</v>
      </c>
      <c r="D123" s="67">
        <f>town_vehicles[[#This Row],[Vehicles]]/SUM(town_vehicles[Vehicles])</f>
        <v>6.9084511501270882E-3</v>
      </c>
      <c r="E123" s="67">
        <f>town_vehicles[[#This Row],[Share of State Vehicles]]/INDEX(regional_vehicles[Share of State Vehicles],MATCH(town_vehicles[[#This Row],[Regional Planning Commission]],regional_vehicles[Regional Planning Commission]))</f>
        <v>0.12349921170715931</v>
      </c>
    </row>
    <row r="124" spans="1:5" x14ac:dyDescent="0.25">
      <c r="A124" t="s">
        <v>333</v>
      </c>
      <c r="B124" t="s">
        <v>113</v>
      </c>
      <c r="C124" s="7">
        <v>688</v>
      </c>
      <c r="D124" s="67">
        <f>town_vehicles[[#This Row],[Vehicles]]/SUM(town_vehicles[Vehicles])</f>
        <v>1.5558148580318942E-3</v>
      </c>
      <c r="E124" s="67">
        <f>town_vehicles[[#This Row],[Share of State Vehicles]]/INDEX(regional_vehicles[Share of State Vehicles],MATCH(town_vehicles[[#This Row],[Regional Planning Commission]],regional_vehicles[Regional Planning Commission]))</f>
        <v>2.0272858531985734E-2</v>
      </c>
    </row>
    <row r="125" spans="1:5" x14ac:dyDescent="0.25">
      <c r="A125" t="s">
        <v>145</v>
      </c>
      <c r="B125" t="s">
        <v>97</v>
      </c>
      <c r="C125" s="7">
        <v>1193</v>
      </c>
      <c r="D125" s="67">
        <f>town_vehicles[[#This Row],[Vehicles]]/SUM(town_vehicles[Vehicles])</f>
        <v>2.6978010546977469E-3</v>
      </c>
      <c r="E125" s="67">
        <f>town_vehicles[[#This Row],[Share of State Vehicles]]/INDEX(regional_vehicles[Share of State Vehicles],MATCH(town_vehicles[[#This Row],[Regional Planning Commission]],regional_vehicles[Regional Planning Commission]))</f>
        <v>2.6270589271558183E-2</v>
      </c>
    </row>
    <row r="126" spans="1:5" x14ac:dyDescent="0.25">
      <c r="A126" t="s">
        <v>265</v>
      </c>
      <c r="B126" t="s">
        <v>107</v>
      </c>
      <c r="C126" s="7">
        <v>823</v>
      </c>
      <c r="D126" s="67">
        <f>town_vehicles[[#This Row],[Vehicles]]/SUM(town_vehicles[Vehicles])</f>
        <v>1.8610982967445478E-3</v>
      </c>
      <c r="E126" s="67">
        <f>town_vehicles[[#This Row],[Share of State Vehicles]]/INDEX(regional_vehicles[Share of State Vehicles],MATCH(town_vehicles[[#This Row],[Regional Planning Commission]],regional_vehicles[Regional Planning Commission]))</f>
        <v>1.9304294795111768E-2</v>
      </c>
    </row>
    <row r="127" spans="1:5" x14ac:dyDescent="0.25">
      <c r="A127" t="s">
        <v>108</v>
      </c>
      <c r="B127" t="s">
        <v>93</v>
      </c>
      <c r="C127" s="7">
        <v>3946</v>
      </c>
      <c r="D127" s="67">
        <f>town_vehicles[[#This Row],[Vehicles]]/SUM(town_vehicles[Vehicles])</f>
        <v>8.9233218456306017E-3</v>
      </c>
      <c r="E127" s="67">
        <f>town_vehicles[[#This Row],[Share of State Vehicles]]/INDEX(regional_vehicles[Share of State Vehicles],MATCH(town_vehicles[[#This Row],[Regional Planning Commission]],regional_vehicles[Regional Planning Commission]))</f>
        <v>0.15661216066042227</v>
      </c>
    </row>
    <row r="128" spans="1:5" x14ac:dyDescent="0.25">
      <c r="A128" t="s">
        <v>146</v>
      </c>
      <c r="B128" t="s">
        <v>97</v>
      </c>
      <c r="C128" s="7">
        <v>1478</v>
      </c>
      <c r="D128" s="67">
        <f>town_vehicles[[#This Row],[Vehicles]]/SUM(town_vehicles[Vehicles])</f>
        <v>3.3422883142022377E-3</v>
      </c>
      <c r="E128" s="67">
        <f>town_vehicles[[#This Row],[Share of State Vehicles]]/INDEX(regional_vehicles[Share of State Vehicles],MATCH(town_vehicles[[#This Row],[Regional Planning Commission]],regional_vehicles[Regional Planning Commission]))</f>
        <v>3.2546463489826483E-2</v>
      </c>
    </row>
    <row r="129" spans="1:5" x14ac:dyDescent="0.25">
      <c r="A129" t="s">
        <v>266</v>
      </c>
      <c r="B129" t="s">
        <v>107</v>
      </c>
      <c r="C129" s="7">
        <v>640</v>
      </c>
      <c r="D129" s="67">
        <f>town_vehicles[[#This Row],[Vehicles]]/SUM(town_vehicles[Vehicles])</f>
        <v>1.4472696353785063E-3</v>
      </c>
      <c r="E129" s="67">
        <f>town_vehicles[[#This Row],[Share of State Vehicles]]/INDEX(regional_vehicles[Share of State Vehicles],MATCH(town_vehicles[[#This Row],[Regional Planning Commission]],regional_vehicles[Regional Planning Commission]))</f>
        <v>1.5011845284169541E-2</v>
      </c>
    </row>
    <row r="130" spans="1:5" x14ac:dyDescent="0.25">
      <c r="A130" t="s">
        <v>168</v>
      </c>
      <c r="B130" t="s">
        <v>99</v>
      </c>
      <c r="C130" s="7">
        <v>7984</v>
      </c>
      <c r="D130" s="67">
        <f>town_vehicles[[#This Row],[Vehicles]]/SUM(town_vehicles[Vehicles])</f>
        <v>1.8054688701346865E-2</v>
      </c>
      <c r="E130" s="67">
        <f>town_vehicles[[#This Row],[Share of State Vehicles]]/INDEX(regional_vehicles[Share of State Vehicles],MATCH(town_vehicles[[#This Row],[Regional Planning Commission]],regional_vehicles[Regional Planning Commission]))</f>
        <v>7.4282205392530845E-2</v>
      </c>
    </row>
    <row r="131" spans="1:5" x14ac:dyDescent="0.25">
      <c r="A131" t="s">
        <v>110</v>
      </c>
      <c r="B131" t="s">
        <v>93</v>
      </c>
      <c r="C131" s="7">
        <v>1679</v>
      </c>
      <c r="D131" s="67">
        <f>town_vehicles[[#This Row],[Vehicles]]/SUM(town_vehicles[Vehicles])</f>
        <v>3.7968214340632998E-3</v>
      </c>
      <c r="E131" s="67">
        <f>town_vehicles[[#This Row],[Share of State Vehicles]]/INDEX(regional_vehicles[Share of State Vehicles],MATCH(town_vehicles[[#This Row],[Regional Planning Commission]],regional_vehicles[Regional Planning Commission]))</f>
        <v>6.6637561517701227E-2</v>
      </c>
    </row>
    <row r="132" spans="1:5" x14ac:dyDescent="0.25">
      <c r="A132" t="s">
        <v>248</v>
      </c>
      <c r="B132" t="s">
        <v>105</v>
      </c>
      <c r="C132" s="7">
        <v>841</v>
      </c>
      <c r="D132" s="67">
        <f>town_vehicles[[#This Row],[Vehicles]]/SUM(town_vehicles[Vehicles])</f>
        <v>1.9018027552395683E-3</v>
      </c>
      <c r="E132" s="67">
        <f>town_vehicles[[#This Row],[Share of State Vehicles]]/INDEX(regional_vehicles[Share of State Vehicles],MATCH(town_vehicles[[#This Row],[Regional Planning Commission]],regional_vehicles[Regional Planning Commission]))</f>
        <v>2.1149251854646046E-2</v>
      </c>
    </row>
    <row r="133" spans="1:5" x14ac:dyDescent="0.25">
      <c r="A133" t="s">
        <v>147</v>
      </c>
      <c r="B133" t="s">
        <v>97</v>
      </c>
      <c r="C133" s="7">
        <v>4685</v>
      </c>
      <c r="D133" s="67">
        <f>town_vehicles[[#This Row],[Vehicles]]/SUM(town_vehicles[Vehicles])</f>
        <v>1.0594466002731721E-2</v>
      </c>
      <c r="E133" s="67">
        <f>town_vehicles[[#This Row],[Share of State Vehicles]]/INDEX(regional_vehicles[Share of State Vehicles],MATCH(town_vehicles[[#This Row],[Regional Planning Commission]],regional_vehicles[Regional Planning Commission]))</f>
        <v>0.10316656390381398</v>
      </c>
    </row>
    <row r="134" spans="1:5" x14ac:dyDescent="0.25">
      <c r="A134" t="s">
        <v>148</v>
      </c>
      <c r="B134" t="s">
        <v>97</v>
      </c>
      <c r="C134" s="7">
        <v>1336</v>
      </c>
      <c r="D134" s="67">
        <f>town_vehicles[[#This Row],[Vehicles]]/SUM(town_vehicles[Vehicles])</f>
        <v>3.0211753638526317E-3</v>
      </c>
      <c r="E134" s="67">
        <f>town_vehicles[[#This Row],[Share of State Vehicles]]/INDEX(regional_vehicles[Share of State Vehicles],MATCH(town_vehicles[[#This Row],[Regional Planning Commission]],regional_vehicles[Regional Planning Commission]))</f>
        <v>2.9419536686338416E-2</v>
      </c>
    </row>
    <row r="135" spans="1:5" x14ac:dyDescent="0.25">
      <c r="A135" t="s">
        <v>218</v>
      </c>
      <c r="B135" t="s">
        <v>103</v>
      </c>
      <c r="C135" s="7">
        <v>491</v>
      </c>
      <c r="D135" s="67">
        <f>town_vehicles[[#This Row],[Vehicles]]/SUM(town_vehicles[Vehicles])</f>
        <v>1.1103271733919476E-3</v>
      </c>
      <c r="E135" s="67">
        <f>town_vehicles[[#This Row],[Share of State Vehicles]]/INDEX(regional_vehicles[Share of State Vehicles],MATCH(town_vehicles[[#This Row],[Regional Planning Commission]],regional_vehicles[Regional Planning Commission]))</f>
        <v>1.099762576714599E-2</v>
      </c>
    </row>
    <row r="136" spans="1:5" x14ac:dyDescent="0.25">
      <c r="A136" t="s">
        <v>183</v>
      </c>
      <c r="B136" t="s">
        <v>101</v>
      </c>
      <c r="C136" s="7">
        <v>3698</v>
      </c>
      <c r="D136" s="67">
        <f>town_vehicles[[#This Row],[Vehicles]]/SUM(town_vehicles[Vehicles])</f>
        <v>8.3625048619214316E-3</v>
      </c>
      <c r="E136" s="67">
        <f>town_vehicles[[#This Row],[Share of State Vehicles]]/INDEX(regional_vehicles[Share of State Vehicles],MATCH(town_vehicles[[#This Row],[Regional Planning Commission]],regional_vehicles[Regional Planning Commission]))</f>
        <v>0.2076011901420311</v>
      </c>
    </row>
    <row r="137" spans="1:5" x14ac:dyDescent="0.25">
      <c r="A137" t="s">
        <v>267</v>
      </c>
      <c r="B137" t="s">
        <v>107</v>
      </c>
      <c r="C137" s="7">
        <v>1177</v>
      </c>
      <c r="D137" s="67">
        <f>town_vehicles[[#This Row],[Vehicles]]/SUM(town_vehicles[Vehicles])</f>
        <v>2.661619313813284E-3</v>
      </c>
      <c r="E137" s="67">
        <f>town_vehicles[[#This Row],[Share of State Vehicles]]/INDEX(regional_vehicles[Share of State Vehicles],MATCH(town_vehicles[[#This Row],[Regional Planning Commission]],regional_vehicles[Regional Planning Commission]))</f>
        <v>2.7607721717918043E-2</v>
      </c>
    </row>
    <row r="138" spans="1:5" x14ac:dyDescent="0.25">
      <c r="A138" t="s">
        <v>268</v>
      </c>
      <c r="B138" t="s">
        <v>107</v>
      </c>
      <c r="C138" s="7">
        <v>193</v>
      </c>
      <c r="D138" s="67">
        <f>town_vehicles[[#This Row],[Vehicles]]/SUM(town_vehicles[Vehicles])</f>
        <v>4.364422494188308E-4</v>
      </c>
      <c r="E138" s="67">
        <f>town_vehicles[[#This Row],[Share of State Vehicles]]/INDEX(regional_vehicles[Share of State Vehicles],MATCH(town_vehicles[[#This Row],[Regional Planning Commission]],regional_vehicles[Regional Planning Commission]))</f>
        <v>4.5270095935073772E-3</v>
      </c>
    </row>
    <row r="139" spans="1:5" x14ac:dyDescent="0.25">
      <c r="A139" t="s">
        <v>112</v>
      </c>
      <c r="B139" t="s">
        <v>93</v>
      </c>
      <c r="C139" s="7">
        <v>1379</v>
      </c>
      <c r="D139" s="67">
        <f>town_vehicles[[#This Row],[Vehicles]]/SUM(town_vehicles[Vehicles])</f>
        <v>3.1184137924796253E-3</v>
      </c>
      <c r="E139" s="67">
        <f>town_vehicles[[#This Row],[Share of State Vehicles]]/INDEX(regional_vehicles[Share of State Vehicles],MATCH(town_vehicles[[#This Row],[Regional Planning Commission]],regional_vehicles[Regional Planning Commission]))</f>
        <v>5.4730909668201308E-2</v>
      </c>
    </row>
    <row r="140" spans="1:5" x14ac:dyDescent="0.25">
      <c r="A140" t="s">
        <v>219</v>
      </c>
      <c r="B140" t="s">
        <v>103</v>
      </c>
      <c r="C140" s="7">
        <v>371</v>
      </c>
      <c r="D140" s="67">
        <f>town_vehicles[[#This Row],[Vehicles]]/SUM(town_vehicles[Vehicles])</f>
        <v>8.3896411675847787E-4</v>
      </c>
      <c r="E140" s="67">
        <f>town_vehicles[[#This Row],[Share of State Vehicles]]/INDEX(regional_vehicles[Share of State Vehicles],MATCH(town_vehicles[[#This Row],[Regional Planning Commission]],regional_vehicles[Regional Planning Commission]))</f>
        <v>8.3098149890247705E-3</v>
      </c>
    </row>
    <row r="141" spans="1:5" x14ac:dyDescent="0.25">
      <c r="A141" t="s">
        <v>306</v>
      </c>
      <c r="B141" t="s">
        <v>111</v>
      </c>
      <c r="C141" s="7">
        <v>1680</v>
      </c>
      <c r="D141" s="67">
        <f>town_vehicles[[#This Row],[Vehicles]]/SUM(town_vehicles[Vehicles])</f>
        <v>3.799082792868579E-3</v>
      </c>
      <c r="E141" s="67">
        <f>town_vehicles[[#This Row],[Share of State Vehicles]]/INDEX(regional_vehicles[Share of State Vehicles],MATCH(town_vehicles[[#This Row],[Regional Planning Commission]],regional_vehicles[Regional Planning Commission]))</f>
        <v>3.9423663584737409E-2</v>
      </c>
    </row>
    <row r="142" spans="1:5" x14ac:dyDescent="0.25">
      <c r="A142" t="s">
        <v>334</v>
      </c>
      <c r="B142" t="s">
        <v>113</v>
      </c>
      <c r="C142" s="7">
        <v>1464</v>
      </c>
      <c r="D142" s="67">
        <f>town_vehicles[[#This Row],[Vehicles]]/SUM(town_vehicles[Vehicles])</f>
        <v>3.3106292909283329E-3</v>
      </c>
      <c r="E142" s="67">
        <f>town_vehicles[[#This Row],[Share of State Vehicles]]/INDEX(regional_vehicles[Share of State Vehicles],MATCH(town_vehicles[[#This Row],[Regional Planning Commission]],regional_vehicles[Regional Planning Commission]))</f>
        <v>4.3138757108760341E-2</v>
      </c>
    </row>
    <row r="143" spans="1:5" x14ac:dyDescent="0.25">
      <c r="A143" t="s">
        <v>221</v>
      </c>
      <c r="B143" t="s">
        <v>103</v>
      </c>
      <c r="C143" s="7">
        <v>2371</v>
      </c>
      <c r="D143" s="67">
        <f>town_vehicles[[#This Row],[Vehicles]]/SUM(town_vehicles[Vehicles])</f>
        <v>5.3616817273163097E-3</v>
      </c>
      <c r="E143" s="67">
        <f>town_vehicles[[#This Row],[Share of State Vehicles]]/INDEX(regional_vehicles[Share of State Vehicles],MATCH(town_vehicles[[#This Row],[Regional Planning Commission]],regional_vehicles[Regional Planning Commission]))</f>
        <v>5.3106661291045097E-2</v>
      </c>
    </row>
    <row r="144" spans="1:5" x14ac:dyDescent="0.25">
      <c r="A144" t="s">
        <v>220</v>
      </c>
      <c r="B144" t="s">
        <v>103</v>
      </c>
      <c r="C144" s="7">
        <v>1316</v>
      </c>
      <c r="D144" s="67">
        <f>town_vehicles[[#This Row],[Vehicles]]/SUM(town_vehicles[Vehicles])</f>
        <v>2.9759481877470535E-3</v>
      </c>
      <c r="E144" s="67">
        <f>town_vehicles[[#This Row],[Share of State Vehicles]]/INDEX(regional_vehicles[Share of State Vehicles],MATCH(town_vehicles[[#This Row],[Regional Planning Commission]],regional_vehicles[Regional Planning Commission]))</f>
        <v>2.9476324866729377E-2</v>
      </c>
    </row>
    <row r="145" spans="1:5" x14ac:dyDescent="0.25">
      <c r="A145" t="s">
        <v>249</v>
      </c>
      <c r="B145" t="s">
        <v>105</v>
      </c>
      <c r="C145" s="7">
        <v>779</v>
      </c>
      <c r="D145" s="67">
        <f>town_vehicles[[#This Row],[Vehicles]]/SUM(town_vehicles[Vehicles])</f>
        <v>1.7615985093122756E-3</v>
      </c>
      <c r="E145" s="67">
        <f>town_vehicles[[#This Row],[Share of State Vehicles]]/INDEX(regional_vehicles[Share of State Vehicles],MATCH(town_vehicles[[#This Row],[Regional Planning Commission]],regional_vehicles[Regional Planning Commission]))</f>
        <v>1.9590091789261913E-2</v>
      </c>
    </row>
    <row r="146" spans="1:5" x14ac:dyDescent="0.25">
      <c r="A146" t="s">
        <v>149</v>
      </c>
      <c r="B146" t="s">
        <v>97</v>
      </c>
      <c r="C146" s="7">
        <v>3504</v>
      </c>
      <c r="D146" s="67">
        <f>town_vehicles[[#This Row],[Vehicles]]/SUM(town_vehicles[Vehicles])</f>
        <v>7.9238012536973212E-3</v>
      </c>
      <c r="E146" s="67">
        <f>town_vehicles[[#This Row],[Share of State Vehicles]]/INDEX(regional_vehicles[Share of State Vehicles],MATCH(town_vehicles[[#This Row],[Regional Planning Commission]],regional_vehicles[Regional Planning Commission]))</f>
        <v>7.716022196776183E-2</v>
      </c>
    </row>
    <row r="147" spans="1:5" x14ac:dyDescent="0.25">
      <c r="A147" t="s">
        <v>222</v>
      </c>
      <c r="B147" t="s">
        <v>103</v>
      </c>
      <c r="C147" s="7">
        <v>128</v>
      </c>
      <c r="D147" s="67">
        <f>town_vehicles[[#This Row],[Vehicles]]/SUM(town_vehicles[Vehicles])</f>
        <v>2.8945392707570126E-4</v>
      </c>
      <c r="E147" s="67">
        <f>town_vehicles[[#This Row],[Share of State Vehicles]]/INDEX(regional_vehicles[Share of State Vehicles],MATCH(town_vehicles[[#This Row],[Regional Planning Commission]],regional_vehicles[Regional Planning Commission]))</f>
        <v>2.866998163329301E-3</v>
      </c>
    </row>
    <row r="148" spans="1:5" x14ac:dyDescent="0.25">
      <c r="A148" t="s">
        <v>307</v>
      </c>
      <c r="B148" t="s">
        <v>111</v>
      </c>
      <c r="C148" s="7">
        <v>2487</v>
      </c>
      <c r="D148" s="67">
        <f>town_vehicles[[#This Row],[Vehicles]]/SUM(town_vehicles[Vehicles])</f>
        <v>5.6239993487286642E-3</v>
      </c>
      <c r="E148" s="67">
        <f>town_vehicles[[#This Row],[Share of State Vehicles]]/INDEX(regional_vehicles[Share of State Vehicles],MATCH(town_vehicles[[#This Row],[Regional Planning Commission]],regional_vehicles[Regional Planning Commission]))</f>
        <v>5.8361101985263057E-2</v>
      </c>
    </row>
    <row r="149" spans="1:5" x14ac:dyDescent="0.25">
      <c r="A149" t="s">
        <v>150</v>
      </c>
      <c r="B149" t="s">
        <v>97</v>
      </c>
      <c r="C149" s="7">
        <v>807</v>
      </c>
      <c r="D149" s="67">
        <f>town_vehicles[[#This Row],[Vehicles]]/SUM(town_vehicles[Vehicles])</f>
        <v>1.8249165558600852E-3</v>
      </c>
      <c r="E149" s="67">
        <f>town_vehicles[[#This Row],[Share of State Vehicles]]/INDEX(regional_vehicles[Share of State Vehicles],MATCH(town_vehicles[[#This Row],[Regional Planning Commission]],regional_vehicles[Regional Planning Commission]))</f>
        <v>1.7770633312780764E-2</v>
      </c>
    </row>
    <row r="150" spans="1:5" x14ac:dyDescent="0.25">
      <c r="A150" t="s">
        <v>114</v>
      </c>
      <c r="B150" t="s">
        <v>93</v>
      </c>
      <c r="C150" s="7">
        <v>1010</v>
      </c>
      <c r="D150" s="67">
        <f>town_vehicles[[#This Row],[Vehicles]]/SUM(town_vehicles[Vehicles])</f>
        <v>2.2839723933317053E-3</v>
      </c>
      <c r="E150" s="67">
        <f>town_vehicles[[#This Row],[Share of State Vehicles]]/INDEX(regional_vehicles[Share of State Vehicles],MATCH(town_vehicles[[#This Row],[Regional Planning Commission]],regional_vehicles[Regional Planning Commission]))</f>
        <v>4.0085727893316402E-2</v>
      </c>
    </row>
    <row r="151" spans="1:5" x14ac:dyDescent="0.25">
      <c r="A151" t="s">
        <v>115</v>
      </c>
      <c r="B151" t="s">
        <v>93</v>
      </c>
      <c r="C151" s="7">
        <v>598</v>
      </c>
      <c r="D151" s="67">
        <f>town_vehicles[[#This Row],[Vehicles]]/SUM(town_vehicles[Vehicles])</f>
        <v>1.3522925655567917E-3</v>
      </c>
      <c r="E151" s="67">
        <f>town_vehicles[[#This Row],[Share of State Vehicles]]/INDEX(regional_vehicles[Share of State Vehicles],MATCH(town_vehicles[[#This Row],[Regional Planning Commission]],regional_vehicles[Regional Planning Commission]))</f>
        <v>2.3733926020003175E-2</v>
      </c>
    </row>
    <row r="152" spans="1:5" x14ac:dyDescent="0.25">
      <c r="A152" t="s">
        <v>269</v>
      </c>
      <c r="B152" t="s">
        <v>107</v>
      </c>
      <c r="C152" s="7">
        <v>1059</v>
      </c>
      <c r="D152" s="67">
        <f>town_vehicles[[#This Row],[Vehicles]]/SUM(town_vehicles[Vehicles])</f>
        <v>2.3947789747903719E-3</v>
      </c>
      <c r="E152" s="67">
        <f>town_vehicles[[#This Row],[Share of State Vehicles]]/INDEX(regional_vehicles[Share of State Vehicles],MATCH(town_vehicles[[#This Row],[Regional Planning Commission]],regional_vehicles[Regional Planning Commission]))</f>
        <v>2.4839912743649283E-2</v>
      </c>
    </row>
    <row r="153" spans="1:5" x14ac:dyDescent="0.25">
      <c r="A153" t="s">
        <v>223</v>
      </c>
      <c r="B153" t="s">
        <v>103</v>
      </c>
      <c r="C153" s="7">
        <v>552</v>
      </c>
      <c r="D153" s="67">
        <f>town_vehicles[[#This Row],[Vehicles]]/SUM(town_vehicles[Vehicles])</f>
        <v>1.2482700605139616E-3</v>
      </c>
      <c r="E153" s="67">
        <f>town_vehicles[[#This Row],[Share of State Vehicles]]/INDEX(regional_vehicles[Share of State Vehicles],MATCH(town_vehicles[[#This Row],[Regional Planning Commission]],regional_vehicles[Regional Planning Commission]))</f>
        <v>1.236392957935761E-2</v>
      </c>
    </row>
    <row r="154" spans="1:5" x14ac:dyDescent="0.25">
      <c r="A154" t="s">
        <v>129</v>
      </c>
      <c r="B154" t="s">
        <v>95</v>
      </c>
      <c r="C154" s="7">
        <v>278</v>
      </c>
      <c r="D154" s="67">
        <f>town_vehicles[[#This Row],[Vehicles]]/SUM(town_vehicles[Vehicles])</f>
        <v>6.2865774786753864E-4</v>
      </c>
      <c r="E154" s="67">
        <f>town_vehicles[[#This Row],[Share of State Vehicles]]/INDEX(regional_vehicles[Share of State Vehicles],MATCH(town_vehicles[[#This Row],[Regional Planning Commission]],regional_vehicles[Regional Planning Commission]))</f>
        <v>1.1238226138982092E-2</v>
      </c>
    </row>
    <row r="155" spans="1:5" x14ac:dyDescent="0.25">
      <c r="A155" t="s">
        <v>308</v>
      </c>
      <c r="B155" t="s">
        <v>111</v>
      </c>
      <c r="C155" s="7">
        <v>426</v>
      </c>
      <c r="D155" s="67">
        <f>town_vehicles[[#This Row],[Vehicles]]/SUM(town_vehicles[Vehicles])</f>
        <v>9.6333885104881822E-4</v>
      </c>
      <c r="E155" s="67">
        <f>town_vehicles[[#This Row],[Share of State Vehicles]]/INDEX(regional_vehicles[Share of State Vehicles],MATCH(town_vehicles[[#This Row],[Regional Planning Commission]],regional_vehicles[Regional Planning Commission]))</f>
        <v>9.9967146947012708E-3</v>
      </c>
    </row>
    <row r="156" spans="1:5" x14ac:dyDescent="0.25">
      <c r="A156" t="s">
        <v>270</v>
      </c>
      <c r="B156" t="s">
        <v>107</v>
      </c>
      <c r="C156" s="7">
        <v>2110</v>
      </c>
      <c r="D156" s="67">
        <f>town_vehicles[[#This Row],[Vehicles]]/SUM(town_vehicles[Vehicles])</f>
        <v>4.7714670791385132E-3</v>
      </c>
      <c r="E156" s="67">
        <f>town_vehicles[[#This Row],[Share of State Vehicles]]/INDEX(regional_vehicles[Share of State Vehicles],MATCH(town_vehicles[[#This Row],[Regional Planning Commission]],regional_vehicles[Regional Planning Commission]))</f>
        <v>4.949217742124646E-2</v>
      </c>
    </row>
    <row r="157" spans="1:5" x14ac:dyDescent="0.25">
      <c r="A157" t="s">
        <v>151</v>
      </c>
      <c r="B157" t="s">
        <v>97</v>
      </c>
      <c r="C157" s="7">
        <v>940</v>
      </c>
      <c r="D157" s="67">
        <f>town_vehicles[[#This Row],[Vehicles]]/SUM(town_vehicles[Vehicles])</f>
        <v>2.1256772769621809E-3</v>
      </c>
      <c r="E157" s="67">
        <f>town_vehicles[[#This Row],[Share of State Vehicles]]/INDEX(regional_vehicles[Share of State Vehicles],MATCH(town_vehicles[[#This Row],[Regional Planning Commission]],regional_vehicles[Regional Planning Commission]))</f>
        <v>2.0699374614639304E-2</v>
      </c>
    </row>
    <row r="158" spans="1:5" x14ac:dyDescent="0.25">
      <c r="A158" t="s">
        <v>309</v>
      </c>
      <c r="B158" t="s">
        <v>111</v>
      </c>
      <c r="C158" s="7">
        <v>431</v>
      </c>
      <c r="D158" s="67">
        <f>town_vehicles[[#This Row],[Vehicles]]/SUM(town_vehicles[Vehicles])</f>
        <v>9.7464564507521276E-4</v>
      </c>
      <c r="E158" s="67">
        <f>town_vehicles[[#This Row],[Share of State Vehicles]]/INDEX(regional_vehicles[Share of State Vehicles],MATCH(town_vehicles[[#This Row],[Regional Planning Commission]],regional_vehicles[Regional Planning Commission]))</f>
        <v>1.0114047026798703E-2</v>
      </c>
    </row>
    <row r="159" spans="1:5" x14ac:dyDescent="0.25">
      <c r="A159" t="s">
        <v>310</v>
      </c>
      <c r="B159" t="s">
        <v>111</v>
      </c>
      <c r="C159" s="7">
        <v>851</v>
      </c>
      <c r="D159" s="67">
        <f>town_vehicles[[#This Row],[Vehicles]]/SUM(town_vehicles[Vehicles])</f>
        <v>1.9244163432923574E-3</v>
      </c>
      <c r="E159" s="67">
        <f>town_vehicles[[#This Row],[Share of State Vehicles]]/INDEX(regional_vehicles[Share of State Vehicles],MATCH(town_vehicles[[#This Row],[Regional Planning Commission]],regional_vehicles[Regional Planning Commission]))</f>
        <v>1.9969962922983055E-2</v>
      </c>
    </row>
    <row r="160" spans="1:5" x14ac:dyDescent="0.25">
      <c r="A160" t="s">
        <v>271</v>
      </c>
      <c r="B160" t="s">
        <v>107</v>
      </c>
      <c r="C160" s="7">
        <v>2269</v>
      </c>
      <c r="D160" s="67">
        <f>town_vehicles[[#This Row],[Vehicles]]/SUM(town_vehicles[Vehicles])</f>
        <v>5.1310231291778604E-3</v>
      </c>
      <c r="E160" s="67">
        <f>town_vehicles[[#This Row],[Share of State Vehicles]]/INDEX(regional_vehicles[Share of State Vehicles],MATCH(town_vehicles[[#This Row],[Regional Planning Commission]],regional_vehicles[Regional Planning Commission]))</f>
        <v>5.3221682734032327E-2</v>
      </c>
    </row>
    <row r="161" spans="1:5" x14ac:dyDescent="0.25">
      <c r="A161" t="s">
        <v>130</v>
      </c>
      <c r="B161" t="s">
        <v>95</v>
      </c>
      <c r="C161" s="7">
        <v>2646</v>
      </c>
      <c r="D161" s="67">
        <f>town_vehicles[[#This Row],[Vehicles]]/SUM(town_vehicles[Vehicles])</f>
        <v>5.9835553987680114E-3</v>
      </c>
      <c r="E161" s="67">
        <f>town_vehicles[[#This Row],[Share of State Vehicles]]/INDEX(regional_vehicles[Share of State Vehicles],MATCH(town_vehicles[[#This Row],[Regional Planning Commission]],regional_vehicles[Regional Planning Commission]))</f>
        <v>0.10696527468973602</v>
      </c>
    </row>
    <row r="162" spans="1:5" x14ac:dyDescent="0.25">
      <c r="A162" t="s">
        <v>272</v>
      </c>
      <c r="B162" t="s">
        <v>107</v>
      </c>
      <c r="C162" s="7">
        <v>1219</v>
      </c>
      <c r="D162" s="67">
        <f>town_vehicles[[#This Row],[Vehicles]]/SUM(town_vehicles[Vehicles])</f>
        <v>2.7565963836349988E-3</v>
      </c>
      <c r="E162" s="67">
        <f>town_vehicles[[#This Row],[Share of State Vehicles]]/INDEX(regional_vehicles[Share of State Vehicles],MATCH(town_vehicles[[#This Row],[Regional Planning Commission]],regional_vehicles[Regional Planning Commission]))</f>
        <v>2.8592874064691673E-2</v>
      </c>
    </row>
    <row r="163" spans="1:5" x14ac:dyDescent="0.25">
      <c r="A163" t="s">
        <v>335</v>
      </c>
      <c r="B163" t="s">
        <v>113</v>
      </c>
      <c r="C163" s="7">
        <v>1644</v>
      </c>
      <c r="D163" s="67">
        <f>town_vehicles[[#This Row],[Vehicles]]/SUM(town_vehicles[Vehicles])</f>
        <v>3.717673875878538E-3</v>
      </c>
      <c r="E163" s="67">
        <f>town_vehicles[[#This Row],[Share of State Vehicles]]/INDEX(regional_vehicles[Share of State Vehicles],MATCH(town_vehicles[[#This Row],[Regional Planning Commission]],regional_vehicles[Regional Planning Commission]))</f>
        <v>4.8442702654919401E-2</v>
      </c>
    </row>
    <row r="164" spans="1:5" x14ac:dyDescent="0.25">
      <c r="A164" t="s">
        <v>311</v>
      </c>
      <c r="B164" t="s">
        <v>111</v>
      </c>
      <c r="C164" s="7">
        <v>3227</v>
      </c>
      <c r="D164" s="67">
        <f>town_vehicles[[#This Row],[Vehicles]]/SUM(town_vehicles[Vehicles])</f>
        <v>7.2974048646350619E-3</v>
      </c>
      <c r="E164" s="67">
        <f>town_vehicles[[#This Row],[Share of State Vehicles]]/INDEX(regional_vehicles[Share of State Vehicles],MATCH(town_vehicles[[#This Row],[Regional Planning Commission]],regional_vehicles[Regional Planning Commission]))</f>
        <v>7.5726287135683107E-2</v>
      </c>
    </row>
    <row r="165" spans="1:5" x14ac:dyDescent="0.25">
      <c r="A165" t="s">
        <v>288</v>
      </c>
      <c r="B165" t="s">
        <v>109</v>
      </c>
      <c r="C165" s="7">
        <v>545</v>
      </c>
      <c r="D165" s="67">
        <f>town_vehicles[[#This Row],[Vehicles]]/SUM(town_vehicles[Vehicles])</f>
        <v>1.2324405488770092E-3</v>
      </c>
      <c r="E165" s="67">
        <f>town_vehicles[[#This Row],[Share of State Vehicles]]/INDEX(regional_vehicles[Share of State Vehicles],MATCH(town_vehicles[[#This Row],[Regional Planning Commission]],regional_vehicles[Regional Planning Commission]))</f>
        <v>3.0316515547644213E-2</v>
      </c>
    </row>
    <row r="166" spans="1:5" x14ac:dyDescent="0.25">
      <c r="A166" t="s">
        <v>336</v>
      </c>
      <c r="B166" t="s">
        <v>113</v>
      </c>
      <c r="C166" s="7">
        <v>608</v>
      </c>
      <c r="D166" s="67">
        <f>town_vehicles[[#This Row],[Vehicles]]/SUM(town_vehicles[Vehicles])</f>
        <v>1.374906153609581E-3</v>
      </c>
      <c r="E166" s="67">
        <f>town_vehicles[[#This Row],[Share of State Vehicles]]/INDEX(regional_vehicles[Share of State Vehicles],MATCH(town_vehicles[[#This Row],[Regional Planning Commission]],regional_vehicles[Regional Planning Commission]))</f>
        <v>1.7915549400359485E-2</v>
      </c>
    </row>
    <row r="167" spans="1:5" x14ac:dyDescent="0.25">
      <c r="A167" t="s">
        <v>250</v>
      </c>
      <c r="B167" t="s">
        <v>105</v>
      </c>
      <c r="C167" s="7">
        <v>1502</v>
      </c>
      <c r="D167" s="67">
        <f>town_vehicles[[#This Row],[Vehicles]]/SUM(town_vehicles[Vehicles])</f>
        <v>3.396560925528932E-3</v>
      </c>
      <c r="E167" s="67">
        <f>town_vehicles[[#This Row],[Share of State Vehicles]]/INDEX(regional_vehicles[Share of State Vehicles],MATCH(town_vehicles[[#This Row],[Regional Planning Commission]],regional_vehicles[Regional Planning Commission]))</f>
        <v>3.7771909971080098E-2</v>
      </c>
    </row>
    <row r="168" spans="1:5" x14ac:dyDescent="0.25">
      <c r="A168" t="s">
        <v>169</v>
      </c>
      <c r="B168" t="s">
        <v>99</v>
      </c>
      <c r="C168" s="7">
        <v>3123</v>
      </c>
      <c r="D168" s="67">
        <f>town_vehicles[[#This Row],[Vehicles]]/SUM(town_vehicles[Vehicles])</f>
        <v>7.0622235488860549E-3</v>
      </c>
      <c r="E168" s="67">
        <f>town_vehicles[[#This Row],[Share of State Vehicles]]/INDEX(regional_vehicles[Share of State Vehicles],MATCH(town_vehicles[[#This Row],[Regional Planning Commission]],regional_vehicles[Regional Planning Commission]))</f>
        <v>2.9056027986081392E-2</v>
      </c>
    </row>
    <row r="169" spans="1:5" x14ac:dyDescent="0.25">
      <c r="A169" t="s">
        <v>116</v>
      </c>
      <c r="B169" t="s">
        <v>93</v>
      </c>
      <c r="C169" s="7">
        <v>516</v>
      </c>
      <c r="D169" s="67">
        <f>town_vehicles[[#This Row],[Vehicles]]/SUM(town_vehicles[Vehicles])</f>
        <v>1.1668611435239206E-3</v>
      </c>
      <c r="E169" s="67">
        <f>town_vehicles[[#This Row],[Share of State Vehicles]]/INDEX(regional_vehicles[Share of State Vehicles],MATCH(town_vehicles[[#This Row],[Regional Planning Commission]],regional_vehicles[Regional Planning Commission]))</f>
        <v>2.0479441181139865E-2</v>
      </c>
    </row>
    <row r="170" spans="1:5" x14ac:dyDescent="0.25">
      <c r="A170" t="s">
        <v>312</v>
      </c>
      <c r="B170" t="s">
        <v>111</v>
      </c>
      <c r="C170" s="7">
        <v>862</v>
      </c>
      <c r="D170" s="67">
        <f>town_vehicles[[#This Row],[Vehicles]]/SUM(town_vehicles[Vehicles])</f>
        <v>1.9492912901504255E-3</v>
      </c>
      <c r="E170" s="67">
        <f>town_vehicles[[#This Row],[Share of State Vehicles]]/INDEX(regional_vehicles[Share of State Vehicles],MATCH(town_vehicles[[#This Row],[Regional Planning Commission]],regional_vehicles[Regional Planning Commission]))</f>
        <v>2.0228094053597406E-2</v>
      </c>
    </row>
    <row r="171" spans="1:5" x14ac:dyDescent="0.25">
      <c r="A171" t="s">
        <v>337</v>
      </c>
      <c r="B171" t="s">
        <v>113</v>
      </c>
      <c r="C171" s="7">
        <v>3422</v>
      </c>
      <c r="D171" s="67">
        <f>town_vehicles[[#This Row],[Vehicles]]/SUM(town_vehicles[Vehicles])</f>
        <v>7.7383698316644501E-3</v>
      </c>
      <c r="E171" s="67">
        <f>town_vehicles[[#This Row],[Share of State Vehicles]]/INDEX(regional_vehicles[Share of State Vehicles],MATCH(town_vehicles[[#This Row],[Regional Planning Commission]],regional_vehicles[Regional Planning Commission]))</f>
        <v>0.10083389810531275</v>
      </c>
    </row>
    <row r="172" spans="1:5" x14ac:dyDescent="0.25">
      <c r="A172" t="s">
        <v>152</v>
      </c>
      <c r="B172" t="s">
        <v>97</v>
      </c>
      <c r="C172" s="7">
        <v>605</v>
      </c>
      <c r="D172" s="67">
        <f>town_vehicles[[#This Row],[Vehicles]]/SUM(town_vehicles[Vehicles])</f>
        <v>1.3681220771937443E-3</v>
      </c>
      <c r="E172" s="67">
        <f>town_vehicles[[#This Row],[Share of State Vehicles]]/INDEX(regional_vehicles[Share of State Vehicles],MATCH(town_vehicles[[#This Row],[Regional Planning Commission]],regional_vehicles[Regional Planning Commission]))</f>
        <v>1.3322469831762532E-2</v>
      </c>
    </row>
    <row r="173" spans="1:5" x14ac:dyDescent="0.25">
      <c r="A173" t="s">
        <v>313</v>
      </c>
      <c r="B173" t="s">
        <v>111</v>
      </c>
      <c r="C173" s="7">
        <v>2137</v>
      </c>
      <c r="D173" s="67">
        <f>town_vehicles[[#This Row],[Vehicles]]/SUM(town_vehicles[Vehicles])</f>
        <v>4.8325237668810431E-3</v>
      </c>
      <c r="E173" s="67">
        <f>town_vehicles[[#This Row],[Share of State Vehicles]]/INDEX(regional_vehicles[Share of State Vehicles],MATCH(town_vehicles[[#This Row],[Regional Planning Commission]],regional_vehicles[Regional Planning Commission]))</f>
        <v>5.0147838738442758E-2</v>
      </c>
    </row>
    <row r="174" spans="1:5" x14ac:dyDescent="0.25">
      <c r="A174" t="s">
        <v>131</v>
      </c>
      <c r="B174" t="s">
        <v>95</v>
      </c>
      <c r="C174" s="7">
        <v>486</v>
      </c>
      <c r="D174" s="67">
        <f>town_vehicles[[#This Row],[Vehicles]]/SUM(town_vehicles[Vehicles])</f>
        <v>1.0990203793655531E-3</v>
      </c>
      <c r="E174" s="67">
        <f>town_vehicles[[#This Row],[Share of State Vehicles]]/INDEX(regional_vehicles[Share of State Vehicles],MATCH(town_vehicles[[#This Row],[Regional Planning Commission]],regional_vehicles[Regional Planning Commission]))</f>
        <v>1.9646683106278044E-2</v>
      </c>
    </row>
    <row r="175" spans="1:5" x14ac:dyDescent="0.25">
      <c r="A175" t="s">
        <v>274</v>
      </c>
      <c r="B175" t="s">
        <v>107</v>
      </c>
      <c r="C175" s="7">
        <v>3102</v>
      </c>
      <c r="D175" s="67">
        <f>town_vehicles[[#This Row],[Vehicles]]/SUM(town_vehicles[Vehicles])</f>
        <v>7.0147350139751971E-3</v>
      </c>
      <c r="E175" s="67">
        <f>town_vehicles[[#This Row],[Share of State Vehicles]]/INDEX(regional_vehicles[Share of State Vehicles],MATCH(town_vehicles[[#This Row],[Regional Planning Commission]],regional_vehicles[Regional Planning Commission]))</f>
        <v>7.2760537611709239E-2</v>
      </c>
    </row>
    <row r="176" spans="1:5" x14ac:dyDescent="0.25">
      <c r="A176" t="s">
        <v>273</v>
      </c>
      <c r="B176" t="s">
        <v>107</v>
      </c>
      <c r="C176" s="7">
        <v>9912</v>
      </c>
      <c r="D176" s="67">
        <f>town_vehicles[[#This Row],[Vehicles]]/SUM(town_vehicles[Vehicles])</f>
        <v>2.2414588477924616E-2</v>
      </c>
      <c r="E176" s="67">
        <f>town_vehicles[[#This Row],[Share of State Vehicles]]/INDEX(regional_vehicles[Share of State Vehicles],MATCH(town_vehicles[[#This Row],[Regional Planning Commission]],regional_vehicles[Regional Planning Commission]))</f>
        <v>0.23249595383857577</v>
      </c>
    </row>
    <row r="177" spans="1:5" x14ac:dyDescent="0.25">
      <c r="A177" t="s">
        <v>224</v>
      </c>
      <c r="B177" t="s">
        <v>103</v>
      </c>
      <c r="C177" s="7">
        <v>779</v>
      </c>
      <c r="D177" s="67">
        <f>town_vehicles[[#This Row],[Vehicles]]/SUM(town_vehicles[Vehicles])</f>
        <v>1.7615985093122756E-3</v>
      </c>
      <c r="E177" s="67">
        <f>town_vehicles[[#This Row],[Share of State Vehicles]]/INDEX(regional_vehicles[Share of State Vehicles],MATCH(town_vehicles[[#This Row],[Regional Planning Commission]],regional_vehicles[Regional Planning Commission]))</f>
        <v>1.7448371634636917E-2</v>
      </c>
    </row>
    <row r="178" spans="1:5" x14ac:dyDescent="0.25">
      <c r="A178" t="s">
        <v>252</v>
      </c>
      <c r="B178" t="s">
        <v>105</v>
      </c>
      <c r="C178" s="7">
        <v>4317</v>
      </c>
      <c r="D178" s="67">
        <f>town_vehicles[[#This Row],[Vehicles]]/SUM(town_vehicles[Vehicles])</f>
        <v>9.7622859623890806E-3</v>
      </c>
      <c r="E178" s="67">
        <f>town_vehicles[[#This Row],[Share of State Vehicles]]/INDEX(regional_vehicles[Share of State Vehicles],MATCH(town_vehicles[[#This Row],[Regional Planning Commission]],regional_vehicles[Regional Planning Commission]))</f>
        <v>0.1085628064881177</v>
      </c>
    </row>
    <row r="179" spans="1:5" x14ac:dyDescent="0.25">
      <c r="A179" t="s">
        <v>251</v>
      </c>
      <c r="B179" t="s">
        <v>105</v>
      </c>
      <c r="C179" s="7">
        <v>3991</v>
      </c>
      <c r="D179" s="67">
        <f>town_vehicles[[#This Row],[Vehicles]]/SUM(town_vehicles[Vehicles])</f>
        <v>9.0250829918681538E-3</v>
      </c>
      <c r="E179" s="67">
        <f>town_vehicles[[#This Row],[Share of State Vehicles]]/INDEX(regional_vehicles[Share of State Vehicles],MATCH(town_vehicles[[#This Row],[Regional Planning Commission]],regional_vehicles[Regional Planning Commission]))</f>
        <v>0.10036464227335597</v>
      </c>
    </row>
    <row r="180" spans="1:5" x14ac:dyDescent="0.25">
      <c r="A180" t="s">
        <v>170</v>
      </c>
      <c r="B180" t="s">
        <v>99</v>
      </c>
      <c r="C180" s="7">
        <v>569</v>
      </c>
      <c r="D180" s="67">
        <f>town_vehicles[[#This Row],[Vehicles]]/SUM(town_vehicles[Vehicles])</f>
        <v>1.2867131602037033E-3</v>
      </c>
      <c r="E180" s="67">
        <f>town_vehicles[[#This Row],[Share of State Vehicles]]/INDEX(regional_vehicles[Share of State Vehicles],MATCH(town_vehicles[[#This Row],[Regional Planning Commission]],regional_vehicles[Regional Planning Commission]))</f>
        <v>5.2939096778995554E-3</v>
      </c>
    </row>
    <row r="181" spans="1:5" x14ac:dyDescent="0.25">
      <c r="A181" t="s">
        <v>225</v>
      </c>
      <c r="B181" t="s">
        <v>103</v>
      </c>
      <c r="C181" s="7">
        <v>4862</v>
      </c>
      <c r="D181" s="67">
        <f>town_vehicles[[#This Row],[Vehicles]]/SUM(town_vehicles[Vehicles])</f>
        <v>1.099472651126609E-2</v>
      </c>
      <c r="E181" s="67">
        <f>town_vehicles[[#This Row],[Share of State Vehicles]]/INDEX(regional_vehicles[Share of State Vehicles],MATCH(town_vehicles[[#This Row],[Regional Planning Commission]],regional_vehicles[Regional Planning Commission]))</f>
        <v>0.10890113336021143</v>
      </c>
    </row>
    <row r="182" spans="1:5" x14ac:dyDescent="0.25">
      <c r="A182" t="s">
        <v>117</v>
      </c>
      <c r="B182" t="s">
        <v>93</v>
      </c>
      <c r="C182" s="7">
        <v>838</v>
      </c>
      <c r="D182" s="67">
        <f>town_vehicles[[#This Row],[Vehicles]]/SUM(town_vehicles[Vehicles])</f>
        <v>1.8950186788237317E-3</v>
      </c>
      <c r="E182" s="67">
        <f>town_vehicles[[#This Row],[Share of State Vehicles]]/INDEX(regional_vehicles[Share of State Vehicles],MATCH(town_vehicles[[#This Row],[Regional Planning Commission]],regional_vehicles[Regional Planning Commission]))</f>
        <v>3.3259247499603115E-2</v>
      </c>
    </row>
    <row r="183" spans="1:5" x14ac:dyDescent="0.25">
      <c r="A183" t="s">
        <v>132</v>
      </c>
      <c r="B183" t="s">
        <v>95</v>
      </c>
      <c r="C183" s="7">
        <v>298</v>
      </c>
      <c r="D183" s="67">
        <f>town_vehicles[[#This Row],[Vehicles]]/SUM(town_vehicles[Vehicles])</f>
        <v>6.7388492397311701E-4</v>
      </c>
      <c r="E183" s="67">
        <f>town_vehicles[[#This Row],[Share of State Vehicles]]/INDEX(regional_vehicles[Share of State Vehicles],MATCH(town_vehicles[[#This Row],[Regional Planning Commission]],regional_vehicles[Regional Planning Commission]))</f>
        <v>1.2046731616606703E-2</v>
      </c>
    </row>
    <row r="184" spans="1:5" x14ac:dyDescent="0.25">
      <c r="A184" t="s">
        <v>338</v>
      </c>
      <c r="B184" t="s">
        <v>113</v>
      </c>
      <c r="C184" s="7">
        <v>73</v>
      </c>
      <c r="D184" s="67">
        <f>town_vehicles[[#This Row],[Vehicles]]/SUM(town_vehicles[Vehicles])</f>
        <v>1.6507919278536086E-4</v>
      </c>
      <c r="E184" s="67">
        <f>town_vehicles[[#This Row],[Share of State Vehicles]]/INDEX(regional_vehicles[Share of State Vehicles],MATCH(town_vehicles[[#This Row],[Regional Planning Commission]],regional_vehicles[Regional Planning Commission]))</f>
        <v>2.1510445826089511E-3</v>
      </c>
    </row>
    <row r="185" spans="1:5" x14ac:dyDescent="0.25">
      <c r="A185" t="s">
        <v>133</v>
      </c>
      <c r="B185" t="s">
        <v>95</v>
      </c>
      <c r="C185" s="7">
        <v>2884</v>
      </c>
      <c r="D185" s="67">
        <f>town_vehicles[[#This Row],[Vehicles]]/SUM(town_vehicles[Vehicles])</f>
        <v>6.5217587944243934E-3</v>
      </c>
      <c r="E185" s="67">
        <f>town_vehicles[[#This Row],[Share of State Vehicles]]/INDEX(regional_vehicles[Share of State Vehicles],MATCH(town_vehicles[[#This Row],[Regional Planning Commission]],regional_vehicles[Regional Planning Commission]))</f>
        <v>0.11658648987346888</v>
      </c>
    </row>
    <row r="186" spans="1:5" x14ac:dyDescent="0.25">
      <c r="A186" t="s">
        <v>314</v>
      </c>
      <c r="B186" t="s">
        <v>111</v>
      </c>
      <c r="C186" s="7">
        <v>1212</v>
      </c>
      <c r="D186" s="67">
        <f>town_vehicles[[#This Row],[Vehicles]]/SUM(town_vehicles[Vehicles])</f>
        <v>2.7407668719980462E-3</v>
      </c>
      <c r="E186" s="67">
        <f>town_vehicles[[#This Row],[Share of State Vehicles]]/INDEX(regional_vehicles[Share of State Vehicles],MATCH(town_vehicles[[#This Row],[Regional Planning Commission]],regional_vehicles[Regional Planning Commission]))</f>
        <v>2.8441357300417702E-2</v>
      </c>
    </row>
    <row r="187" spans="1:5" x14ac:dyDescent="0.25">
      <c r="A187" t="s">
        <v>226</v>
      </c>
      <c r="B187" t="s">
        <v>103</v>
      </c>
      <c r="C187" s="7">
        <v>496</v>
      </c>
      <c r="D187" s="67">
        <f>town_vehicles[[#This Row],[Vehicles]]/SUM(town_vehicles[Vehicles])</f>
        <v>1.1216339674183424E-3</v>
      </c>
      <c r="E187" s="67">
        <f>town_vehicles[[#This Row],[Share of State Vehicles]]/INDEX(regional_vehicles[Share of State Vehicles],MATCH(town_vehicles[[#This Row],[Regional Planning Commission]],regional_vehicles[Regional Planning Commission]))</f>
        <v>1.1109617882901043E-2</v>
      </c>
    </row>
    <row r="188" spans="1:5" x14ac:dyDescent="0.25">
      <c r="A188" t="s">
        <v>171</v>
      </c>
      <c r="B188" t="s">
        <v>99</v>
      </c>
      <c r="C188" s="7">
        <v>5609</v>
      </c>
      <c r="D188" s="67">
        <f>town_vehicles[[#This Row],[Vehicles]]/SUM(town_vehicles[Vehicles])</f>
        <v>1.268396153880944E-2</v>
      </c>
      <c r="E188" s="67">
        <f>town_vehicles[[#This Row],[Share of State Vehicles]]/INDEX(regional_vehicles[Share of State Vehicles],MATCH(town_vehicles[[#This Row],[Regional Planning Commission]],regional_vehicles[Regional Planning Commission]))</f>
        <v>5.2185482220278745E-2</v>
      </c>
    </row>
    <row r="189" spans="1:5" x14ac:dyDescent="0.25">
      <c r="A189" t="s">
        <v>253</v>
      </c>
      <c r="B189" t="s">
        <v>105</v>
      </c>
      <c r="C189" s="7">
        <v>1789</v>
      </c>
      <c r="D189" s="67">
        <f>town_vehicles[[#This Row],[Vehicles]]/SUM(town_vehicles[Vehicles])</f>
        <v>4.0455709026439805E-3</v>
      </c>
      <c r="E189" s="67">
        <f>town_vehicles[[#This Row],[Share of State Vehicles]]/INDEX(regional_vehicles[Share of State Vehicles],MATCH(town_vehicles[[#This Row],[Regional Planning Commission]],regional_vehicles[Regional Planning Commission]))</f>
        <v>4.4989312209229221E-2</v>
      </c>
    </row>
    <row r="190" spans="1:5" x14ac:dyDescent="0.25">
      <c r="A190" t="s">
        <v>118</v>
      </c>
      <c r="B190" t="s">
        <v>93</v>
      </c>
      <c r="C190" s="7">
        <v>927</v>
      </c>
      <c r="D190" s="67">
        <f>town_vehicles[[#This Row],[Vehicles]]/SUM(town_vehicles[Vehicles])</f>
        <v>2.0962796124935549E-3</v>
      </c>
      <c r="E190" s="67">
        <f>town_vehicles[[#This Row],[Share of State Vehicles]]/INDEX(regional_vehicles[Share of State Vehicles],MATCH(town_vehicles[[#This Row],[Regional Planning Commission]],regional_vehicles[Regional Planning Commission]))</f>
        <v>3.6791554214954753E-2</v>
      </c>
    </row>
    <row r="191" spans="1:5" x14ac:dyDescent="0.25">
      <c r="A191" t="s">
        <v>276</v>
      </c>
      <c r="B191" t="s">
        <v>107</v>
      </c>
      <c r="C191" s="7">
        <v>877</v>
      </c>
      <c r="D191" s="67">
        <f>town_vehicles[[#This Row],[Vehicles]]/SUM(town_vehicles[Vehicles])</f>
        <v>1.9832116722296091E-3</v>
      </c>
      <c r="E191" s="67">
        <f>town_vehicles[[#This Row],[Share of State Vehicles]]/INDEX(regional_vehicles[Share of State Vehicles],MATCH(town_vehicles[[#This Row],[Regional Planning Commission]],regional_vehicles[Regional Planning Commission]))</f>
        <v>2.0570919240963572E-2</v>
      </c>
    </row>
    <row r="192" spans="1:5" x14ac:dyDescent="0.25">
      <c r="A192" t="s">
        <v>366</v>
      </c>
      <c r="B192" t="s">
        <v>113</v>
      </c>
      <c r="C192" s="7">
        <v>8</v>
      </c>
      <c r="D192" s="67">
        <f>town_vehicles[[#This Row],[Vehicles]]/SUM(town_vehicles[Vehicles])</f>
        <v>1.8090870442231329E-5</v>
      </c>
      <c r="E192" s="67">
        <f>town_vehicles[[#This Row],[Share of State Vehicles]]/INDEX(regional_vehicles[Share of State Vehicles],MATCH(town_vehicles[[#This Row],[Regional Planning Commission]],regional_vehicles[Regional Planning Commission]))</f>
        <v>2.3573091316262483E-4</v>
      </c>
    </row>
    <row r="193" spans="1:5" x14ac:dyDescent="0.25">
      <c r="A193" t="s">
        <v>172</v>
      </c>
      <c r="B193" t="s">
        <v>99</v>
      </c>
      <c r="C193" s="7">
        <v>12917</v>
      </c>
      <c r="D193" s="67">
        <f>town_vehicles[[#This Row],[Vehicles]]/SUM(town_vehicles[Vehicles])</f>
        <v>2.9209971687787759E-2</v>
      </c>
      <c r="E193" s="67">
        <f>town_vehicles[[#This Row],[Share of State Vehicles]]/INDEX(regional_vehicles[Share of State Vehicles],MATCH(town_vehicles[[#This Row],[Regional Planning Commission]],regional_vehicles[Regional Planning Commission]))</f>
        <v>0.12017826240672858</v>
      </c>
    </row>
    <row r="194" spans="1:5" x14ac:dyDescent="0.25">
      <c r="A194" t="s">
        <v>254</v>
      </c>
      <c r="B194" t="s">
        <v>105</v>
      </c>
      <c r="C194" s="7">
        <v>1356</v>
      </c>
      <c r="D194" s="67">
        <f>town_vehicles[[#This Row],[Vehicles]]/SUM(town_vehicles[Vehicles])</f>
        <v>3.0664025399582103E-3</v>
      </c>
      <c r="E194" s="67">
        <f>town_vehicles[[#This Row],[Share of State Vehicles]]/INDEX(regional_vehicles[Share of State Vehicles],MATCH(town_vehicles[[#This Row],[Regional Planning Commission]],regional_vehicles[Regional Planning Commission]))</f>
        <v>3.4100339494530368E-2</v>
      </c>
    </row>
    <row r="195" spans="1:5" x14ac:dyDescent="0.25">
      <c r="A195" t="s">
        <v>289</v>
      </c>
      <c r="B195" t="s">
        <v>109</v>
      </c>
      <c r="C195" s="7">
        <v>6025</v>
      </c>
      <c r="D195" s="67">
        <f>town_vehicles[[#This Row],[Vehicles]]/SUM(town_vehicles[Vehicles])</f>
        <v>1.362468680180547E-2</v>
      </c>
      <c r="E195" s="67">
        <f>town_vehicles[[#This Row],[Share of State Vehicles]]/INDEX(regional_vehicles[Share of State Vehicles],MATCH(town_vehicles[[#This Row],[Regional Planning Commission]],regional_vehicles[Regional Planning Commission]))</f>
        <v>0.3351504700450576</v>
      </c>
    </row>
    <row r="196" spans="1:5" x14ac:dyDescent="0.25">
      <c r="A196" t="s">
        <v>134</v>
      </c>
      <c r="B196" t="s">
        <v>95</v>
      </c>
      <c r="C196" s="7">
        <v>736</v>
      </c>
      <c r="D196" s="67">
        <f>town_vehicles[[#This Row],[Vehicles]]/SUM(town_vehicles[Vehicles])</f>
        <v>1.6643600806852822E-3</v>
      </c>
      <c r="E196" s="67">
        <f>town_vehicles[[#This Row],[Share of State Vehicles]]/INDEX(regional_vehicles[Share of State Vehicles],MATCH(town_vehicles[[#This Row],[Regional Planning Commission]],regional_vehicles[Regional Planning Commission]))</f>
        <v>2.975300157658568E-2</v>
      </c>
    </row>
    <row r="197" spans="1:5" x14ac:dyDescent="0.25">
      <c r="A197" t="s">
        <v>227</v>
      </c>
      <c r="B197" t="s">
        <v>103</v>
      </c>
      <c r="C197" s="7">
        <v>189</v>
      </c>
      <c r="D197" s="67">
        <f>town_vehicles[[#This Row],[Vehicles]]/SUM(town_vehicles[Vehicles])</f>
        <v>4.2739681419771513E-4</v>
      </c>
      <c r="E197" s="67">
        <f>town_vehicles[[#This Row],[Share of State Vehicles]]/INDEX(regional_vehicles[Share of State Vehicles],MATCH(town_vehicles[[#This Row],[Regional Planning Commission]],regional_vehicles[Regional Planning Commission]))</f>
        <v>4.2333019755409207E-3</v>
      </c>
    </row>
    <row r="198" spans="1:5" x14ac:dyDescent="0.25">
      <c r="A198" t="s">
        <v>119</v>
      </c>
      <c r="B198" t="s">
        <v>93</v>
      </c>
      <c r="C198" s="7">
        <v>1268</v>
      </c>
      <c r="D198" s="67">
        <f>town_vehicles[[#This Row],[Vehicles]]/SUM(town_vehicles[Vehicles])</f>
        <v>2.8674029650936654E-3</v>
      </c>
      <c r="E198" s="67">
        <f>town_vehicles[[#This Row],[Share of State Vehicles]]/INDEX(regional_vehicles[Share of State Vehicles],MATCH(town_vehicles[[#This Row],[Regional Planning Commission]],regional_vehicles[Regional Planning Commission]))</f>
        <v>5.0325448483886336E-2</v>
      </c>
    </row>
    <row r="199" spans="1:5" x14ac:dyDescent="0.25">
      <c r="A199" t="s">
        <v>315</v>
      </c>
      <c r="B199" t="s">
        <v>111</v>
      </c>
      <c r="C199" s="7">
        <v>594</v>
      </c>
      <c r="D199" s="67">
        <f>town_vehicles[[#This Row],[Vehicles]]/SUM(town_vehicles[Vehicles])</f>
        <v>1.3432471303356762E-3</v>
      </c>
      <c r="E199" s="67">
        <f>town_vehicles[[#This Row],[Share of State Vehicles]]/INDEX(regional_vehicles[Share of State Vehicles],MATCH(town_vehicles[[#This Row],[Regional Planning Commission]],regional_vehicles[Regional Planning Commission]))</f>
        <v>1.3939081053175012E-2</v>
      </c>
    </row>
    <row r="200" spans="1:5" x14ac:dyDescent="0.25">
      <c r="A200" t="s">
        <v>184</v>
      </c>
      <c r="B200" t="s">
        <v>101</v>
      </c>
      <c r="C200" s="7">
        <v>3349</v>
      </c>
      <c r="D200" s="67">
        <f>town_vehicles[[#This Row],[Vehicles]]/SUM(town_vehicles[Vehicles])</f>
        <v>7.5732906388790893E-3</v>
      </c>
      <c r="E200" s="67">
        <f>town_vehicles[[#This Row],[Share of State Vehicles]]/INDEX(regional_vehicles[Share of State Vehicles],MATCH(town_vehicles[[#This Row],[Regional Planning Commission]],regional_vehicles[Regional Planning Commission]))</f>
        <v>0.18800875764890809</v>
      </c>
    </row>
    <row r="201" spans="1:5" x14ac:dyDescent="0.25">
      <c r="A201" t="s">
        <v>316</v>
      </c>
      <c r="B201" t="s">
        <v>111</v>
      </c>
      <c r="C201" s="7">
        <v>960</v>
      </c>
      <c r="D201" s="67">
        <f>town_vehicles[[#This Row],[Vehicles]]/SUM(town_vehicles[Vehicles])</f>
        <v>2.1709044530677595E-3</v>
      </c>
      <c r="E201" s="67">
        <f>town_vehicles[[#This Row],[Share of State Vehicles]]/INDEX(regional_vehicles[Share of State Vehicles],MATCH(town_vehicles[[#This Row],[Regional Planning Commission]],regional_vehicles[Regional Planning Commission]))</f>
        <v>2.2527807762707092E-2</v>
      </c>
    </row>
    <row r="202" spans="1:5" x14ac:dyDescent="0.25">
      <c r="A202" t="s">
        <v>339</v>
      </c>
      <c r="B202" t="s">
        <v>113</v>
      </c>
      <c r="C202" s="7">
        <v>202</v>
      </c>
      <c r="D202" s="67">
        <f>town_vehicles[[#This Row],[Vehicles]]/SUM(town_vehicles[Vehicles])</f>
        <v>4.5679447866634105E-4</v>
      </c>
      <c r="E202" s="67">
        <f>town_vehicles[[#This Row],[Share of State Vehicles]]/INDEX(regional_vehicles[Share of State Vehicles],MATCH(town_vehicles[[#This Row],[Regional Planning Commission]],regional_vehicles[Regional Planning Commission]))</f>
        <v>5.9522055573562769E-3</v>
      </c>
    </row>
    <row r="203" spans="1:5" x14ac:dyDescent="0.25">
      <c r="A203" t="s">
        <v>277</v>
      </c>
      <c r="B203" t="s">
        <v>107</v>
      </c>
      <c r="C203" s="7">
        <v>431</v>
      </c>
      <c r="D203" s="67">
        <f>town_vehicles[[#This Row],[Vehicles]]/SUM(town_vehicles[Vehicles])</f>
        <v>9.7464564507521276E-4</v>
      </c>
      <c r="E203" s="67">
        <f>town_vehicles[[#This Row],[Share of State Vehicles]]/INDEX(regional_vehicles[Share of State Vehicles],MATCH(town_vehicles[[#This Row],[Regional Planning Commission]],regional_vehicles[Regional Planning Commission]))</f>
        <v>1.0109539558557925E-2</v>
      </c>
    </row>
    <row r="204" spans="1:5" x14ac:dyDescent="0.25">
      <c r="A204" t="s">
        <v>135</v>
      </c>
      <c r="B204" t="s">
        <v>95</v>
      </c>
      <c r="C204" s="7">
        <v>847</v>
      </c>
      <c r="D204" s="67">
        <f>town_vehicles[[#This Row],[Vehicles]]/SUM(town_vehicles[Vehicles])</f>
        <v>1.9153709080712419E-3</v>
      </c>
      <c r="E204" s="67">
        <f>town_vehicles[[#This Row],[Share of State Vehicles]]/INDEX(regional_vehicles[Share of State Vehicles],MATCH(town_vehicles[[#This Row],[Regional Planning Commission]],regional_vehicles[Regional Planning Commission]))</f>
        <v>3.4240206977402272E-2</v>
      </c>
    </row>
    <row r="205" spans="1:5" x14ac:dyDescent="0.25">
      <c r="A205" t="s">
        <v>228</v>
      </c>
      <c r="B205" t="s">
        <v>103</v>
      </c>
      <c r="C205" s="7">
        <v>764</v>
      </c>
      <c r="D205" s="67">
        <f>town_vehicles[[#This Row],[Vehicles]]/SUM(town_vehicles[Vehicles])</f>
        <v>1.7276781272330918E-3</v>
      </c>
      <c r="E205" s="67">
        <f>town_vehicles[[#This Row],[Share of State Vehicles]]/INDEX(regional_vehicles[Share of State Vehicles],MATCH(town_vehicles[[#This Row],[Regional Planning Commission]],regional_vehicles[Regional Planning Commission]))</f>
        <v>1.7112395287371764E-2</v>
      </c>
    </row>
    <row r="206" spans="1:5" x14ac:dyDescent="0.25">
      <c r="A206" t="s">
        <v>255</v>
      </c>
      <c r="B206" t="s">
        <v>105</v>
      </c>
      <c r="C206" s="7">
        <v>4653</v>
      </c>
      <c r="D206" s="67">
        <f>town_vehicles[[#This Row],[Vehicles]]/SUM(town_vehicles[Vehicles])</f>
        <v>1.0522102520962796E-2</v>
      </c>
      <c r="E206" s="67">
        <f>town_vehicles[[#This Row],[Share of State Vehicles]]/INDEX(regional_vehicles[Share of State Vehicles],MATCH(town_vehicles[[#This Row],[Regional Planning Commission]],regional_vehicles[Regional Planning Commission]))</f>
        <v>0.11701244813278008</v>
      </c>
    </row>
    <row r="207" spans="1:5" x14ac:dyDescent="0.25">
      <c r="A207" t="s">
        <v>317</v>
      </c>
      <c r="B207" t="s">
        <v>111</v>
      </c>
      <c r="C207" s="7">
        <v>2154</v>
      </c>
      <c r="D207" s="67">
        <f>town_vehicles[[#This Row],[Vehicles]]/SUM(town_vehicles[Vehicles])</f>
        <v>4.8709668665707848E-3</v>
      </c>
      <c r="E207" s="67">
        <f>town_vehicles[[#This Row],[Share of State Vehicles]]/INDEX(regional_vehicles[Share of State Vehicles],MATCH(town_vehicles[[#This Row],[Regional Planning Commission]],regional_vehicles[Regional Planning Commission]))</f>
        <v>5.054676866757403E-2</v>
      </c>
    </row>
    <row r="208" spans="1:5" x14ac:dyDescent="0.25">
      <c r="A208" t="s">
        <v>278</v>
      </c>
      <c r="B208" t="s">
        <v>107</v>
      </c>
      <c r="C208" s="7">
        <v>478</v>
      </c>
      <c r="D208" s="67">
        <f>town_vehicles[[#This Row],[Vehicles]]/SUM(town_vehicles[Vehicles])</f>
        <v>1.0809295089233219E-3</v>
      </c>
      <c r="E208" s="67">
        <f>town_vehicles[[#This Row],[Share of State Vehicles]]/INDEX(regional_vehicles[Share of State Vehicles],MATCH(town_vehicles[[#This Row],[Regional Planning Commission]],regional_vehicles[Regional Planning Commission]))</f>
        <v>1.1211971946614127E-2</v>
      </c>
    </row>
    <row r="209" spans="1:5" x14ac:dyDescent="0.25">
      <c r="A209" t="s">
        <v>318</v>
      </c>
      <c r="B209" t="s">
        <v>111</v>
      </c>
      <c r="C209" s="7">
        <v>936</v>
      </c>
      <c r="D209" s="67">
        <f>town_vehicles[[#This Row],[Vehicles]]/SUM(town_vehicles[Vehicles])</f>
        <v>2.1166318417410652E-3</v>
      </c>
      <c r="E209" s="67">
        <f>town_vehicles[[#This Row],[Share of State Vehicles]]/INDEX(regional_vehicles[Share of State Vehicles],MATCH(town_vehicles[[#This Row],[Regional Planning Commission]],regional_vehicles[Regional Planning Commission]))</f>
        <v>2.1964612568639411E-2</v>
      </c>
    </row>
    <row r="210" spans="1:5" x14ac:dyDescent="0.25">
      <c r="A210" t="s">
        <v>340</v>
      </c>
      <c r="B210" t="s">
        <v>113</v>
      </c>
      <c r="C210" s="7">
        <v>868</v>
      </c>
      <c r="D210" s="67">
        <f>town_vehicles[[#This Row],[Vehicles]]/SUM(town_vehicles[Vehicles])</f>
        <v>1.9628594429820989E-3</v>
      </c>
      <c r="E210" s="67">
        <f>town_vehicles[[#This Row],[Share of State Vehicles]]/INDEX(regional_vehicles[Share of State Vehicles],MATCH(town_vehicles[[#This Row],[Regional Planning Commission]],regional_vehicles[Regional Planning Commission]))</f>
        <v>2.5576804078144787E-2</v>
      </c>
    </row>
    <row r="211" spans="1:5" x14ac:dyDescent="0.25">
      <c r="A211" t="s">
        <v>229</v>
      </c>
      <c r="B211" t="s">
        <v>103</v>
      </c>
      <c r="C211" s="7">
        <v>1114</v>
      </c>
      <c r="D211" s="67">
        <f>town_vehicles[[#This Row],[Vehicles]]/SUM(town_vehicles[Vehicles])</f>
        <v>2.5191537090807122E-3</v>
      </c>
      <c r="E211" s="67">
        <f>town_vehicles[[#This Row],[Share of State Vehicles]]/INDEX(regional_vehicles[Share of State Vehicles],MATCH(town_vehicles[[#This Row],[Regional Planning Commission]],regional_vehicles[Regional Planning Commission]))</f>
        <v>2.4951843390225322E-2</v>
      </c>
    </row>
    <row r="212" spans="1:5" x14ac:dyDescent="0.25">
      <c r="A212" t="s">
        <v>319</v>
      </c>
      <c r="B212" t="s">
        <v>111</v>
      </c>
      <c r="C212" s="7">
        <v>1072</v>
      </c>
      <c r="D212" s="67">
        <f>town_vehicles[[#This Row],[Vehicles]]/SUM(town_vehicles[Vehicles])</f>
        <v>2.4241766392589978E-3</v>
      </c>
      <c r="E212" s="67">
        <f>town_vehicles[[#This Row],[Share of State Vehicles]]/INDEX(regional_vehicles[Share of State Vehicles],MATCH(town_vehicles[[#This Row],[Regional Planning Commission]],regional_vehicles[Regional Planning Commission]))</f>
        <v>2.5156052001689584E-2</v>
      </c>
    </row>
    <row r="213" spans="1:5" x14ac:dyDescent="0.25">
      <c r="A213" t="s">
        <v>173</v>
      </c>
      <c r="B213" t="s">
        <v>99</v>
      </c>
      <c r="C213" s="7">
        <v>2418</v>
      </c>
      <c r="D213" s="67">
        <f>town_vehicles[[#This Row],[Vehicles]]/SUM(town_vehicles[Vehicles])</f>
        <v>5.4679655911644186E-3</v>
      </c>
      <c r="E213" s="67">
        <f>town_vehicles[[#This Row],[Share of State Vehicles]]/INDEX(regional_vehicles[Share of State Vehicles],MATCH(town_vehicles[[#This Row],[Regional Planning Commission]],regional_vehicles[Regional Planning Commission]))</f>
        <v>2.249679016021287E-2</v>
      </c>
    </row>
    <row r="214" spans="1:5" x14ac:dyDescent="0.25">
      <c r="A214" t="s">
        <v>120</v>
      </c>
      <c r="B214" t="s">
        <v>93</v>
      </c>
      <c r="C214" s="7">
        <v>1619</v>
      </c>
      <c r="D214" s="67">
        <f>town_vehicles[[#This Row],[Vehicles]]/SUM(town_vehicles[Vehicles])</f>
        <v>3.6611399057465649E-3</v>
      </c>
      <c r="E214" s="67">
        <f>town_vehicles[[#This Row],[Share of State Vehicles]]/INDEX(regional_vehicles[Share of State Vehicles],MATCH(town_vehicles[[#This Row],[Regional Planning Commission]],regional_vehicles[Regional Planning Commission]))</f>
        <v>6.425623114780124E-2</v>
      </c>
    </row>
    <row r="215" spans="1:5" x14ac:dyDescent="0.25">
      <c r="A215" t="s">
        <v>341</v>
      </c>
      <c r="B215" t="s">
        <v>113</v>
      </c>
      <c r="C215" s="7">
        <v>1592</v>
      </c>
      <c r="D215" s="67">
        <f>town_vehicles[[#This Row],[Vehicles]]/SUM(town_vehicles[Vehicles])</f>
        <v>3.6000832180040341E-3</v>
      </c>
      <c r="E215" s="67">
        <f>town_vehicles[[#This Row],[Share of State Vehicles]]/INDEX(regional_vehicles[Share of State Vehicles],MATCH(town_vehicles[[#This Row],[Regional Planning Commission]],regional_vehicles[Regional Planning Commission]))</f>
        <v>4.6910451719362332E-2</v>
      </c>
    </row>
    <row r="216" spans="1:5" x14ac:dyDescent="0.25">
      <c r="A216" t="s">
        <v>320</v>
      </c>
      <c r="B216" t="s">
        <v>111</v>
      </c>
      <c r="C216" s="7">
        <v>544</v>
      </c>
      <c r="D216" s="67">
        <f>town_vehicles[[#This Row],[Vehicles]]/SUM(town_vehicles[Vehicles])</f>
        <v>1.2301791900717304E-3</v>
      </c>
      <c r="E216" s="67">
        <f>town_vehicles[[#This Row],[Share of State Vehicles]]/INDEX(regional_vehicles[Share of State Vehicles],MATCH(town_vehicles[[#This Row],[Regional Planning Commission]],regional_vehicles[Regional Planning Commission]))</f>
        <v>1.2765757732200685E-2</v>
      </c>
    </row>
    <row r="217" spans="1:5" x14ac:dyDescent="0.25">
      <c r="A217" t="s">
        <v>230</v>
      </c>
      <c r="B217" t="s">
        <v>103</v>
      </c>
      <c r="C217" s="7">
        <v>83</v>
      </c>
      <c r="D217" s="67">
        <f>town_vehicles[[#This Row],[Vehicles]]/SUM(town_vehicles[Vehicles])</f>
        <v>1.8769278083815002E-4</v>
      </c>
      <c r="E217" s="67">
        <f>town_vehicles[[#This Row],[Share of State Vehicles]]/INDEX(regional_vehicles[Share of State Vehicles],MATCH(town_vehicles[[#This Row],[Regional Planning Commission]],regional_vehicles[Regional Planning Commission]))</f>
        <v>1.8590691215338434E-3</v>
      </c>
    </row>
    <row r="218" spans="1:5" x14ac:dyDescent="0.25">
      <c r="A218" t="s">
        <v>153</v>
      </c>
      <c r="B218" t="s">
        <v>97</v>
      </c>
      <c r="C218" s="7">
        <v>1387</v>
      </c>
      <c r="D218" s="67">
        <f>town_vehicles[[#This Row],[Vehicles]]/SUM(town_vehicles[Vehicles])</f>
        <v>3.1365046629218563E-3</v>
      </c>
      <c r="E218" s="67">
        <f>town_vehicles[[#This Row],[Share of State Vehicles]]/INDEX(regional_vehicles[Share of State Vehicles],MATCH(town_vehicles[[#This Row],[Regional Planning Commission]],regional_vehicles[Regional Planning Commission]))</f>
        <v>3.0542587862239057E-2</v>
      </c>
    </row>
    <row r="219" spans="1:5" x14ac:dyDescent="0.25">
      <c r="A219" t="s">
        <v>231</v>
      </c>
      <c r="B219" t="s">
        <v>103</v>
      </c>
      <c r="C219" s="7">
        <v>695</v>
      </c>
      <c r="D219" s="67">
        <f>town_vehicles[[#This Row],[Vehicles]]/SUM(town_vehicles[Vehicles])</f>
        <v>1.5716443696688466E-3</v>
      </c>
      <c r="E219" s="67">
        <f>town_vehicles[[#This Row],[Share of State Vehicles]]/INDEX(regional_vehicles[Share of State Vehicles],MATCH(town_vehicles[[#This Row],[Regional Planning Commission]],regional_vehicles[Regional Planning Commission]))</f>
        <v>1.5566904089952064E-2</v>
      </c>
    </row>
    <row r="220" spans="1:5" x14ac:dyDescent="0.25">
      <c r="A220" t="s">
        <v>279</v>
      </c>
      <c r="B220" t="s">
        <v>107</v>
      </c>
      <c r="C220" s="7">
        <v>1634</v>
      </c>
      <c r="D220" s="67">
        <f>town_vehicles[[#This Row],[Vehicles]]/SUM(town_vehicles[Vehicles])</f>
        <v>3.6950602878257489E-3</v>
      </c>
      <c r="E220" s="67">
        <f>town_vehicles[[#This Row],[Share of State Vehicles]]/INDEX(regional_vehicles[Share of State Vehicles],MATCH(town_vehicles[[#This Row],[Regional Planning Commission]],regional_vehicles[Regional Planning Commission]))</f>
        <v>3.8327117491145361E-2</v>
      </c>
    </row>
    <row r="221" spans="1:5" x14ac:dyDescent="0.25">
      <c r="A221" t="s">
        <v>121</v>
      </c>
      <c r="B221" t="s">
        <v>93</v>
      </c>
      <c r="C221" s="7">
        <v>365</v>
      </c>
      <c r="D221" s="67">
        <f>town_vehicles[[#This Row],[Vehicles]]/SUM(town_vehicles[Vehicles])</f>
        <v>8.253959639268043E-4</v>
      </c>
      <c r="E221" s="67">
        <f>town_vehicles[[#This Row],[Share of State Vehicles]]/INDEX(regional_vehicles[Share of State Vehicles],MATCH(town_vehicles[[#This Row],[Regional Planning Commission]],regional_vehicles[Regional Planning Commission]))</f>
        <v>1.448642641689157E-2</v>
      </c>
    </row>
    <row r="222" spans="1:5" x14ac:dyDescent="0.25">
      <c r="A222" t="s">
        <v>342</v>
      </c>
      <c r="B222" t="s">
        <v>113</v>
      </c>
      <c r="C222" s="7">
        <v>609</v>
      </c>
      <c r="D222" s="67">
        <f>town_vehicles[[#This Row],[Vehicles]]/SUM(town_vehicles[Vehicles])</f>
        <v>1.3771675124148598E-3</v>
      </c>
      <c r="E222" s="67">
        <f>town_vehicles[[#This Row],[Share of State Vehicles]]/INDEX(regional_vehicles[Share of State Vehicles],MATCH(town_vehicles[[#This Row],[Regional Planning Commission]],regional_vehicles[Regional Planning Commission]))</f>
        <v>1.7945015764504812E-2</v>
      </c>
    </row>
    <row r="223" spans="1:5" x14ac:dyDescent="0.25">
      <c r="A223" t="s">
        <v>367</v>
      </c>
      <c r="B223" t="s">
        <v>103</v>
      </c>
      <c r="C223" s="7">
        <v>0</v>
      </c>
      <c r="D223" s="67">
        <f>town_vehicles[[#This Row],[Vehicles]]/SUM(town_vehicles[Vehicles])</f>
        <v>0</v>
      </c>
      <c r="E223" s="67">
        <f>town_vehicles[[#This Row],[Share of State Vehicles]]/INDEX(regional_vehicles[Share of State Vehicles],MATCH(town_vehicles[[#This Row],[Regional Planning Commission]],regional_vehicles[Regional Planning Commission]))</f>
        <v>0</v>
      </c>
    </row>
    <row r="224" spans="1:5" x14ac:dyDescent="0.25">
      <c r="A224" t="s">
        <v>154</v>
      </c>
      <c r="B224" t="s">
        <v>97</v>
      </c>
      <c r="C224" s="7">
        <v>1284</v>
      </c>
      <c r="D224" s="67">
        <f>town_vehicles[[#This Row],[Vehicles]]/SUM(town_vehicles[Vehicles])</f>
        <v>2.9035847059781282E-3</v>
      </c>
      <c r="E224" s="67">
        <f>town_vehicles[[#This Row],[Share of State Vehicles]]/INDEX(regional_vehicles[Share of State Vehicles],MATCH(town_vehicles[[#This Row],[Regional Planning Commission]],regional_vehicles[Regional Planning Commission]))</f>
        <v>2.8274464899145604E-2</v>
      </c>
    </row>
    <row r="225" spans="1:5" x14ac:dyDescent="0.25">
      <c r="A225" t="s">
        <v>368</v>
      </c>
      <c r="B225" t="s">
        <v>103</v>
      </c>
      <c r="C225" s="7">
        <v>0</v>
      </c>
      <c r="D225" s="67">
        <f>town_vehicles[[#This Row],[Vehicles]]/SUM(town_vehicles[Vehicles])</f>
        <v>0</v>
      </c>
      <c r="E225" s="67">
        <f>town_vehicles[[#This Row],[Share of State Vehicles]]/INDEX(regional_vehicles[Share of State Vehicles],MATCH(town_vehicles[[#This Row],[Regional Planning Commission]],regional_vehicles[Regional Planning Commission]))</f>
        <v>0</v>
      </c>
    </row>
    <row r="226" spans="1:5" x14ac:dyDescent="0.25">
      <c r="A226" t="s">
        <v>155</v>
      </c>
      <c r="B226" t="s">
        <v>97</v>
      </c>
      <c r="C226" s="7">
        <v>887</v>
      </c>
      <c r="D226" s="67">
        <f>town_vehicles[[#This Row],[Vehicles]]/SUM(town_vehicles[Vehicles])</f>
        <v>2.0058252602823986E-3</v>
      </c>
      <c r="E226" s="67">
        <f>town_vehicles[[#This Row],[Share of State Vehicles]]/INDEX(regional_vehicles[Share of State Vehicles],MATCH(town_vehicles[[#This Row],[Regional Planning Commission]],regional_vehicles[Regional Planning Commission]))</f>
        <v>1.9532282216154325E-2</v>
      </c>
    </row>
    <row r="227" spans="1:5" x14ac:dyDescent="0.25">
      <c r="A227" t="s">
        <v>156</v>
      </c>
      <c r="B227" t="s">
        <v>97</v>
      </c>
      <c r="C227" s="7">
        <v>3945</v>
      </c>
      <c r="D227" s="67">
        <f>town_vehicles[[#This Row],[Vehicles]]/SUM(town_vehicles[Vehicles])</f>
        <v>8.9210604868253229E-3</v>
      </c>
      <c r="E227" s="67">
        <f>town_vehicles[[#This Row],[Share of State Vehicles]]/INDEX(regional_vehicles[Share of State Vehicles],MATCH(town_vehicles[[#This Row],[Regional Planning Commission]],regional_vehicles[Regional Planning Commission]))</f>
        <v>8.6871311547608562E-2</v>
      </c>
    </row>
    <row r="228" spans="1:5" x14ac:dyDescent="0.25">
      <c r="A228" t="s">
        <v>232</v>
      </c>
      <c r="B228" t="s">
        <v>103</v>
      </c>
      <c r="C228" s="7">
        <v>994</v>
      </c>
      <c r="D228" s="67">
        <f>town_vehicles[[#This Row],[Vehicles]]/SUM(town_vehicles[Vehicles])</f>
        <v>2.2477906524472424E-3</v>
      </c>
      <c r="E228" s="67">
        <f>town_vehicles[[#This Row],[Share of State Vehicles]]/INDEX(regional_vehicles[Share of State Vehicles],MATCH(town_vehicles[[#This Row],[Regional Planning Commission]],regional_vehicles[Regional Planning Commission]))</f>
        <v>2.2264032612104103E-2</v>
      </c>
    </row>
    <row r="229" spans="1:5" x14ac:dyDescent="0.25">
      <c r="A229" t="s">
        <v>185</v>
      </c>
      <c r="B229" t="s">
        <v>101</v>
      </c>
      <c r="C229" s="7">
        <v>519</v>
      </c>
      <c r="D229" s="67">
        <f>town_vehicles[[#This Row],[Vehicles]]/SUM(town_vehicles[Vehicles])</f>
        <v>1.1736452199397574E-3</v>
      </c>
      <c r="E229" s="67">
        <f>town_vehicles[[#This Row],[Share of State Vehicles]]/INDEX(regional_vehicles[Share of State Vehicles],MATCH(town_vehicles[[#This Row],[Regional Planning Commission]],regional_vehicles[Regional Planning Commission]))</f>
        <v>2.9136024251950825E-2</v>
      </c>
    </row>
    <row r="230" spans="1:5" x14ac:dyDescent="0.25">
      <c r="A230" t="s">
        <v>290</v>
      </c>
      <c r="B230" t="s">
        <v>109</v>
      </c>
      <c r="C230" s="7">
        <v>2472</v>
      </c>
      <c r="D230" s="67">
        <f>town_vehicles[[#This Row],[Vehicles]]/SUM(town_vehicles[Vehicles])</f>
        <v>5.5900789666494801E-3</v>
      </c>
      <c r="E230" s="67">
        <f>town_vehicles[[#This Row],[Share of State Vehicles]]/INDEX(regional_vehicles[Share of State Vehicles],MATCH(town_vehicles[[#This Row],[Regional Planning Commission]],regional_vehicles[Regional Planning Commission]))</f>
        <v>0.13750903932803027</v>
      </c>
    </row>
    <row r="231" spans="1:5" x14ac:dyDescent="0.25">
      <c r="A231" t="s">
        <v>280</v>
      </c>
      <c r="B231" t="s">
        <v>107</v>
      </c>
      <c r="C231" s="7">
        <v>838</v>
      </c>
      <c r="D231" s="67">
        <f>town_vehicles[[#This Row],[Vehicles]]/SUM(town_vehicles[Vehicles])</f>
        <v>1.8950186788237317E-3</v>
      </c>
      <c r="E231" s="67">
        <f>town_vehicles[[#This Row],[Share of State Vehicles]]/INDEX(regional_vehicles[Share of State Vehicles],MATCH(town_vehicles[[#This Row],[Regional Planning Commission]],regional_vehicles[Regional Planning Commission]))</f>
        <v>1.9656134918959494E-2</v>
      </c>
    </row>
    <row r="232" spans="1:5" x14ac:dyDescent="0.25">
      <c r="A232" t="s">
        <v>321</v>
      </c>
      <c r="B232" t="s">
        <v>111</v>
      </c>
      <c r="C232" s="7">
        <v>562</v>
      </c>
      <c r="D232" s="67">
        <f>town_vehicles[[#This Row],[Vehicles]]/SUM(town_vehicles[Vehicles])</f>
        <v>1.2708836485667509E-3</v>
      </c>
      <c r="E232" s="67">
        <f>town_vehicles[[#This Row],[Share of State Vehicles]]/INDEX(regional_vehicles[Share of State Vehicles],MATCH(town_vehicles[[#This Row],[Regional Planning Commission]],regional_vehicles[Regional Planning Commission]))</f>
        <v>1.3188154127751444E-2</v>
      </c>
    </row>
    <row r="233" spans="1:5" x14ac:dyDescent="0.25">
      <c r="A233" t="s">
        <v>282</v>
      </c>
      <c r="B233" t="s">
        <v>107</v>
      </c>
      <c r="C233" s="7">
        <v>225</v>
      </c>
      <c r="D233" s="67">
        <f>town_vehicles[[#This Row],[Vehicles]]/SUM(town_vehicles[Vehicles])</f>
        <v>5.0880573118775604E-4</v>
      </c>
      <c r="E233" s="67">
        <f>town_vehicles[[#This Row],[Share of State Vehicles]]/INDEX(regional_vehicles[Share of State Vehicles],MATCH(town_vehicles[[#This Row],[Regional Planning Commission]],regional_vehicles[Regional Planning Commission]))</f>
        <v>5.2776018577158539E-3</v>
      </c>
    </row>
    <row r="234" spans="1:5" x14ac:dyDescent="0.25">
      <c r="A234" t="s">
        <v>281</v>
      </c>
      <c r="B234" t="s">
        <v>107</v>
      </c>
      <c r="C234" s="7">
        <v>1766</v>
      </c>
      <c r="D234" s="67">
        <f>town_vehicles[[#This Row],[Vehicles]]/SUM(town_vehicles[Vehicles])</f>
        <v>3.9935596501225658E-3</v>
      </c>
      <c r="E234" s="67">
        <f>town_vehicles[[#This Row],[Share of State Vehicles]]/INDEX(regional_vehicles[Share of State Vehicles],MATCH(town_vehicles[[#This Row],[Regional Planning Commission]],regional_vehicles[Regional Planning Commission]))</f>
        <v>4.1423310581005325E-2</v>
      </c>
    </row>
    <row r="235" spans="1:5" x14ac:dyDescent="0.25">
      <c r="A235" t="s">
        <v>291</v>
      </c>
      <c r="B235" t="s">
        <v>109</v>
      </c>
      <c r="C235" s="7">
        <v>923</v>
      </c>
      <c r="D235" s="67">
        <f>town_vehicles[[#This Row],[Vehicles]]/SUM(town_vehicles[Vehicles])</f>
        <v>2.0872341772724397E-3</v>
      </c>
      <c r="E235" s="67">
        <f>town_vehicles[[#This Row],[Share of State Vehicles]]/INDEX(regional_vehicles[Share of State Vehicles],MATCH(town_vehicles[[#This Row],[Regional Planning Commission]],regional_vehicles[Regional Planning Commission]))</f>
        <v>5.1343383211881859E-2</v>
      </c>
    </row>
    <row r="236" spans="1:5" x14ac:dyDescent="0.25">
      <c r="A236" t="s">
        <v>233</v>
      </c>
      <c r="B236" t="s">
        <v>103</v>
      </c>
      <c r="C236" s="7">
        <v>398</v>
      </c>
      <c r="D236" s="67">
        <f>town_vehicles[[#This Row],[Vehicles]]/SUM(town_vehicles[Vehicles])</f>
        <v>9.0002080450100853E-4</v>
      </c>
      <c r="E236" s="67">
        <f>town_vehicles[[#This Row],[Share of State Vehicles]]/INDEX(regional_vehicles[Share of State Vehicles],MATCH(town_vehicles[[#This Row],[Regional Planning Commission]],regional_vehicles[Regional Planning Commission]))</f>
        <v>8.9145724141020451E-3</v>
      </c>
    </row>
    <row r="237" spans="1:5" x14ac:dyDescent="0.25">
      <c r="A237" t="s">
        <v>174</v>
      </c>
      <c r="B237" t="s">
        <v>99</v>
      </c>
      <c r="C237" s="7">
        <v>1561</v>
      </c>
      <c r="D237" s="67">
        <f>town_vehicles[[#This Row],[Vehicles]]/SUM(town_vehicles[Vehicles])</f>
        <v>3.5299810950403881E-3</v>
      </c>
      <c r="E237" s="67">
        <f>town_vehicles[[#This Row],[Share of State Vehicles]]/INDEX(regional_vehicles[Share of State Vehicles],MATCH(town_vehicles[[#This Row],[Regional Planning Commission]],regional_vehicles[Regional Planning Commission]))</f>
        <v>1.4523362051320222E-2</v>
      </c>
    </row>
    <row r="238" spans="1:5" x14ac:dyDescent="0.25">
      <c r="A238" t="s">
        <v>343</v>
      </c>
      <c r="B238" t="s">
        <v>113</v>
      </c>
      <c r="C238" s="7">
        <v>2487</v>
      </c>
      <c r="D238" s="67">
        <f>town_vehicles[[#This Row],[Vehicles]]/SUM(town_vehicles[Vehicles])</f>
        <v>5.6239993487286642E-3</v>
      </c>
      <c r="E238" s="67">
        <f>town_vehicles[[#This Row],[Share of State Vehicles]]/INDEX(regional_vehicles[Share of State Vehicles],MATCH(town_vehicles[[#This Row],[Regional Planning Commission]],regional_vehicles[Regional Planning Commission]))</f>
        <v>7.3282847629430992E-2</v>
      </c>
    </row>
    <row r="239" spans="1:5" x14ac:dyDescent="0.25">
      <c r="A239" t="s">
        <v>234</v>
      </c>
      <c r="B239" t="s">
        <v>103</v>
      </c>
      <c r="C239" s="7">
        <v>299</v>
      </c>
      <c r="D239" s="67">
        <f>town_vehicles[[#This Row],[Vehicles]]/SUM(town_vehicles[Vehicles])</f>
        <v>6.7614628277839583E-4</v>
      </c>
      <c r="E239" s="67">
        <f>town_vehicles[[#This Row],[Share of State Vehicles]]/INDEX(regional_vehicles[Share of State Vehicles],MATCH(town_vehicles[[#This Row],[Regional Planning Commission]],regional_vehicles[Regional Planning Commission]))</f>
        <v>6.6971285221520387E-3</v>
      </c>
    </row>
    <row r="240" spans="1:5" x14ac:dyDescent="0.25">
      <c r="A240" t="s">
        <v>344</v>
      </c>
      <c r="B240" t="s">
        <v>113</v>
      </c>
      <c r="C240" s="7">
        <v>464</v>
      </c>
      <c r="D240" s="67">
        <f>town_vehicles[[#This Row],[Vehicles]]/SUM(town_vehicles[Vehicles])</f>
        <v>1.0492704856494171E-3</v>
      </c>
      <c r="E240" s="67">
        <f>town_vehicles[[#This Row],[Share of State Vehicles]]/INDEX(regional_vehicles[Share of State Vehicles],MATCH(town_vehicles[[#This Row],[Regional Planning Commission]],regional_vehicles[Regional Planning Commission]))</f>
        <v>1.367239296343224E-2</v>
      </c>
    </row>
    <row r="241" spans="1:5" x14ac:dyDescent="0.25">
      <c r="A241" t="s">
        <v>122</v>
      </c>
      <c r="B241" t="s">
        <v>93</v>
      </c>
      <c r="C241" s="7">
        <v>649</v>
      </c>
      <c r="D241" s="67">
        <f>town_vehicles[[#This Row],[Vehicles]]/SUM(town_vehicles[Vehicles])</f>
        <v>1.4676218646260165E-3</v>
      </c>
      <c r="E241" s="67">
        <f>town_vehicles[[#This Row],[Share of State Vehicles]]/INDEX(regional_vehicles[Share of State Vehicles],MATCH(town_vehicles[[#This Row],[Regional Planning Commission]],regional_vehicles[Regional Planning Commission]))</f>
        <v>2.5758056834418164E-2</v>
      </c>
    </row>
    <row r="242" spans="1:5" x14ac:dyDescent="0.25">
      <c r="A242" t="s">
        <v>235</v>
      </c>
      <c r="B242" t="s">
        <v>103</v>
      </c>
      <c r="C242" s="7">
        <v>585</v>
      </c>
      <c r="D242" s="67">
        <f>town_vehicles[[#This Row],[Vehicles]]/SUM(town_vehicles[Vehicles])</f>
        <v>1.3228949010881659E-3</v>
      </c>
      <c r="E242" s="67">
        <f>town_vehicles[[#This Row],[Share of State Vehicles]]/INDEX(regional_vehicles[Share of State Vehicles],MATCH(town_vehicles[[#This Row],[Regional Planning Commission]],regional_vehicles[Regional Planning Commission]))</f>
        <v>1.3103077543340946E-2</v>
      </c>
    </row>
    <row r="243" spans="1:5" x14ac:dyDescent="0.25">
      <c r="A243" t="s">
        <v>123</v>
      </c>
      <c r="B243" t="s">
        <v>93</v>
      </c>
      <c r="C243" s="7">
        <v>298</v>
      </c>
      <c r="D243" s="67">
        <f>town_vehicles[[#This Row],[Vehicles]]/SUM(town_vehicles[Vehicles])</f>
        <v>6.7388492397311701E-4</v>
      </c>
      <c r="E243" s="67">
        <f>town_vehicles[[#This Row],[Share of State Vehicles]]/INDEX(regional_vehicles[Share of State Vehicles],MATCH(town_vehicles[[#This Row],[Regional Planning Commission]],regional_vehicles[Regional Planning Commission]))</f>
        <v>1.1827274170503256E-2</v>
      </c>
    </row>
    <row r="244" spans="1:5" x14ac:dyDescent="0.25">
      <c r="A244" t="s">
        <v>345</v>
      </c>
      <c r="B244" t="s">
        <v>113</v>
      </c>
      <c r="C244" s="7">
        <v>1061</v>
      </c>
      <c r="D244" s="67">
        <f>town_vehicles[[#This Row],[Vehicles]]/SUM(town_vehicles[Vehicles])</f>
        <v>2.3993016924009299E-3</v>
      </c>
      <c r="E244" s="67">
        <f>town_vehicles[[#This Row],[Share of State Vehicles]]/INDEX(regional_vehicles[Share of State Vehicles],MATCH(town_vehicles[[#This Row],[Regional Planning Commission]],regional_vehicles[Regional Planning Commission]))</f>
        <v>3.1263812358193116E-2</v>
      </c>
    </row>
    <row r="245" spans="1:5" x14ac:dyDescent="0.25">
      <c r="A245" t="s">
        <v>157</v>
      </c>
      <c r="B245" t="s">
        <v>97</v>
      </c>
      <c r="C245" s="7">
        <v>2425</v>
      </c>
      <c r="D245" s="67">
        <f>town_vehicles[[#This Row],[Vehicles]]/SUM(town_vehicles[Vehicles])</f>
        <v>5.4837951028013712E-3</v>
      </c>
      <c r="E245" s="67">
        <f>town_vehicles[[#This Row],[Share of State Vehicles]]/INDEX(regional_vehicles[Share of State Vehicles],MATCH(town_vehicles[[#This Row],[Regional Planning Commission]],regional_vehicles[Regional Planning Commission]))</f>
        <v>5.3399982383510972E-2</v>
      </c>
    </row>
    <row r="246" spans="1:5" x14ac:dyDescent="0.25">
      <c r="A246" t="s">
        <v>175</v>
      </c>
      <c r="B246" t="s">
        <v>99</v>
      </c>
      <c r="C246" s="7">
        <v>6640</v>
      </c>
      <c r="D246" s="67">
        <f>town_vehicles[[#This Row],[Vehicles]]/SUM(town_vehicles[Vehicles])</f>
        <v>1.5015422467052002E-2</v>
      </c>
      <c r="E246" s="67">
        <f>town_vehicles[[#This Row],[Share of State Vehicles]]/INDEX(regional_vehicles[Share of State Vehicles],MATCH(town_vehicles[[#This Row],[Regional Planning Commission]],regional_vehicles[Regional Planning Commission]))</f>
        <v>6.1777786047896389E-2</v>
      </c>
    </row>
    <row r="247" spans="1:5" x14ac:dyDescent="0.25">
      <c r="A247" t="s">
        <v>346</v>
      </c>
      <c r="B247" t="s">
        <v>113</v>
      </c>
      <c r="C247" s="7">
        <v>1568</v>
      </c>
      <c r="D247" s="67">
        <f>town_vehicles[[#This Row],[Vehicles]]/SUM(town_vehicles[Vehicles])</f>
        <v>3.5458106066773402E-3</v>
      </c>
      <c r="E247" s="67">
        <f>town_vehicles[[#This Row],[Share of State Vehicles]]/INDEX(regional_vehicles[Share of State Vehicles],MATCH(town_vehicles[[#This Row],[Regional Planning Commission]],regional_vehicles[Regional Planning Commission]))</f>
        <v>4.6203258979874463E-2</v>
      </c>
    </row>
    <row r="248" spans="1:5" x14ac:dyDescent="0.25">
      <c r="A248" t="s">
        <v>347</v>
      </c>
      <c r="B248" t="s">
        <v>113</v>
      </c>
      <c r="C248" s="7">
        <v>308</v>
      </c>
      <c r="D248" s="67">
        <f>town_vehicles[[#This Row],[Vehicles]]/SUM(town_vehicles[Vehicles])</f>
        <v>6.9649851202590609E-4</v>
      </c>
      <c r="E248" s="67">
        <f>town_vehicles[[#This Row],[Share of State Vehicles]]/INDEX(regional_vehicles[Share of State Vehicles],MATCH(town_vehicles[[#This Row],[Regional Planning Commission]],regional_vehicles[Regional Planning Commission]))</f>
        <v>9.0756401567610549E-3</v>
      </c>
    </row>
    <row r="249" spans="1:5" x14ac:dyDescent="0.25">
      <c r="A249" t="s">
        <v>292</v>
      </c>
      <c r="B249" t="s">
        <v>109</v>
      </c>
      <c r="C249" s="7">
        <v>2212</v>
      </c>
      <c r="D249" s="67">
        <f>town_vehicles[[#This Row],[Vehicles]]/SUM(town_vehicles[Vehicles])</f>
        <v>5.0021256772769624E-3</v>
      </c>
      <c r="E249" s="67">
        <f>town_vehicles[[#This Row],[Share of State Vehicles]]/INDEX(regional_vehicles[Share of State Vehicles],MATCH(town_vehicles[[#This Row],[Regional Planning Commission]],regional_vehicles[Regional Planning Commission]))</f>
        <v>0.12304611447961285</v>
      </c>
    </row>
    <row r="250" spans="1:5" x14ac:dyDescent="0.25">
      <c r="A250" t="s">
        <v>348</v>
      </c>
      <c r="B250" t="s">
        <v>113</v>
      </c>
      <c r="C250" s="7">
        <v>537</v>
      </c>
      <c r="D250" s="67">
        <f>town_vehicles[[#This Row],[Vehicles]]/SUM(town_vehicles[Vehicles])</f>
        <v>1.214349678434778E-3</v>
      </c>
      <c r="E250" s="67">
        <f>town_vehicles[[#This Row],[Share of State Vehicles]]/INDEX(regional_vehicles[Share of State Vehicles],MATCH(town_vehicles[[#This Row],[Regional Planning Commission]],regional_vehicles[Regional Planning Commission]))</f>
        <v>1.5823437546041191E-2</v>
      </c>
    </row>
    <row r="251" spans="1:5" x14ac:dyDescent="0.25">
      <c r="A251" t="s">
        <v>176</v>
      </c>
      <c r="B251" t="s">
        <v>99</v>
      </c>
      <c r="C251" s="7">
        <v>4172</v>
      </c>
      <c r="D251" s="67">
        <f>town_vehicles[[#This Row],[Vehicles]]/SUM(town_vehicles[Vehicles])</f>
        <v>9.4343889356236377E-3</v>
      </c>
      <c r="E251" s="67">
        <f>town_vehicles[[#This Row],[Share of State Vehicles]]/INDEX(regional_vehicles[Share of State Vehicles],MATCH(town_vehicles[[#This Row],[Regional Planning Commission]],regional_vehicles[Regional Planning Commission]))</f>
        <v>3.881580171563611E-2</v>
      </c>
    </row>
    <row r="252" spans="1:5" x14ac:dyDescent="0.25">
      <c r="A252" t="s">
        <v>186</v>
      </c>
      <c r="B252" t="s">
        <v>101</v>
      </c>
      <c r="C252" s="7">
        <v>1134</v>
      </c>
      <c r="D252" s="67">
        <f>town_vehicles[[#This Row],[Vehicles]]/SUM(town_vehicles[Vehicles])</f>
        <v>2.5643808851862908E-3</v>
      </c>
      <c r="E252" s="67">
        <f>town_vehicles[[#This Row],[Share of State Vehicles]]/INDEX(regional_vehicles[Share of State Vehicles],MATCH(town_vehicles[[#This Row],[Regional Planning Commission]],regional_vehicles[Regional Planning Commission]))</f>
        <v>6.3661370908886766E-2</v>
      </c>
    </row>
    <row r="253" spans="1:5" x14ac:dyDescent="0.25">
      <c r="A253" t="s">
        <v>158</v>
      </c>
      <c r="B253" t="s">
        <v>97</v>
      </c>
      <c r="C253" s="7">
        <v>744</v>
      </c>
      <c r="D253" s="67">
        <f>town_vehicles[[#This Row],[Vehicles]]/SUM(town_vehicles[Vehicles])</f>
        <v>1.6824509511275136E-3</v>
      </c>
      <c r="E253" s="67">
        <f>town_vehicles[[#This Row],[Share of State Vehicles]]/INDEX(regional_vehicles[Share of State Vehicles],MATCH(town_vehicles[[#This Row],[Regional Planning Commission]],regional_vehicles[Regional Planning Commission]))</f>
        <v>1.6383334801374088E-2</v>
      </c>
    </row>
    <row r="254" spans="1:5" x14ac:dyDescent="0.25">
      <c r="A254" t="s">
        <v>136</v>
      </c>
      <c r="B254" t="s">
        <v>95</v>
      </c>
      <c r="C254" s="7">
        <v>307</v>
      </c>
      <c r="D254" s="67">
        <f>town_vehicles[[#This Row],[Vehicles]]/SUM(town_vehicles[Vehicles])</f>
        <v>6.9423715322062716E-4</v>
      </c>
      <c r="E254" s="67">
        <f>town_vehicles[[#This Row],[Share of State Vehicles]]/INDEX(regional_vehicles[Share of State Vehicles],MATCH(town_vehicles[[#This Row],[Regional Planning Commission]],regional_vehicles[Regional Planning Commission]))</f>
        <v>1.2410559081537776E-2</v>
      </c>
    </row>
    <row r="255" spans="1:5" x14ac:dyDescent="0.25">
      <c r="A255" t="s">
        <v>322</v>
      </c>
      <c r="B255" t="s">
        <v>111</v>
      </c>
      <c r="C255" s="7">
        <v>2645</v>
      </c>
      <c r="D255" s="67">
        <f>town_vehicles[[#This Row],[Vehicles]]/SUM(town_vehicles[Vehicles])</f>
        <v>5.9812940399627326E-3</v>
      </c>
      <c r="E255" s="67">
        <f>town_vehicles[[#This Row],[Share of State Vehicles]]/INDEX(regional_vehicles[Share of State Vehicles],MATCH(town_vehicles[[#This Row],[Regional Planning Commission]],regional_vehicles[Regional Planning Commission]))</f>
        <v>6.2068803679541928E-2</v>
      </c>
    </row>
    <row r="256" spans="1:5" x14ac:dyDescent="0.25">
      <c r="A256" t="s">
        <v>159</v>
      </c>
      <c r="B256" t="s">
        <v>97</v>
      </c>
      <c r="C256" s="7">
        <v>649</v>
      </c>
      <c r="D256" s="67">
        <f>town_vehicles[[#This Row],[Vehicles]]/SUM(town_vehicles[Vehicles])</f>
        <v>1.4676218646260165E-3</v>
      </c>
      <c r="E256" s="67">
        <f>town_vehicles[[#This Row],[Share of State Vehicles]]/INDEX(regional_vehicles[Share of State Vehicles],MATCH(town_vehicles[[#This Row],[Regional Planning Commission]],regional_vehicles[Regional Planning Commission]))</f>
        <v>1.4291376728617989E-2</v>
      </c>
    </row>
  </sheetData>
  <pageMargins left="0.7" right="0.7" top="0.75" bottom="0.75" header="0.3" footer="0.3"/>
  <pageSetup orientation="portrait" horizontalDpi="200" verticalDpi="0" copies="0"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pageSetUpPr autoPageBreaks="0"/>
  </sheetPr>
  <dimension ref="A1:O59"/>
  <sheetViews>
    <sheetView zoomScale="70" zoomScaleNormal="70" workbookViewId="0"/>
  </sheetViews>
  <sheetFormatPr defaultRowHeight="15" x14ac:dyDescent="0.25"/>
  <cols>
    <col min="1" max="1" width="2.5703125" style="1" bestFit="1" customWidth="1"/>
    <col min="2" max="14" width="15.85546875" customWidth="1"/>
    <col min="15" max="15" width="13.85546875" customWidth="1"/>
  </cols>
  <sheetData>
    <row r="1" spans="1:15" ht="21" x14ac:dyDescent="0.35">
      <c r="B1" s="20" t="s">
        <v>394</v>
      </c>
    </row>
    <row r="2" spans="1:15" ht="14.25" customHeight="1" x14ac:dyDescent="0.3">
      <c r="B2" s="2"/>
    </row>
    <row r="3" spans="1:15" ht="23.25" customHeight="1" x14ac:dyDescent="0.25">
      <c r="B3" s="128" t="s">
        <v>410</v>
      </c>
      <c r="C3" s="129"/>
      <c r="D3" s="129"/>
      <c r="E3" s="129"/>
      <c r="F3" s="129"/>
      <c r="G3" s="129"/>
      <c r="H3" s="129"/>
      <c r="I3" s="129"/>
      <c r="J3" s="129"/>
      <c r="K3" s="129"/>
      <c r="L3" s="129"/>
      <c r="M3" s="129"/>
      <c r="N3" s="130"/>
    </row>
    <row r="5" spans="1:15" ht="40.5" customHeight="1" x14ac:dyDescent="0.25">
      <c r="B5" s="61">
        <f>IF(ISNUMBER(B29),SUM(B20,B29),B20)</f>
        <v>110503.45054229847</v>
      </c>
      <c r="C5" s="93" t="s">
        <v>404</v>
      </c>
      <c r="D5" s="94"/>
      <c r="E5" s="94"/>
      <c r="F5" s="94"/>
      <c r="G5" s="94"/>
      <c r="H5" s="94"/>
      <c r="I5" s="94"/>
      <c r="J5" s="94"/>
      <c r="K5" s="94"/>
      <c r="L5" s="94"/>
      <c r="M5" s="94"/>
      <c r="N5" s="94"/>
      <c r="O5" s="65">
        <f>B5/regional_ldv_mmbtu</f>
        <v>0.99999999999999978</v>
      </c>
    </row>
    <row r="6" spans="1:15" x14ac:dyDescent="0.25">
      <c r="B6" s="117"/>
    </row>
    <row r="7" spans="1:15" ht="18.75" x14ac:dyDescent="0.3">
      <c r="B7" s="117"/>
      <c r="C7" s="2" t="s">
        <v>1</v>
      </c>
    </row>
    <row r="8" spans="1:15" x14ac:dyDescent="0.25">
      <c r="B8" s="117"/>
      <c r="C8" s="5"/>
    </row>
    <row r="9" spans="1:15" ht="39" customHeight="1" x14ac:dyDescent="0.25">
      <c r="A9" s="1">
        <v>1</v>
      </c>
      <c r="B9" s="61">
        <f>SUM(BeginTrans:EndTrans!B11)</f>
        <v>1490</v>
      </c>
      <c r="C9" s="95" t="s">
        <v>408</v>
      </c>
      <c r="D9" s="94"/>
      <c r="E9" s="94"/>
      <c r="F9" s="94"/>
      <c r="G9" s="94"/>
      <c r="H9" s="94"/>
      <c r="I9" s="94"/>
      <c r="J9" s="94"/>
      <c r="K9" s="94"/>
      <c r="L9" s="94"/>
      <c r="M9" s="94"/>
      <c r="N9" s="94"/>
    </row>
    <row r="10" spans="1:15" ht="39" customHeight="1" x14ac:dyDescent="0.25">
      <c r="A10" s="1">
        <v>2</v>
      </c>
      <c r="B10" s="61">
        <f>SUM(BeginTrans:EndTrans!O15)</f>
        <v>10882.885906040268</v>
      </c>
      <c r="C10" s="95" t="s">
        <v>401</v>
      </c>
      <c r="D10" s="94"/>
      <c r="E10" s="94"/>
      <c r="F10" s="94"/>
      <c r="G10" s="94"/>
      <c r="H10" s="94"/>
      <c r="I10" s="94"/>
      <c r="J10" s="94"/>
      <c r="K10" s="94"/>
      <c r="L10" s="94"/>
      <c r="M10" s="94"/>
      <c r="N10" s="94"/>
      <c r="O10" s="19"/>
    </row>
    <row r="11" spans="1:15" ht="39" customHeight="1" x14ac:dyDescent="0.25">
      <c r="A11" s="1">
        <v>3</v>
      </c>
      <c r="B11" s="61">
        <f>SUM(BeginTrans:EndTrans!O16)</f>
        <v>22.708053691275168</v>
      </c>
      <c r="C11" s="95" t="s">
        <v>405</v>
      </c>
      <c r="D11" s="94"/>
      <c r="E11" s="94"/>
      <c r="F11" s="94"/>
      <c r="G11" s="94"/>
      <c r="H11" s="94"/>
      <c r="I11" s="94"/>
      <c r="J11" s="94"/>
      <c r="K11" s="94"/>
      <c r="L11" s="94"/>
      <c r="M11" s="94"/>
      <c r="N11" s="94"/>
    </row>
    <row r="12" spans="1:15" ht="39" customHeight="1" x14ac:dyDescent="0.25">
      <c r="B12" s="114">
        <f>SUM(BeginTrans:EndTrans!B20)</f>
        <v>757779.09090909082</v>
      </c>
      <c r="C12" s="97" t="s">
        <v>375</v>
      </c>
      <c r="D12" s="97"/>
      <c r="E12" s="97"/>
      <c r="F12" s="97"/>
      <c r="G12" s="97"/>
      <c r="H12" s="97"/>
      <c r="I12" s="97"/>
      <c r="J12" s="97"/>
      <c r="K12" s="97"/>
      <c r="L12" s="97"/>
      <c r="M12" s="97"/>
      <c r="N12" s="97"/>
    </row>
    <row r="13" spans="1:15" ht="39" customHeight="1" x14ac:dyDescent="0.25">
      <c r="A13" s="1">
        <v>4</v>
      </c>
      <c r="B13" s="116">
        <f>SUM(BeginTrans:EndTrans!O21)</f>
        <v>9.0000000000000011E-2</v>
      </c>
      <c r="C13" s="95" t="s">
        <v>406</v>
      </c>
      <c r="D13" s="94"/>
      <c r="E13" s="94"/>
      <c r="F13" s="94"/>
      <c r="G13" s="94"/>
      <c r="H13" s="94"/>
      <c r="I13" s="94"/>
      <c r="J13" s="94"/>
      <c r="K13" s="94"/>
      <c r="L13" s="94"/>
      <c r="M13" s="94"/>
      <c r="N13" s="94"/>
    </row>
    <row r="14" spans="1:15" ht="39" customHeight="1" x14ac:dyDescent="0.25">
      <c r="B14" s="114">
        <f>(1-B13)*B12</f>
        <v>689578.97272727266</v>
      </c>
      <c r="C14" s="94" t="s">
        <v>411</v>
      </c>
      <c r="D14" s="94"/>
      <c r="E14" s="94"/>
      <c r="F14" s="94"/>
      <c r="G14" s="94"/>
      <c r="H14" s="94"/>
      <c r="I14" s="94"/>
      <c r="J14" s="94"/>
      <c r="K14" s="94"/>
      <c r="L14" s="94"/>
      <c r="M14" s="94"/>
      <c r="N14" s="94"/>
    </row>
    <row r="15" spans="1:15" ht="39" customHeight="1" x14ac:dyDescent="0.25">
      <c r="B15" s="114">
        <f>fossilBtu</f>
        <v>121258.5</v>
      </c>
      <c r="C15" s="94" t="s">
        <v>10</v>
      </c>
      <c r="D15" s="94"/>
      <c r="E15" s="94"/>
      <c r="F15" s="94"/>
      <c r="G15" s="94"/>
      <c r="H15" s="94"/>
      <c r="I15" s="94"/>
      <c r="J15" s="94"/>
      <c r="K15" s="94"/>
      <c r="L15" s="94"/>
      <c r="M15" s="94"/>
      <c r="N15" s="94"/>
    </row>
    <row r="16" spans="1:15" ht="39" customHeight="1" x14ac:dyDescent="0.25">
      <c r="B16" s="114">
        <f>B14*B15/1000000</f>
        <v>83617.311864449992</v>
      </c>
      <c r="C16" s="94" t="s">
        <v>11</v>
      </c>
      <c r="D16" s="94"/>
      <c r="E16" s="94"/>
      <c r="F16" s="94"/>
      <c r="G16" s="94"/>
      <c r="H16" s="94"/>
      <c r="I16" s="94"/>
      <c r="J16" s="94"/>
      <c r="K16" s="94"/>
      <c r="L16" s="94"/>
      <c r="M16" s="94"/>
      <c r="N16" s="94"/>
    </row>
    <row r="17" spans="1:14" ht="39" customHeight="1" x14ac:dyDescent="0.25">
      <c r="B17" s="114">
        <f>B12-B14</f>
        <v>68200.118181818165</v>
      </c>
      <c r="C17" s="94" t="s">
        <v>407</v>
      </c>
      <c r="D17" s="94"/>
      <c r="E17" s="94"/>
      <c r="F17" s="94"/>
      <c r="G17" s="94"/>
      <c r="H17" s="94"/>
      <c r="I17" s="94"/>
      <c r="J17" s="94"/>
      <c r="K17" s="94"/>
      <c r="L17" s="94"/>
      <c r="M17" s="94"/>
      <c r="N17" s="94"/>
    </row>
    <row r="18" spans="1:14" ht="39" customHeight="1" x14ac:dyDescent="0.25">
      <c r="B18" s="114">
        <v>84710</v>
      </c>
      <c r="C18" s="94" t="s">
        <v>12</v>
      </c>
      <c r="D18" s="94"/>
      <c r="E18" s="94"/>
      <c r="F18" s="94"/>
      <c r="G18" s="94"/>
      <c r="H18" s="94"/>
      <c r="I18" s="94"/>
      <c r="J18" s="94"/>
      <c r="K18" s="94"/>
      <c r="L18" s="94"/>
      <c r="M18" s="94"/>
      <c r="N18" s="94"/>
    </row>
    <row r="19" spans="1:14" ht="39" customHeight="1" x14ac:dyDescent="0.25">
      <c r="B19" s="114">
        <f>B17*B18/1000000</f>
        <v>5777.2320111818171</v>
      </c>
      <c r="C19" s="94" t="s">
        <v>13</v>
      </c>
      <c r="D19" s="94"/>
      <c r="E19" s="94"/>
      <c r="F19" s="94"/>
      <c r="G19" s="94"/>
      <c r="H19" s="94"/>
      <c r="I19" s="94"/>
      <c r="J19" s="94"/>
      <c r="K19" s="94"/>
      <c r="L19" s="94"/>
      <c r="M19" s="94"/>
      <c r="N19" s="94"/>
    </row>
    <row r="20" spans="1:14" ht="39" customHeight="1" x14ac:dyDescent="0.25">
      <c r="B20" s="61">
        <f>B16+B19</f>
        <v>89394.543875631804</v>
      </c>
      <c r="C20" s="93" t="s">
        <v>56</v>
      </c>
      <c r="D20" s="94"/>
      <c r="E20" s="94"/>
      <c r="F20" s="94"/>
      <c r="G20" s="94"/>
      <c r="H20" s="94"/>
      <c r="I20" s="94"/>
      <c r="J20" s="94"/>
      <c r="K20" s="94"/>
      <c r="L20" s="94"/>
      <c r="M20" s="94"/>
      <c r="N20" s="94"/>
    </row>
    <row r="21" spans="1:14" x14ac:dyDescent="0.25">
      <c r="B21" s="7"/>
    </row>
    <row r="22" spans="1:14" x14ac:dyDescent="0.25">
      <c r="B22" s="7"/>
      <c r="C22" s="4" t="s">
        <v>14</v>
      </c>
    </row>
    <row r="23" spans="1:14" x14ac:dyDescent="0.25">
      <c r="B23" s="7"/>
      <c r="C23" s="5"/>
    </row>
    <row r="24" spans="1:14" ht="39" customHeight="1" x14ac:dyDescent="0.25">
      <c r="A24" s="1">
        <v>1</v>
      </c>
      <c r="B24" s="3">
        <f>SUM(BeginTrans:EndTrans!B34)</f>
        <v>1900</v>
      </c>
      <c r="C24" s="98" t="s">
        <v>412</v>
      </c>
      <c r="D24" s="97"/>
      <c r="E24" s="97"/>
      <c r="F24" s="97"/>
      <c r="G24" s="97"/>
      <c r="H24" s="97"/>
      <c r="I24" s="97"/>
      <c r="J24" s="97"/>
      <c r="K24" s="97"/>
      <c r="L24" s="97"/>
      <c r="M24" s="97"/>
    </row>
    <row r="25" spans="1:14" ht="39" customHeight="1" x14ac:dyDescent="0.25">
      <c r="B25" s="3">
        <f>SUM(BeginTrans:EndTrans!O36)</f>
        <v>9768.4210526315783</v>
      </c>
      <c r="C25" s="94" t="s">
        <v>402</v>
      </c>
      <c r="D25" s="94"/>
      <c r="E25" s="94"/>
      <c r="F25" s="94"/>
      <c r="G25" s="94"/>
      <c r="H25" s="94"/>
      <c r="I25" s="94"/>
      <c r="J25" s="94"/>
      <c r="K25" s="94"/>
      <c r="L25" s="94"/>
      <c r="M25" s="94"/>
      <c r="N25" s="94"/>
    </row>
    <row r="26" spans="1:14" ht="39" customHeight="1" x14ac:dyDescent="0.25">
      <c r="B26" s="13">
        <v>3</v>
      </c>
      <c r="C26" s="97" t="s">
        <v>17</v>
      </c>
      <c r="D26" s="97"/>
      <c r="E26" s="97"/>
      <c r="F26" s="97"/>
      <c r="G26" s="97"/>
      <c r="H26" s="97"/>
      <c r="I26" s="97"/>
      <c r="J26" s="97"/>
      <c r="K26" s="97"/>
      <c r="L26" s="97"/>
      <c r="M26" s="97"/>
      <c r="N26" s="97"/>
    </row>
    <row r="27" spans="1:14" ht="39" customHeight="1" x14ac:dyDescent="0.25">
      <c r="B27" s="13">
        <f>B24*B25/B26</f>
        <v>6186666.666666667</v>
      </c>
      <c r="C27" s="97" t="s">
        <v>413</v>
      </c>
      <c r="D27" s="97"/>
      <c r="E27" s="97"/>
      <c r="F27" s="97"/>
      <c r="G27" s="97"/>
      <c r="H27" s="97"/>
      <c r="I27" s="97"/>
      <c r="J27" s="97"/>
      <c r="K27" s="97"/>
      <c r="L27" s="97"/>
      <c r="M27" s="97"/>
      <c r="N27" s="97"/>
    </row>
    <row r="28" spans="1:14" ht="39" customHeight="1" x14ac:dyDescent="0.25">
      <c r="B28" s="13">
        <v>3412</v>
      </c>
      <c r="C28" s="97" t="s">
        <v>18</v>
      </c>
      <c r="D28" s="97"/>
      <c r="E28" s="97"/>
      <c r="F28" s="97"/>
      <c r="G28" s="97"/>
      <c r="H28" s="97"/>
      <c r="I28" s="97"/>
      <c r="J28" s="97"/>
      <c r="K28" s="97"/>
      <c r="L28" s="97"/>
      <c r="M28" s="97"/>
      <c r="N28" s="97"/>
    </row>
    <row r="29" spans="1:14" ht="39" customHeight="1" x14ac:dyDescent="0.25">
      <c r="B29" s="3">
        <f>B27*B28/1000000</f>
        <v>21108.906666666669</v>
      </c>
      <c r="C29" s="99" t="s">
        <v>19</v>
      </c>
      <c r="D29" s="97"/>
      <c r="E29" s="97"/>
      <c r="F29" s="97"/>
      <c r="G29" s="97"/>
      <c r="H29" s="97"/>
      <c r="I29" s="97"/>
      <c r="J29" s="97"/>
      <c r="K29" s="97"/>
      <c r="L29" s="97"/>
      <c r="M29" s="97"/>
      <c r="N29" s="97"/>
    </row>
    <row r="30" spans="1:14" x14ac:dyDescent="0.25">
      <c r="B30" s="7"/>
    </row>
    <row r="32" spans="1:14" x14ac:dyDescent="0.25">
      <c r="C32" s="5"/>
    </row>
    <row r="34" spans="2:2" x14ac:dyDescent="0.25">
      <c r="B34" s="7"/>
    </row>
    <row r="39" spans="2:2" x14ac:dyDescent="0.25">
      <c r="B39" s="7"/>
    </row>
    <row r="41" spans="2:2" x14ac:dyDescent="0.25">
      <c r="B41" s="7"/>
    </row>
    <row r="43" spans="2:2" x14ac:dyDescent="0.25">
      <c r="B43" s="18"/>
    </row>
    <row r="44" spans="2:2" x14ac:dyDescent="0.25">
      <c r="B44" s="18"/>
    </row>
    <row r="45" spans="2:2" x14ac:dyDescent="0.25">
      <c r="B45" s="18"/>
    </row>
    <row r="59" spans="2:2" x14ac:dyDescent="0.25">
      <c r="B59" s="7"/>
    </row>
  </sheetData>
  <mergeCells count="20">
    <mergeCell ref="C25:N25"/>
    <mergeCell ref="C26:N26"/>
    <mergeCell ref="C27:N27"/>
    <mergeCell ref="C28:N28"/>
    <mergeCell ref="C29:N29"/>
    <mergeCell ref="C24:M24"/>
    <mergeCell ref="C12:N12"/>
    <mergeCell ref="C13:N13"/>
    <mergeCell ref="C14:N14"/>
    <mergeCell ref="C15:N15"/>
    <mergeCell ref="C16:N16"/>
    <mergeCell ref="C17:N17"/>
    <mergeCell ref="C18:N18"/>
    <mergeCell ref="C19:N19"/>
    <mergeCell ref="C20:N20"/>
    <mergeCell ref="B3:N3"/>
    <mergeCell ref="C5:N5"/>
    <mergeCell ref="C9:N9"/>
    <mergeCell ref="C10:N10"/>
    <mergeCell ref="C11:N11"/>
  </mergeCells>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9"/>
    <pageSetUpPr autoPageBreaks="0"/>
  </sheetPr>
  <dimension ref="A1:O26"/>
  <sheetViews>
    <sheetView zoomScale="70" zoomScaleNormal="70" workbookViewId="0"/>
  </sheetViews>
  <sheetFormatPr defaultRowHeight="15" x14ac:dyDescent="0.25"/>
  <cols>
    <col min="1" max="1" width="2.5703125" style="22" customWidth="1"/>
    <col min="2" max="14" width="14.5703125" customWidth="1"/>
  </cols>
  <sheetData>
    <row r="1" spans="1:15" ht="21" x14ac:dyDescent="0.35">
      <c r="A1" s="19"/>
      <c r="B1" s="20" t="s">
        <v>393</v>
      </c>
    </row>
    <row r="2" spans="1:15" x14ac:dyDescent="0.25">
      <c r="A2" s="19"/>
      <c r="B2" s="4"/>
    </row>
    <row r="3" spans="1:15" ht="24.75" customHeight="1" x14ac:dyDescent="0.25">
      <c r="A3" s="19"/>
      <c r="B3" s="128" t="s">
        <v>397</v>
      </c>
      <c r="C3" s="129"/>
      <c r="D3" s="129"/>
      <c r="E3" s="129"/>
      <c r="F3" s="129"/>
      <c r="G3" s="129"/>
      <c r="H3" s="129"/>
      <c r="I3" s="129"/>
      <c r="J3" s="129"/>
      <c r="K3" s="129"/>
      <c r="L3" s="129"/>
      <c r="M3" s="129"/>
      <c r="N3" s="130"/>
    </row>
    <row r="4" spans="1:15" x14ac:dyDescent="0.25">
      <c r="A4" s="19"/>
    </row>
    <row r="5" spans="1:15" ht="45" customHeight="1" x14ac:dyDescent="0.25">
      <c r="A5" s="19"/>
      <c r="B5" s="21">
        <f ca="1">SUM(B11,B17)</f>
        <v>713552.96027377364</v>
      </c>
      <c r="C5" s="93" t="s">
        <v>395</v>
      </c>
      <c r="D5" s="94"/>
      <c r="E5" s="94"/>
      <c r="F5" s="94"/>
      <c r="G5" s="94"/>
      <c r="H5" s="94"/>
      <c r="I5" s="94"/>
      <c r="J5" s="94"/>
      <c r="K5" s="94"/>
      <c r="L5" s="94"/>
      <c r="M5" s="94"/>
      <c r="N5" s="94"/>
    </row>
    <row r="6" spans="1:15" x14ac:dyDescent="0.25">
      <c r="A6" s="19"/>
      <c r="B6" s="22"/>
    </row>
    <row r="7" spans="1:15" ht="18.75" x14ac:dyDescent="0.3">
      <c r="B7" s="22"/>
      <c r="C7" s="2" t="s">
        <v>20</v>
      </c>
    </row>
    <row r="8" spans="1:15" x14ac:dyDescent="0.25">
      <c r="B8" s="22"/>
      <c r="C8" s="5"/>
    </row>
    <row r="9" spans="1:15" ht="45" customHeight="1" x14ac:dyDescent="0.25">
      <c r="B9" s="21">
        <f>SUM(BeginHeat:EndHeat!B11)</f>
        <v>6460</v>
      </c>
      <c r="C9" s="98" t="s">
        <v>396</v>
      </c>
      <c r="D9" s="97"/>
      <c r="E9" s="97"/>
      <c r="F9" s="97"/>
      <c r="G9" s="97"/>
      <c r="H9" s="97"/>
      <c r="I9" s="97"/>
      <c r="J9" s="97"/>
      <c r="K9" s="97"/>
      <c r="L9" s="97"/>
      <c r="M9" s="97"/>
      <c r="N9" s="97"/>
    </row>
    <row r="10" spans="1:15" ht="45" customHeight="1" x14ac:dyDescent="0.25">
      <c r="B10" s="21">
        <f>SUM(BeginHeat:EndHeat!O13)</f>
        <v>110</v>
      </c>
      <c r="C10" s="101" t="s">
        <v>399</v>
      </c>
      <c r="D10" s="102"/>
      <c r="E10" s="102"/>
      <c r="F10" s="102"/>
      <c r="G10" s="102"/>
      <c r="H10" s="102"/>
      <c r="I10" s="102"/>
      <c r="J10" s="102"/>
      <c r="K10" s="102"/>
      <c r="L10" s="102"/>
      <c r="M10" s="102"/>
      <c r="N10" s="102"/>
    </row>
    <row r="11" spans="1:15" ht="45" customHeight="1" x14ac:dyDescent="0.25">
      <c r="B11" s="21">
        <f>B9*B10</f>
        <v>710600</v>
      </c>
      <c r="C11" s="93" t="s">
        <v>403</v>
      </c>
      <c r="D11" s="94"/>
      <c r="E11" s="94"/>
      <c r="F11" s="94"/>
      <c r="G11" s="94"/>
      <c r="H11" s="94"/>
      <c r="I11" s="94"/>
      <c r="J11" s="94"/>
      <c r="K11" s="94"/>
      <c r="L11" s="94"/>
      <c r="M11" s="94"/>
      <c r="N11" s="94"/>
      <c r="O11" s="28">
        <f>B11/regional_res_heat_mmbtu</f>
        <v>1</v>
      </c>
    </row>
    <row r="12" spans="1:15" x14ac:dyDescent="0.25">
      <c r="B12" s="19"/>
      <c r="C12" s="24"/>
      <c r="D12" s="24"/>
      <c r="E12" s="24"/>
      <c r="F12" s="24"/>
      <c r="G12" s="24"/>
      <c r="H12" s="24"/>
    </row>
    <row r="13" spans="1:15" ht="18.75" x14ac:dyDescent="0.3">
      <c r="B13" s="22"/>
      <c r="C13" s="2" t="s">
        <v>30</v>
      </c>
    </row>
    <row r="14" spans="1:15" ht="15.75" x14ac:dyDescent="0.25">
      <c r="B14" s="22"/>
      <c r="C14" s="30"/>
    </row>
    <row r="15" spans="1:15" ht="45" customHeight="1" x14ac:dyDescent="0.25">
      <c r="B15" s="21">
        <f ca="1">SUM(BeginHeat:EndHeat!B24)</f>
        <v>10</v>
      </c>
      <c r="C15" s="95" t="s">
        <v>398</v>
      </c>
      <c r="D15" s="94"/>
      <c r="E15" s="94"/>
      <c r="F15" s="94"/>
      <c r="G15" s="94"/>
      <c r="H15" s="94"/>
      <c r="I15" s="94"/>
      <c r="J15" s="94"/>
      <c r="K15" s="94"/>
      <c r="L15" s="94"/>
      <c r="M15" s="94"/>
      <c r="N15" s="94"/>
    </row>
    <row r="16" spans="1:15" ht="45" customHeight="1" x14ac:dyDescent="0.25">
      <c r="B16" s="21">
        <f ca="1">SUM(BeginHeat:EndHeat!O26)</f>
        <v>295.29602737736008</v>
      </c>
      <c r="C16" s="95" t="s">
        <v>414</v>
      </c>
      <c r="D16" s="94"/>
      <c r="E16" s="94"/>
      <c r="F16" s="94"/>
      <c r="G16" s="94"/>
      <c r="H16" s="94"/>
      <c r="I16" s="94"/>
      <c r="J16" s="94"/>
      <c r="K16" s="94"/>
      <c r="L16" s="94"/>
      <c r="M16" s="94"/>
      <c r="N16" s="94"/>
    </row>
    <row r="17" spans="2:15" ht="45" customHeight="1" x14ac:dyDescent="0.25">
      <c r="B17" s="21">
        <f ca="1">B15*B16</f>
        <v>2952.9602737736009</v>
      </c>
      <c r="C17" s="93" t="s">
        <v>400</v>
      </c>
      <c r="D17" s="94"/>
      <c r="E17" s="94"/>
      <c r="F17" s="94"/>
      <c r="G17" s="94"/>
      <c r="H17" s="94"/>
      <c r="I17" s="94"/>
      <c r="J17" s="94"/>
      <c r="K17" s="94"/>
      <c r="L17" s="94"/>
      <c r="M17" s="94"/>
      <c r="N17" s="94"/>
      <c r="O17" s="28">
        <f ca="1">B17/regional_com_heat_mmbtu</f>
        <v>1</v>
      </c>
    </row>
    <row r="26" spans="2:15" x14ac:dyDescent="0.25">
      <c r="D26" s="18"/>
    </row>
  </sheetData>
  <mergeCells count="8">
    <mergeCell ref="C17:N17"/>
    <mergeCell ref="C10:N10"/>
    <mergeCell ref="C11:N11"/>
    <mergeCell ref="C15:N15"/>
    <mergeCell ref="C16:N16"/>
    <mergeCell ref="B3:N3"/>
    <mergeCell ref="C5:N5"/>
    <mergeCell ref="C9:N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
  <sheetViews>
    <sheetView workbookViewId="0">
      <selection activeCell="A2" sqref="A2"/>
    </sheetView>
  </sheetViews>
  <sheetFormatPr defaultRowHeight="15" x14ac:dyDescent="0.25"/>
  <sheetData>
    <row r="1" spans="1:2" x14ac:dyDescent="0.25">
      <c r="A1" t="s">
        <v>379</v>
      </c>
    </row>
    <row r="2" spans="1:2" x14ac:dyDescent="0.25">
      <c r="A2" s="7">
        <f>SUM(BeginTrans:EndTrans!B7)</f>
        <v>110503.45054229849</v>
      </c>
      <c r="B2" t="s">
        <v>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autoPageBreaks="0"/>
  </sheetPr>
  <dimension ref="A1:O70"/>
  <sheetViews>
    <sheetView zoomScale="70" zoomScaleNormal="70" workbookViewId="0"/>
  </sheetViews>
  <sheetFormatPr defaultRowHeight="15" x14ac:dyDescent="0.25"/>
  <cols>
    <col min="1" max="1" width="2.5703125" style="1" bestFit="1" customWidth="1"/>
    <col min="2" max="14" width="15.85546875" customWidth="1"/>
    <col min="15" max="15" width="12.5703125" customWidth="1"/>
  </cols>
  <sheetData>
    <row r="1" spans="1:15" ht="21" x14ac:dyDescent="0.35">
      <c r="B1" s="20" t="s">
        <v>0</v>
      </c>
    </row>
    <row r="2" spans="1:15" ht="14.25" customHeight="1" x14ac:dyDescent="0.3">
      <c r="B2" s="2"/>
    </row>
    <row r="3" spans="1:15" ht="23.25" customHeight="1" x14ac:dyDescent="0.25">
      <c r="B3" s="86" t="s">
        <v>382</v>
      </c>
      <c r="C3" s="87"/>
      <c r="D3" s="87"/>
      <c r="E3" s="87"/>
      <c r="F3" s="87"/>
      <c r="G3" s="87"/>
      <c r="H3" s="87"/>
      <c r="I3" s="87"/>
      <c r="J3" s="87"/>
      <c r="K3" s="87"/>
      <c r="L3" s="110"/>
      <c r="M3" s="122" t="s">
        <v>264</v>
      </c>
      <c r="N3" s="123"/>
    </row>
    <row r="4" spans="1:15" ht="23.25" customHeight="1" x14ac:dyDescent="0.25">
      <c r="B4" s="88" t="s">
        <v>383</v>
      </c>
      <c r="C4" s="89"/>
      <c r="D4" s="89"/>
      <c r="E4" s="89"/>
      <c r="F4" s="89"/>
      <c r="G4" s="89"/>
      <c r="H4" s="89"/>
      <c r="I4" s="89"/>
      <c r="J4" s="89"/>
      <c r="K4" s="89"/>
      <c r="L4" s="89"/>
      <c r="M4" s="89"/>
      <c r="N4" s="90"/>
    </row>
    <row r="5" spans="1:15" ht="23.25" customHeight="1" x14ac:dyDescent="0.25">
      <c r="B5" s="91" t="s">
        <v>381</v>
      </c>
      <c r="C5" s="92"/>
      <c r="D5" s="92"/>
      <c r="E5" s="92"/>
      <c r="F5" s="92"/>
      <c r="G5" s="92"/>
      <c r="H5" s="92"/>
      <c r="I5" s="92"/>
      <c r="J5" s="92"/>
      <c r="K5" s="92"/>
      <c r="L5" s="92"/>
      <c r="M5" s="111"/>
      <c r="N5" s="76" t="s">
        <v>372</v>
      </c>
    </row>
    <row r="7" spans="1:15" ht="40.5" customHeight="1" x14ac:dyDescent="0.25">
      <c r="B7" s="3">
        <f>SUM(B28,B40)</f>
        <v>10512.257337833335</v>
      </c>
      <c r="C7" s="93" t="s">
        <v>384</v>
      </c>
      <c r="D7" s="94"/>
      <c r="E7" s="94"/>
      <c r="F7" s="94"/>
      <c r="G7" s="94"/>
      <c r="H7" s="94"/>
      <c r="I7" s="94"/>
      <c r="J7" s="94"/>
      <c r="K7" s="94"/>
      <c r="L7" s="94"/>
      <c r="M7" s="94"/>
      <c r="N7" s="94"/>
      <c r="O7" s="112">
        <f>B7/regional_ldv_mmbtu</f>
        <v>9.5130579961477807E-2</v>
      </c>
    </row>
    <row r="9" spans="1:15" ht="18.75" x14ac:dyDescent="0.3">
      <c r="C9" s="2" t="s">
        <v>1</v>
      </c>
    </row>
    <row r="10" spans="1:15" x14ac:dyDescent="0.25">
      <c r="C10" s="5"/>
    </row>
    <row r="11" spans="1:15" ht="39" customHeight="1" x14ac:dyDescent="0.25">
      <c r="A11" s="1">
        <v>1</v>
      </c>
      <c r="B11" s="115">
        <f>IF(ISNA(INDEX(town_vehicles[Vehicles],MATCH(M3,town_vehicles[Municipality]))),0,INDEX(town_vehicles[Vehicles],MATCH(M3,town_vehicles[Municipality])))-B34</f>
        <v>289</v>
      </c>
      <c r="C11" s="113" t="s">
        <v>374</v>
      </c>
      <c r="D11" s="94"/>
      <c r="E11" s="94"/>
      <c r="F11" s="94"/>
      <c r="G11" s="94"/>
      <c r="H11" s="94"/>
      <c r="I11" s="94"/>
      <c r="J11" s="94"/>
      <c r="K11" s="94"/>
      <c r="L11" s="94"/>
      <c r="M11" s="94"/>
      <c r="N11" s="94"/>
      <c r="O11" s="28">
        <f>B11/regional_ldv_count</f>
        <v>0.19395973154362417</v>
      </c>
    </row>
    <row r="12" spans="1:15" ht="39" customHeight="1" x14ac:dyDescent="0.25">
      <c r="B12" s="7"/>
      <c r="C12" s="8"/>
      <c r="D12" s="9" t="s">
        <v>386</v>
      </c>
      <c r="E12" s="96" t="s">
        <v>3</v>
      </c>
      <c r="F12" s="96"/>
      <c r="G12" s="97" t="s">
        <v>385</v>
      </c>
      <c r="H12" s="97"/>
      <c r="I12" s="97"/>
      <c r="J12" s="97"/>
      <c r="K12" s="97"/>
      <c r="L12" s="97"/>
      <c r="M12" s="97"/>
      <c r="N12" s="97"/>
    </row>
    <row r="13" spans="1:15" ht="39" customHeight="1" x14ac:dyDescent="0.25">
      <c r="B13" s="7"/>
      <c r="C13" s="8"/>
      <c r="D13" s="9" t="s">
        <v>5</v>
      </c>
      <c r="E13" s="97" t="s">
        <v>4</v>
      </c>
      <c r="F13" s="97"/>
      <c r="G13" s="94" t="s">
        <v>387</v>
      </c>
      <c r="H13" s="94"/>
      <c r="I13" s="94"/>
      <c r="J13" s="94"/>
      <c r="K13" s="94"/>
      <c r="L13" s="94"/>
      <c r="M13" s="94"/>
      <c r="N13" s="94"/>
    </row>
    <row r="14" spans="1:15" ht="39" customHeight="1" x14ac:dyDescent="0.25">
      <c r="B14" s="7"/>
      <c r="C14" s="8"/>
      <c r="D14" s="9" t="s">
        <v>5</v>
      </c>
      <c r="E14" s="97" t="s">
        <v>6</v>
      </c>
      <c r="F14" s="97"/>
      <c r="G14" s="97"/>
      <c r="H14" s="97"/>
      <c r="I14" s="97"/>
      <c r="J14" s="97"/>
      <c r="K14" s="97"/>
      <c r="L14" s="97"/>
      <c r="M14" s="97"/>
      <c r="N14" s="97"/>
    </row>
    <row r="15" spans="1:15" ht="48.75" customHeight="1" x14ac:dyDescent="0.25">
      <c r="A15" s="1">
        <v>2</v>
      </c>
      <c r="B15" s="6">
        <v>9000</v>
      </c>
      <c r="C15" s="95" t="s">
        <v>63</v>
      </c>
      <c r="D15" s="94"/>
      <c r="E15" s="94"/>
      <c r="F15" s="94"/>
      <c r="G15" s="94"/>
      <c r="H15" s="94"/>
      <c r="I15" s="94"/>
      <c r="J15" s="94"/>
      <c r="K15" s="94"/>
      <c r="L15" s="94"/>
      <c r="M15" s="94"/>
      <c r="N15" s="94"/>
      <c r="O15" s="19">
        <f>B15*O11</f>
        <v>1745.6375838926176</v>
      </c>
    </row>
    <row r="16" spans="1:15" ht="60.75" customHeight="1" x14ac:dyDescent="0.25">
      <c r="A16" s="1">
        <v>3</v>
      </c>
      <c r="B16" s="6">
        <v>30</v>
      </c>
      <c r="C16" s="95" t="s">
        <v>64</v>
      </c>
      <c r="D16" s="94"/>
      <c r="E16" s="94"/>
      <c r="F16" s="94"/>
      <c r="G16" s="94"/>
      <c r="H16" s="94"/>
      <c r="I16" s="94"/>
      <c r="J16" s="94"/>
      <c r="K16" s="94"/>
      <c r="L16" s="94"/>
      <c r="M16" s="94"/>
      <c r="N16" s="94"/>
      <c r="O16" s="63">
        <f>B16*O11</f>
        <v>5.8187919463087248</v>
      </c>
    </row>
    <row r="17" spans="1:15" s="11" customFormat="1" ht="39" customHeight="1" x14ac:dyDescent="0.25">
      <c r="A17" s="10"/>
      <c r="D17" s="12">
        <v>0.4</v>
      </c>
      <c r="E17" s="85" t="s">
        <v>7</v>
      </c>
      <c r="F17" s="85"/>
      <c r="G17" s="85"/>
      <c r="H17" s="85"/>
      <c r="I17" s="85"/>
      <c r="J17" s="85"/>
      <c r="K17" s="85"/>
      <c r="L17" s="85"/>
      <c r="M17" s="85"/>
      <c r="N17" s="85"/>
    </row>
    <row r="18" spans="1:15" s="11" customFormat="1" ht="39" customHeight="1" x14ac:dyDescent="0.25">
      <c r="A18" s="10"/>
      <c r="D18" s="12">
        <f>150000/583770</f>
        <v>0.25695051133151753</v>
      </c>
      <c r="E18" s="94" t="s">
        <v>8</v>
      </c>
      <c r="F18" s="94"/>
      <c r="G18" s="94"/>
      <c r="H18" s="94"/>
      <c r="I18" s="94"/>
      <c r="J18" s="94"/>
      <c r="K18" s="94"/>
      <c r="L18" s="94"/>
      <c r="M18" s="94"/>
      <c r="N18" s="94"/>
    </row>
    <row r="19" spans="1:15" s="11" customFormat="1" ht="39" customHeight="1" x14ac:dyDescent="0.25">
      <c r="A19" s="10"/>
      <c r="D19" s="12">
        <v>0.86</v>
      </c>
      <c r="E19" s="94" t="s">
        <v>9</v>
      </c>
      <c r="F19" s="94"/>
      <c r="G19" s="94"/>
      <c r="H19" s="94"/>
      <c r="I19" s="94"/>
      <c r="J19" s="94"/>
      <c r="K19" s="94"/>
      <c r="L19" s="94"/>
      <c r="M19" s="94"/>
      <c r="N19" s="94"/>
    </row>
    <row r="20" spans="1:15" ht="55.5" customHeight="1" x14ac:dyDescent="0.25">
      <c r="B20" s="13">
        <f>B11*B15/B16</f>
        <v>86700</v>
      </c>
      <c r="C20" s="94" t="s">
        <v>65</v>
      </c>
      <c r="D20" s="94"/>
      <c r="E20" s="94"/>
      <c r="F20" s="94"/>
      <c r="G20" s="94"/>
      <c r="H20" s="94"/>
      <c r="I20" s="94"/>
      <c r="J20" s="94"/>
      <c r="K20" s="94"/>
      <c r="L20" s="94"/>
      <c r="M20" s="94"/>
      <c r="N20" s="94"/>
      <c r="O20" s="28">
        <f>B20/regional_gsl_gallons</f>
        <v>0.11441329147256878</v>
      </c>
    </row>
    <row r="21" spans="1:15" ht="55.5" customHeight="1" x14ac:dyDescent="0.25">
      <c r="A21" s="1">
        <v>4</v>
      </c>
      <c r="B21" s="14">
        <v>0.09</v>
      </c>
      <c r="C21" s="95" t="s">
        <v>66</v>
      </c>
      <c r="D21" s="94"/>
      <c r="E21" s="94"/>
      <c r="F21" s="94"/>
      <c r="G21" s="94"/>
      <c r="H21" s="94"/>
      <c r="I21" s="94"/>
      <c r="J21" s="94"/>
      <c r="K21" s="94"/>
      <c r="L21" s="94"/>
      <c r="M21" s="94"/>
      <c r="N21" s="94"/>
      <c r="O21" s="64">
        <f>B21*O20</f>
        <v>1.029719623253119E-2</v>
      </c>
    </row>
    <row r="22" spans="1:15" ht="39" customHeight="1" x14ac:dyDescent="0.25">
      <c r="B22" s="13">
        <f>(1-B21)*B20</f>
        <v>78897</v>
      </c>
      <c r="C22" s="94" t="s">
        <v>54</v>
      </c>
      <c r="D22" s="94"/>
      <c r="E22" s="94"/>
      <c r="F22" s="94"/>
      <c r="G22" s="94"/>
      <c r="H22" s="94"/>
      <c r="I22" s="94"/>
      <c r="J22" s="94"/>
      <c r="K22" s="94"/>
      <c r="L22" s="94"/>
      <c r="M22" s="94"/>
      <c r="N22" s="94"/>
    </row>
    <row r="23" spans="1:15" ht="39" customHeight="1" x14ac:dyDescent="0.25">
      <c r="B23" s="13">
        <f>fossilBtu</f>
        <v>121258.5</v>
      </c>
      <c r="C23" s="94" t="s">
        <v>10</v>
      </c>
      <c r="D23" s="94"/>
      <c r="E23" s="94"/>
      <c r="F23" s="94"/>
      <c r="G23" s="94"/>
      <c r="H23" s="94"/>
      <c r="I23" s="94"/>
      <c r="J23" s="94"/>
      <c r="K23" s="94"/>
      <c r="L23" s="94"/>
      <c r="M23" s="94"/>
      <c r="N23" s="94"/>
    </row>
    <row r="24" spans="1:15" ht="39" customHeight="1" x14ac:dyDescent="0.25">
      <c r="B24" s="13">
        <f>B22*B23/1000000</f>
        <v>9566.9318745</v>
      </c>
      <c r="C24" s="94" t="s">
        <v>11</v>
      </c>
      <c r="D24" s="94"/>
      <c r="E24" s="94"/>
      <c r="F24" s="94"/>
      <c r="G24" s="94"/>
      <c r="H24" s="94"/>
      <c r="I24" s="94"/>
      <c r="J24" s="94"/>
      <c r="K24" s="94"/>
      <c r="L24" s="94"/>
      <c r="M24" s="94"/>
      <c r="N24" s="94"/>
    </row>
    <row r="25" spans="1:15" ht="39" customHeight="1" x14ac:dyDescent="0.25">
      <c r="B25" s="13">
        <f>B20-B22</f>
        <v>7803</v>
      </c>
      <c r="C25" s="94" t="s">
        <v>55</v>
      </c>
      <c r="D25" s="94"/>
      <c r="E25" s="94"/>
      <c r="F25" s="94"/>
      <c r="G25" s="94"/>
      <c r="H25" s="94"/>
      <c r="I25" s="94"/>
      <c r="J25" s="94"/>
      <c r="K25" s="94"/>
      <c r="L25" s="94"/>
      <c r="M25" s="94"/>
      <c r="N25" s="94"/>
    </row>
    <row r="26" spans="1:15" ht="39" customHeight="1" x14ac:dyDescent="0.25">
      <c r="B26" s="13">
        <v>84710</v>
      </c>
      <c r="C26" s="94" t="s">
        <v>12</v>
      </c>
      <c r="D26" s="94"/>
      <c r="E26" s="94"/>
      <c r="F26" s="94"/>
      <c r="G26" s="94"/>
      <c r="H26" s="94"/>
      <c r="I26" s="94"/>
      <c r="J26" s="94"/>
      <c r="K26" s="94"/>
      <c r="L26" s="94"/>
      <c r="M26" s="94"/>
      <c r="N26" s="94"/>
    </row>
    <row r="27" spans="1:15" ht="39" customHeight="1" x14ac:dyDescent="0.25">
      <c r="B27" s="13">
        <f>B25*B26/1000000</f>
        <v>660.99212999999997</v>
      </c>
      <c r="C27" s="94" t="s">
        <v>13</v>
      </c>
      <c r="D27" s="94"/>
      <c r="E27" s="94"/>
      <c r="F27" s="94"/>
      <c r="G27" s="94"/>
      <c r="H27" s="94"/>
      <c r="I27" s="94"/>
      <c r="J27" s="94"/>
      <c r="K27" s="94"/>
      <c r="L27" s="94"/>
      <c r="M27" s="94"/>
      <c r="N27" s="94"/>
    </row>
    <row r="28" spans="1:15" ht="39" customHeight="1" x14ac:dyDescent="0.25">
      <c r="B28" s="3">
        <f>B24+B27</f>
        <v>10227.924004500001</v>
      </c>
      <c r="C28" s="93" t="s">
        <v>56</v>
      </c>
      <c r="D28" s="94"/>
      <c r="E28" s="94"/>
      <c r="F28" s="94"/>
      <c r="G28" s="94"/>
      <c r="H28" s="94"/>
      <c r="I28" s="94"/>
      <c r="J28" s="94"/>
      <c r="K28" s="94"/>
      <c r="L28" s="94"/>
      <c r="M28" s="94"/>
      <c r="N28" s="94"/>
    </row>
    <row r="29" spans="1:15" x14ac:dyDescent="0.25">
      <c r="B29" s="7"/>
    </row>
    <row r="30" spans="1:15" x14ac:dyDescent="0.25">
      <c r="B30" s="7"/>
      <c r="C30" s="4" t="s">
        <v>14</v>
      </c>
    </row>
    <row r="31" spans="1:15" x14ac:dyDescent="0.25">
      <c r="B31" s="7"/>
      <c r="C31" s="4"/>
    </row>
    <row r="32" spans="1:15" x14ac:dyDescent="0.25">
      <c r="B32" s="7" t="s">
        <v>15</v>
      </c>
      <c r="C32" s="5"/>
    </row>
    <row r="33" spans="1:15" x14ac:dyDescent="0.25">
      <c r="B33" s="7"/>
      <c r="C33" s="5"/>
    </row>
    <row r="34" spans="1:15" ht="39" customHeight="1" x14ac:dyDescent="0.25">
      <c r="A34" s="1">
        <v>1</v>
      </c>
      <c r="B34" s="15">
        <v>50</v>
      </c>
      <c r="C34" s="95" t="s">
        <v>67</v>
      </c>
      <c r="D34" s="94"/>
      <c r="E34" s="94"/>
      <c r="F34" s="94"/>
      <c r="G34" s="94"/>
      <c r="H34" s="94"/>
      <c r="I34" s="94"/>
      <c r="J34" s="94"/>
      <c r="K34" s="94"/>
      <c r="L34" s="94"/>
      <c r="M34" s="94"/>
      <c r="O34" s="28">
        <f>B34/regional_ev_count</f>
        <v>2.6315789473684209E-2</v>
      </c>
    </row>
    <row r="35" spans="1:15" ht="39" customHeight="1" x14ac:dyDescent="0.25">
      <c r="B35" s="16"/>
      <c r="C35" s="16"/>
      <c r="D35" s="9" t="s">
        <v>2</v>
      </c>
      <c r="E35" s="17" t="s">
        <v>16</v>
      </c>
      <c r="F35" s="16"/>
      <c r="G35" s="16"/>
      <c r="H35" s="16"/>
      <c r="I35" s="16"/>
      <c r="J35" s="16"/>
      <c r="K35" s="16"/>
      <c r="L35" s="16"/>
      <c r="M35" s="16"/>
      <c r="N35" s="16"/>
    </row>
    <row r="36" spans="1:15" ht="39" customHeight="1" x14ac:dyDescent="0.25">
      <c r="B36" s="15">
        <v>5000</v>
      </c>
      <c r="C36" s="94" t="s">
        <v>388</v>
      </c>
      <c r="D36" s="94"/>
      <c r="E36" s="94"/>
      <c r="F36" s="94"/>
      <c r="G36" s="94"/>
      <c r="H36" s="94"/>
      <c r="I36" s="94"/>
      <c r="J36" s="94"/>
      <c r="K36" s="94"/>
      <c r="L36" s="94"/>
      <c r="M36" s="94"/>
      <c r="N36" s="94"/>
      <c r="O36" s="19">
        <f>B36*O34</f>
        <v>131.57894736842104</v>
      </c>
    </row>
    <row r="37" spans="1:15" ht="39" customHeight="1" x14ac:dyDescent="0.25">
      <c r="B37" s="13">
        <v>3</v>
      </c>
      <c r="C37" s="97" t="s">
        <v>17</v>
      </c>
      <c r="D37" s="97"/>
      <c r="E37" s="97"/>
      <c r="F37" s="97"/>
      <c r="G37" s="97"/>
      <c r="H37" s="97"/>
      <c r="I37" s="97"/>
      <c r="J37" s="97"/>
      <c r="K37" s="97"/>
      <c r="L37" s="97"/>
      <c r="M37" s="97"/>
      <c r="N37" s="97"/>
    </row>
    <row r="38" spans="1:15" ht="39" customHeight="1" x14ac:dyDescent="0.25">
      <c r="B38" s="13">
        <f>B34*B36/B37</f>
        <v>83333.333333333328</v>
      </c>
      <c r="C38" s="97" t="s">
        <v>57</v>
      </c>
      <c r="D38" s="97"/>
      <c r="E38" s="97"/>
      <c r="F38" s="97"/>
      <c r="G38" s="97"/>
      <c r="H38" s="97"/>
      <c r="I38" s="97"/>
      <c r="J38" s="97"/>
      <c r="K38" s="97"/>
      <c r="L38" s="97"/>
      <c r="M38" s="97"/>
      <c r="N38" s="97"/>
    </row>
    <row r="39" spans="1:15" ht="39" customHeight="1" x14ac:dyDescent="0.25">
      <c r="B39" s="13">
        <v>3412</v>
      </c>
      <c r="C39" s="97" t="s">
        <v>18</v>
      </c>
      <c r="D39" s="97"/>
      <c r="E39" s="97"/>
      <c r="F39" s="97"/>
      <c r="G39" s="97"/>
      <c r="H39" s="97"/>
      <c r="I39" s="97"/>
      <c r="J39" s="97"/>
      <c r="K39" s="97"/>
      <c r="L39" s="97"/>
      <c r="M39" s="97"/>
      <c r="N39" s="97"/>
    </row>
    <row r="40" spans="1:15" ht="39" customHeight="1" x14ac:dyDescent="0.25">
      <c r="B40" s="3">
        <f>B38*B39/1000000</f>
        <v>284.33333333333331</v>
      </c>
      <c r="C40" s="99" t="s">
        <v>19</v>
      </c>
      <c r="D40" s="97"/>
      <c r="E40" s="97"/>
      <c r="F40" s="97"/>
      <c r="G40" s="97"/>
      <c r="H40" s="97"/>
      <c r="I40" s="97"/>
      <c r="J40" s="97"/>
      <c r="K40" s="97"/>
      <c r="L40" s="97"/>
      <c r="M40" s="97"/>
      <c r="N40" s="97"/>
    </row>
    <row r="41" spans="1:15" x14ac:dyDescent="0.25">
      <c r="B41" s="7"/>
    </row>
    <row r="43" spans="1:15" x14ac:dyDescent="0.25">
      <c r="C43" s="5"/>
    </row>
    <row r="45" spans="1:15" x14ac:dyDescent="0.25">
      <c r="B45" s="7"/>
    </row>
    <row r="50" spans="2:2" x14ac:dyDescent="0.25">
      <c r="B50" s="7"/>
    </row>
    <row r="52" spans="2:2" x14ac:dyDescent="0.25">
      <c r="B52" s="7"/>
    </row>
    <row r="54" spans="2:2" x14ac:dyDescent="0.25">
      <c r="B54" s="18"/>
    </row>
    <row r="55" spans="2:2" x14ac:dyDescent="0.25">
      <c r="B55" s="18"/>
    </row>
    <row r="56" spans="2:2" x14ac:dyDescent="0.25">
      <c r="B56" s="18"/>
    </row>
    <row r="70" spans="2:2" x14ac:dyDescent="0.25">
      <c r="B70" s="7"/>
    </row>
  </sheetData>
  <mergeCells count="31">
    <mergeCell ref="C38:N38"/>
    <mergeCell ref="C39:N39"/>
    <mergeCell ref="C40:N40"/>
    <mergeCell ref="C26:N26"/>
    <mergeCell ref="C27:N27"/>
    <mergeCell ref="C28:N28"/>
    <mergeCell ref="C34:M34"/>
    <mergeCell ref="C36:N36"/>
    <mergeCell ref="C37:N37"/>
    <mergeCell ref="C25:N25"/>
    <mergeCell ref="C15:N15"/>
    <mergeCell ref="C16:N16"/>
    <mergeCell ref="E17:N17"/>
    <mergeCell ref="E18:N18"/>
    <mergeCell ref="E19:N19"/>
    <mergeCell ref="C20:N20"/>
    <mergeCell ref="C21:N21"/>
    <mergeCell ref="C22:N22"/>
    <mergeCell ref="C23:N23"/>
    <mergeCell ref="C24:N24"/>
    <mergeCell ref="E14:N14"/>
    <mergeCell ref="B4:N4"/>
    <mergeCell ref="C7:N7"/>
    <mergeCell ref="C11:N11"/>
    <mergeCell ref="E12:F12"/>
    <mergeCell ref="G12:N12"/>
    <mergeCell ref="E13:F13"/>
    <mergeCell ref="G13:N13"/>
    <mergeCell ref="B3:L3"/>
    <mergeCell ref="M3:N3"/>
    <mergeCell ref="B5:M5"/>
  </mergeCells>
  <dataValidations count="1">
    <dataValidation type="list" allowBlank="1" showInputMessage="1" showErrorMessage="1" sqref="M3:N3">
      <formula1>INDIRECT("town_population[Municipality]")</formula1>
    </dataValidation>
  </dataValidations>
  <hyperlinks>
    <hyperlink ref="E12" r:id="rId1" display="Census data"/>
    <hyperlink ref="E35" r:id="rId2"/>
  </hyperlinks>
  <pageMargins left="0.7" right="0.7" top="0.75" bottom="0.75"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autoPageBreaks="0"/>
  </sheetPr>
  <dimension ref="A1:O70"/>
  <sheetViews>
    <sheetView zoomScale="70" zoomScaleNormal="70" workbookViewId="0"/>
  </sheetViews>
  <sheetFormatPr defaultRowHeight="15" x14ac:dyDescent="0.25"/>
  <cols>
    <col min="1" max="1" width="2.5703125" style="1" bestFit="1" customWidth="1"/>
    <col min="2" max="14" width="15.85546875" customWidth="1"/>
    <col min="15" max="15" width="12.5703125" customWidth="1"/>
  </cols>
  <sheetData>
    <row r="1" spans="1:15" ht="21" x14ac:dyDescent="0.35">
      <c r="B1" s="20" t="s">
        <v>0</v>
      </c>
    </row>
    <row r="2" spans="1:15" ht="14.25" customHeight="1" x14ac:dyDescent="0.3">
      <c r="B2" s="2"/>
    </row>
    <row r="3" spans="1:15" ht="23.25" customHeight="1" x14ac:dyDescent="0.25">
      <c r="B3" s="86" t="s">
        <v>382</v>
      </c>
      <c r="C3" s="87"/>
      <c r="D3" s="87"/>
      <c r="E3" s="87"/>
      <c r="F3" s="87"/>
      <c r="G3" s="87"/>
      <c r="H3" s="87"/>
      <c r="I3" s="87"/>
      <c r="J3" s="87"/>
      <c r="K3" s="87"/>
      <c r="L3" s="110"/>
      <c r="M3" s="122" t="s">
        <v>264</v>
      </c>
      <c r="N3" s="123"/>
    </row>
    <row r="4" spans="1:15" ht="23.25" customHeight="1" x14ac:dyDescent="0.25">
      <c r="B4" s="88" t="s">
        <v>383</v>
      </c>
      <c r="C4" s="89"/>
      <c r="D4" s="89"/>
      <c r="E4" s="89"/>
      <c r="F4" s="89"/>
      <c r="G4" s="89"/>
      <c r="H4" s="89"/>
      <c r="I4" s="89"/>
      <c r="J4" s="89"/>
      <c r="K4" s="89"/>
      <c r="L4" s="89"/>
      <c r="M4" s="89"/>
      <c r="N4" s="90"/>
    </row>
    <row r="5" spans="1:15" ht="23.25" customHeight="1" x14ac:dyDescent="0.25">
      <c r="B5" s="91" t="s">
        <v>381</v>
      </c>
      <c r="C5" s="92"/>
      <c r="D5" s="92"/>
      <c r="E5" s="92"/>
      <c r="F5" s="92"/>
      <c r="G5" s="92"/>
      <c r="H5" s="92"/>
      <c r="I5" s="92"/>
      <c r="J5" s="92"/>
      <c r="K5" s="92"/>
      <c r="L5" s="92"/>
      <c r="M5" s="111"/>
      <c r="N5" s="76" t="s">
        <v>372</v>
      </c>
    </row>
    <row r="7" spans="1:15" ht="40.5" customHeight="1" x14ac:dyDescent="0.25">
      <c r="B7" s="3">
        <f>SUM(B28,B40)</f>
        <v>11396.356840699998</v>
      </c>
      <c r="C7" s="93" t="s">
        <v>384</v>
      </c>
      <c r="D7" s="94"/>
      <c r="E7" s="94"/>
      <c r="F7" s="94"/>
      <c r="G7" s="94"/>
      <c r="H7" s="94"/>
      <c r="I7" s="94"/>
      <c r="J7" s="94"/>
      <c r="K7" s="94"/>
      <c r="L7" s="94"/>
      <c r="M7" s="94"/>
      <c r="N7" s="94"/>
      <c r="O7" s="112">
        <f>B7/regional_ldv_mmbtu</f>
        <v>0.10313123060657461</v>
      </c>
    </row>
    <row r="9" spans="1:15" ht="18.75" x14ac:dyDescent="0.3">
      <c r="C9" s="2" t="s">
        <v>1</v>
      </c>
    </row>
    <row r="10" spans="1:15" x14ac:dyDescent="0.25">
      <c r="C10" s="5"/>
    </row>
    <row r="11" spans="1:15" ht="39" customHeight="1" x14ac:dyDescent="0.25">
      <c r="A11" s="1">
        <v>1</v>
      </c>
      <c r="B11" s="115">
        <f>IF(ISNA(INDEX(town_vehicles[Vehicles],MATCH(M3,town_vehicles[Municipality]))),0,INDEX(town_vehicles[Vehicles],MATCH(M3,town_vehicles[Municipality])))-B34</f>
        <v>239</v>
      </c>
      <c r="C11" s="113" t="s">
        <v>374</v>
      </c>
      <c r="D11" s="94"/>
      <c r="E11" s="94"/>
      <c r="F11" s="94"/>
      <c r="G11" s="94"/>
      <c r="H11" s="94"/>
      <c r="I11" s="94"/>
      <c r="J11" s="94"/>
      <c r="K11" s="94"/>
      <c r="L11" s="94"/>
      <c r="M11" s="94"/>
      <c r="N11" s="94"/>
      <c r="O11" s="28">
        <f>B11/regional_ldv_count</f>
        <v>0.16040268456375839</v>
      </c>
    </row>
    <row r="12" spans="1:15" ht="39" customHeight="1" x14ac:dyDescent="0.25">
      <c r="B12" s="7"/>
      <c r="C12" s="8"/>
      <c r="D12" s="9" t="s">
        <v>386</v>
      </c>
      <c r="E12" s="96" t="s">
        <v>3</v>
      </c>
      <c r="F12" s="96"/>
      <c r="G12" s="97" t="s">
        <v>385</v>
      </c>
      <c r="H12" s="97"/>
      <c r="I12" s="97"/>
      <c r="J12" s="97"/>
      <c r="K12" s="97"/>
      <c r="L12" s="97"/>
      <c r="M12" s="97"/>
      <c r="N12" s="97"/>
    </row>
    <row r="13" spans="1:15" ht="39" customHeight="1" x14ac:dyDescent="0.25">
      <c r="B13" s="7"/>
      <c r="C13" s="8"/>
      <c r="D13" s="9" t="s">
        <v>5</v>
      </c>
      <c r="E13" s="97" t="s">
        <v>4</v>
      </c>
      <c r="F13" s="97"/>
      <c r="G13" s="94" t="s">
        <v>387</v>
      </c>
      <c r="H13" s="94"/>
      <c r="I13" s="94"/>
      <c r="J13" s="94"/>
      <c r="K13" s="94"/>
      <c r="L13" s="94"/>
      <c r="M13" s="94"/>
      <c r="N13" s="94"/>
    </row>
    <row r="14" spans="1:15" ht="39" customHeight="1" x14ac:dyDescent="0.25">
      <c r="B14" s="7"/>
      <c r="C14" s="8"/>
      <c r="D14" s="9" t="s">
        <v>5</v>
      </c>
      <c r="E14" s="97" t="s">
        <v>6</v>
      </c>
      <c r="F14" s="97"/>
      <c r="G14" s="97"/>
      <c r="H14" s="97"/>
      <c r="I14" s="97"/>
      <c r="J14" s="97"/>
      <c r="K14" s="97"/>
      <c r="L14" s="97"/>
      <c r="M14" s="97"/>
      <c r="N14" s="97"/>
    </row>
    <row r="15" spans="1:15" ht="48.75" customHeight="1" x14ac:dyDescent="0.25">
      <c r="A15" s="1">
        <v>2</v>
      </c>
      <c r="B15" s="6">
        <v>9500</v>
      </c>
      <c r="C15" s="95" t="s">
        <v>63</v>
      </c>
      <c r="D15" s="94"/>
      <c r="E15" s="94"/>
      <c r="F15" s="94"/>
      <c r="G15" s="94"/>
      <c r="H15" s="94"/>
      <c r="I15" s="94"/>
      <c r="J15" s="94"/>
      <c r="K15" s="94"/>
      <c r="L15" s="94"/>
      <c r="M15" s="94"/>
      <c r="N15" s="94"/>
      <c r="O15" s="19">
        <f>B15*O11</f>
        <v>1523.8255033557048</v>
      </c>
    </row>
    <row r="16" spans="1:15" ht="60.75" customHeight="1" x14ac:dyDescent="0.25">
      <c r="A16" s="1">
        <v>3</v>
      </c>
      <c r="B16" s="6">
        <v>25</v>
      </c>
      <c r="C16" s="95" t="s">
        <v>64</v>
      </c>
      <c r="D16" s="94"/>
      <c r="E16" s="94"/>
      <c r="F16" s="94"/>
      <c r="G16" s="94"/>
      <c r="H16" s="94"/>
      <c r="I16" s="94"/>
      <c r="J16" s="94"/>
      <c r="K16" s="94"/>
      <c r="L16" s="94"/>
      <c r="M16" s="94"/>
      <c r="N16" s="94"/>
      <c r="O16" s="63">
        <f>B16*O11</f>
        <v>4.0100671140939594</v>
      </c>
    </row>
    <row r="17" spans="1:15" s="60" customFormat="1" ht="39" customHeight="1" x14ac:dyDescent="0.25">
      <c r="A17" s="10"/>
      <c r="D17" s="12">
        <v>0.4</v>
      </c>
      <c r="E17" s="85" t="s">
        <v>7</v>
      </c>
      <c r="F17" s="85"/>
      <c r="G17" s="85"/>
      <c r="H17" s="85"/>
      <c r="I17" s="85"/>
      <c r="J17" s="85"/>
      <c r="K17" s="85"/>
      <c r="L17" s="85"/>
      <c r="M17" s="85"/>
      <c r="N17" s="85"/>
    </row>
    <row r="18" spans="1:15" s="60" customFormat="1" ht="39" customHeight="1" x14ac:dyDescent="0.25">
      <c r="A18" s="10"/>
      <c r="D18" s="12">
        <f>150000/583770</f>
        <v>0.25695051133151753</v>
      </c>
      <c r="E18" s="94" t="s">
        <v>8</v>
      </c>
      <c r="F18" s="94"/>
      <c r="G18" s="94"/>
      <c r="H18" s="94"/>
      <c r="I18" s="94"/>
      <c r="J18" s="94"/>
      <c r="K18" s="94"/>
      <c r="L18" s="94"/>
      <c r="M18" s="94"/>
      <c r="N18" s="94"/>
    </row>
    <row r="19" spans="1:15" s="60" customFormat="1" ht="39" customHeight="1" x14ac:dyDescent="0.25">
      <c r="A19" s="10"/>
      <c r="D19" s="12">
        <v>0.86</v>
      </c>
      <c r="E19" s="94" t="s">
        <v>9</v>
      </c>
      <c r="F19" s="94"/>
      <c r="G19" s="94"/>
      <c r="H19" s="94"/>
      <c r="I19" s="94"/>
      <c r="J19" s="94"/>
      <c r="K19" s="94"/>
      <c r="L19" s="94"/>
      <c r="M19" s="94"/>
      <c r="N19" s="94"/>
    </row>
    <row r="20" spans="1:15" ht="55.5" customHeight="1" x14ac:dyDescent="0.25">
      <c r="B20" s="13">
        <f>B11*B15/B16</f>
        <v>90820</v>
      </c>
      <c r="C20" s="94" t="s">
        <v>65</v>
      </c>
      <c r="D20" s="94"/>
      <c r="E20" s="94"/>
      <c r="F20" s="94"/>
      <c r="G20" s="94"/>
      <c r="H20" s="94"/>
      <c r="I20" s="94"/>
      <c r="J20" s="94"/>
      <c r="K20" s="94"/>
      <c r="L20" s="94"/>
      <c r="M20" s="94"/>
      <c r="N20" s="94"/>
      <c r="O20" s="28">
        <f>B20/regional_gsl_gallons</f>
        <v>0.11985023219767815</v>
      </c>
    </row>
    <row r="21" spans="1:15" ht="55.5" customHeight="1" x14ac:dyDescent="0.25">
      <c r="A21" s="1">
        <v>4</v>
      </c>
      <c r="B21" s="14">
        <v>0.09</v>
      </c>
      <c r="C21" s="95" t="s">
        <v>66</v>
      </c>
      <c r="D21" s="94"/>
      <c r="E21" s="94"/>
      <c r="F21" s="94"/>
      <c r="G21" s="94"/>
      <c r="H21" s="94"/>
      <c r="I21" s="94"/>
      <c r="J21" s="94"/>
      <c r="K21" s="94"/>
      <c r="L21" s="94"/>
      <c r="M21" s="94"/>
      <c r="N21" s="94"/>
      <c r="O21" s="64">
        <f>B21*O20</f>
        <v>1.0786520897791033E-2</v>
      </c>
    </row>
    <row r="22" spans="1:15" ht="39" customHeight="1" x14ac:dyDescent="0.25">
      <c r="B22" s="13">
        <f>(1-B21)*B20</f>
        <v>82646.2</v>
      </c>
      <c r="C22" s="94" t="s">
        <v>54</v>
      </c>
      <c r="D22" s="94"/>
      <c r="E22" s="94"/>
      <c r="F22" s="94"/>
      <c r="G22" s="94"/>
      <c r="H22" s="94"/>
      <c r="I22" s="94"/>
      <c r="J22" s="94"/>
      <c r="K22" s="94"/>
      <c r="L22" s="94"/>
      <c r="M22" s="94"/>
      <c r="N22" s="94"/>
    </row>
    <row r="23" spans="1:15" ht="39" customHeight="1" x14ac:dyDescent="0.25">
      <c r="B23" s="13">
        <f>fossilBtu</f>
        <v>121258.5</v>
      </c>
      <c r="C23" s="94" t="s">
        <v>10</v>
      </c>
      <c r="D23" s="94"/>
      <c r="E23" s="94"/>
      <c r="F23" s="94"/>
      <c r="G23" s="94"/>
      <c r="H23" s="94"/>
      <c r="I23" s="94"/>
      <c r="J23" s="94"/>
      <c r="K23" s="94"/>
      <c r="L23" s="94"/>
      <c r="M23" s="94"/>
      <c r="N23" s="94"/>
    </row>
    <row r="24" spans="1:15" ht="39" customHeight="1" x14ac:dyDescent="0.25">
      <c r="B24" s="13">
        <f>B22*B23/1000000</f>
        <v>10021.554242699998</v>
      </c>
      <c r="C24" s="94" t="s">
        <v>11</v>
      </c>
      <c r="D24" s="94"/>
      <c r="E24" s="94"/>
      <c r="F24" s="94"/>
      <c r="G24" s="94"/>
      <c r="H24" s="94"/>
      <c r="I24" s="94"/>
      <c r="J24" s="94"/>
      <c r="K24" s="94"/>
      <c r="L24" s="94"/>
      <c r="M24" s="94"/>
      <c r="N24" s="94"/>
    </row>
    <row r="25" spans="1:15" ht="39" customHeight="1" x14ac:dyDescent="0.25">
      <c r="B25" s="13">
        <f>B20-B22</f>
        <v>8173.8000000000029</v>
      </c>
      <c r="C25" s="94" t="s">
        <v>55</v>
      </c>
      <c r="D25" s="94"/>
      <c r="E25" s="94"/>
      <c r="F25" s="94"/>
      <c r="G25" s="94"/>
      <c r="H25" s="94"/>
      <c r="I25" s="94"/>
      <c r="J25" s="94"/>
      <c r="K25" s="94"/>
      <c r="L25" s="94"/>
      <c r="M25" s="94"/>
      <c r="N25" s="94"/>
    </row>
    <row r="26" spans="1:15" ht="39" customHeight="1" x14ac:dyDescent="0.25">
      <c r="B26" s="13">
        <v>84710</v>
      </c>
      <c r="C26" s="94" t="s">
        <v>12</v>
      </c>
      <c r="D26" s="94"/>
      <c r="E26" s="94"/>
      <c r="F26" s="94"/>
      <c r="G26" s="94"/>
      <c r="H26" s="94"/>
      <c r="I26" s="94"/>
      <c r="J26" s="94"/>
      <c r="K26" s="94"/>
      <c r="L26" s="94"/>
      <c r="M26" s="94"/>
      <c r="N26" s="94"/>
    </row>
    <row r="27" spans="1:15" ht="39" customHeight="1" x14ac:dyDescent="0.25">
      <c r="B27" s="13">
        <f>B25*B26/1000000</f>
        <v>692.40259800000024</v>
      </c>
      <c r="C27" s="94" t="s">
        <v>13</v>
      </c>
      <c r="D27" s="94"/>
      <c r="E27" s="94"/>
      <c r="F27" s="94"/>
      <c r="G27" s="94"/>
      <c r="H27" s="94"/>
      <c r="I27" s="94"/>
      <c r="J27" s="94"/>
      <c r="K27" s="94"/>
      <c r="L27" s="94"/>
      <c r="M27" s="94"/>
      <c r="N27" s="94"/>
    </row>
    <row r="28" spans="1:15" ht="39" customHeight="1" x14ac:dyDescent="0.25">
      <c r="B28" s="3">
        <f>B24+B27</f>
        <v>10713.956840699999</v>
      </c>
      <c r="C28" s="93" t="s">
        <v>56</v>
      </c>
      <c r="D28" s="94"/>
      <c r="E28" s="94"/>
      <c r="F28" s="94"/>
      <c r="G28" s="94"/>
      <c r="H28" s="94"/>
      <c r="I28" s="94"/>
      <c r="J28" s="94"/>
      <c r="K28" s="94"/>
      <c r="L28" s="94"/>
      <c r="M28" s="94"/>
      <c r="N28" s="94"/>
    </row>
    <row r="29" spans="1:15" x14ac:dyDescent="0.25">
      <c r="B29" s="7"/>
    </row>
    <row r="30" spans="1:15" x14ac:dyDescent="0.25">
      <c r="B30" s="7"/>
      <c r="C30" s="4" t="s">
        <v>14</v>
      </c>
    </row>
    <row r="31" spans="1:15" x14ac:dyDescent="0.25">
      <c r="B31" s="7"/>
      <c r="C31" s="4"/>
    </row>
    <row r="32" spans="1:15" x14ac:dyDescent="0.25">
      <c r="B32" s="7" t="s">
        <v>15</v>
      </c>
      <c r="C32" s="5"/>
    </row>
    <row r="33" spans="1:15" x14ac:dyDescent="0.25">
      <c r="B33" s="7"/>
      <c r="C33" s="5"/>
    </row>
    <row r="34" spans="1:15" ht="39" customHeight="1" x14ac:dyDescent="0.25">
      <c r="A34" s="1">
        <v>1</v>
      </c>
      <c r="B34" s="15">
        <v>100</v>
      </c>
      <c r="C34" s="95" t="s">
        <v>67</v>
      </c>
      <c r="D34" s="94"/>
      <c r="E34" s="94"/>
      <c r="F34" s="94"/>
      <c r="G34" s="94"/>
      <c r="H34" s="94"/>
      <c r="I34" s="94"/>
      <c r="J34" s="94"/>
      <c r="K34" s="94"/>
      <c r="L34" s="94"/>
      <c r="M34" s="94"/>
      <c r="O34" s="28">
        <f>B34/regional_ev_count</f>
        <v>5.2631578947368418E-2</v>
      </c>
    </row>
    <row r="35" spans="1:15" ht="39" customHeight="1" x14ac:dyDescent="0.25">
      <c r="B35" s="16"/>
      <c r="C35" s="16"/>
      <c r="D35" s="9" t="s">
        <v>2</v>
      </c>
      <c r="E35" s="17" t="s">
        <v>16</v>
      </c>
      <c r="F35" s="16"/>
      <c r="G35" s="16"/>
      <c r="H35" s="16"/>
      <c r="I35" s="16"/>
      <c r="J35" s="16"/>
      <c r="K35" s="16"/>
      <c r="L35" s="16"/>
      <c r="M35" s="16"/>
      <c r="N35" s="16"/>
    </row>
    <row r="36" spans="1:15" ht="39" customHeight="1" x14ac:dyDescent="0.25">
      <c r="B36" s="15">
        <v>6000</v>
      </c>
      <c r="C36" s="94" t="s">
        <v>388</v>
      </c>
      <c r="D36" s="94"/>
      <c r="E36" s="94"/>
      <c r="F36" s="94"/>
      <c r="G36" s="94"/>
      <c r="H36" s="94"/>
      <c r="I36" s="94"/>
      <c r="J36" s="94"/>
      <c r="K36" s="94"/>
      <c r="L36" s="94"/>
      <c r="M36" s="94"/>
      <c r="N36" s="94"/>
      <c r="O36" s="19">
        <f>B36*O34</f>
        <v>315.78947368421052</v>
      </c>
    </row>
    <row r="37" spans="1:15" ht="39" customHeight="1" x14ac:dyDescent="0.25">
      <c r="B37" s="13">
        <v>3</v>
      </c>
      <c r="C37" s="97" t="s">
        <v>17</v>
      </c>
      <c r="D37" s="97"/>
      <c r="E37" s="97"/>
      <c r="F37" s="97"/>
      <c r="G37" s="97"/>
      <c r="H37" s="97"/>
      <c r="I37" s="97"/>
      <c r="J37" s="97"/>
      <c r="K37" s="97"/>
      <c r="L37" s="97"/>
      <c r="M37" s="97"/>
      <c r="N37" s="97"/>
    </row>
    <row r="38" spans="1:15" ht="39" customHeight="1" x14ac:dyDescent="0.25">
      <c r="B38" s="13">
        <f>B34*B36/B37</f>
        <v>200000</v>
      </c>
      <c r="C38" s="97" t="s">
        <v>57</v>
      </c>
      <c r="D38" s="97"/>
      <c r="E38" s="97"/>
      <c r="F38" s="97"/>
      <c r="G38" s="97"/>
      <c r="H38" s="97"/>
      <c r="I38" s="97"/>
      <c r="J38" s="97"/>
      <c r="K38" s="97"/>
      <c r="L38" s="97"/>
      <c r="M38" s="97"/>
      <c r="N38" s="97"/>
    </row>
    <row r="39" spans="1:15" ht="39" customHeight="1" x14ac:dyDescent="0.25">
      <c r="B39" s="13">
        <v>3412</v>
      </c>
      <c r="C39" s="97" t="s">
        <v>18</v>
      </c>
      <c r="D39" s="97"/>
      <c r="E39" s="97"/>
      <c r="F39" s="97"/>
      <c r="G39" s="97"/>
      <c r="H39" s="97"/>
      <c r="I39" s="97"/>
      <c r="J39" s="97"/>
      <c r="K39" s="97"/>
      <c r="L39" s="97"/>
      <c r="M39" s="97"/>
      <c r="N39" s="97"/>
    </row>
    <row r="40" spans="1:15" ht="39" customHeight="1" x14ac:dyDescent="0.25">
      <c r="B40" s="3">
        <f>B38*B39/1000000</f>
        <v>682.4</v>
      </c>
      <c r="C40" s="99" t="s">
        <v>19</v>
      </c>
      <c r="D40" s="97"/>
      <c r="E40" s="97"/>
      <c r="F40" s="97"/>
      <c r="G40" s="97"/>
      <c r="H40" s="97"/>
      <c r="I40" s="97"/>
      <c r="J40" s="97"/>
      <c r="K40" s="97"/>
      <c r="L40" s="97"/>
      <c r="M40" s="97"/>
      <c r="N40" s="97"/>
    </row>
    <row r="41" spans="1:15" x14ac:dyDescent="0.25">
      <c r="B41" s="7"/>
    </row>
    <row r="43" spans="1:15" x14ac:dyDescent="0.25">
      <c r="C43" s="5"/>
    </row>
    <row r="45" spans="1:15" x14ac:dyDescent="0.25">
      <c r="B45" s="7"/>
    </row>
    <row r="50" spans="2:2" x14ac:dyDescent="0.25">
      <c r="B50" s="7"/>
    </row>
    <row r="52" spans="2:2" x14ac:dyDescent="0.25">
      <c r="B52" s="7"/>
    </row>
    <row r="54" spans="2:2" x14ac:dyDescent="0.25">
      <c r="B54" s="18"/>
    </row>
    <row r="55" spans="2:2" x14ac:dyDescent="0.25">
      <c r="B55" s="18"/>
    </row>
    <row r="56" spans="2:2" x14ac:dyDescent="0.25">
      <c r="B56" s="18"/>
    </row>
    <row r="70" spans="2:2" x14ac:dyDescent="0.25">
      <c r="B70" s="7"/>
    </row>
  </sheetData>
  <mergeCells count="31">
    <mergeCell ref="C40:N40"/>
    <mergeCell ref="C28:N28"/>
    <mergeCell ref="C34:M34"/>
    <mergeCell ref="C36:N36"/>
    <mergeCell ref="C37:N37"/>
    <mergeCell ref="C38:N38"/>
    <mergeCell ref="C39:N39"/>
    <mergeCell ref="C22:N22"/>
    <mergeCell ref="C23:N23"/>
    <mergeCell ref="C24:N24"/>
    <mergeCell ref="C25:N25"/>
    <mergeCell ref="C26:N26"/>
    <mergeCell ref="C27:N27"/>
    <mergeCell ref="C16:N16"/>
    <mergeCell ref="E17:N17"/>
    <mergeCell ref="E18:N18"/>
    <mergeCell ref="E19:N19"/>
    <mergeCell ref="C20:N20"/>
    <mergeCell ref="C21:N21"/>
    <mergeCell ref="E12:F12"/>
    <mergeCell ref="G12:N12"/>
    <mergeCell ref="E13:F13"/>
    <mergeCell ref="G13:N13"/>
    <mergeCell ref="E14:N14"/>
    <mergeCell ref="C15:N15"/>
    <mergeCell ref="B3:L3"/>
    <mergeCell ref="M3:N3"/>
    <mergeCell ref="B4:N4"/>
    <mergeCell ref="B5:M5"/>
    <mergeCell ref="C7:N7"/>
    <mergeCell ref="C11:N11"/>
  </mergeCells>
  <dataValidations count="1">
    <dataValidation type="list" allowBlank="1" showInputMessage="1" showErrorMessage="1" sqref="M3:N3">
      <formula1>INDIRECT("town_population[Municipality]")</formula1>
    </dataValidation>
  </dataValidations>
  <hyperlinks>
    <hyperlink ref="E12" r:id="rId1" display="Census data"/>
    <hyperlink ref="E35" r:id="rId2"/>
  </hyperlinks>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8</vt:i4>
      </vt:variant>
    </vt:vector>
  </HeadingPairs>
  <TitlesOfParts>
    <vt:vector size="38" baseType="lpstr">
      <vt:lpstr>Instructions</vt:lpstr>
      <vt:lpstr>Population</vt:lpstr>
      <vt:lpstr>Establishments</vt:lpstr>
      <vt:lpstr>Vehicles</vt:lpstr>
      <vt:lpstr>1.Current Trans (Region)</vt:lpstr>
      <vt:lpstr>1.Current Heat (Region)</vt:lpstr>
      <vt:lpstr>BeginTrans</vt:lpstr>
      <vt:lpstr>1.Current Trans (1)</vt:lpstr>
      <vt:lpstr>1.Current Trans (2)</vt:lpstr>
      <vt:lpstr>1.Current Trans (3)</vt:lpstr>
      <vt:lpstr>1.Current Trans (4)</vt:lpstr>
      <vt:lpstr>1.Current Trans (5)</vt:lpstr>
      <vt:lpstr>1.Current Trans (6)</vt:lpstr>
      <vt:lpstr>1.Current Trans (7)</vt:lpstr>
      <vt:lpstr>1.Current Trans (8)</vt:lpstr>
      <vt:lpstr>1.Current Trans (9)</vt:lpstr>
      <vt:lpstr>1.Current Trans (10)</vt:lpstr>
      <vt:lpstr>EndTrans</vt:lpstr>
      <vt:lpstr>BeginHeat</vt:lpstr>
      <vt:lpstr>1.Current Heat (1)</vt:lpstr>
      <vt:lpstr>1.Current Heat (2)</vt:lpstr>
      <vt:lpstr>1.Current Heat (3)</vt:lpstr>
      <vt:lpstr>1.Current Heat (4)</vt:lpstr>
      <vt:lpstr>1.Current Heat (5)</vt:lpstr>
      <vt:lpstr>1.Current Heat (6)</vt:lpstr>
      <vt:lpstr>1.Current Heat (7)</vt:lpstr>
      <vt:lpstr>1.Current Heat (8)</vt:lpstr>
      <vt:lpstr>1.Current Heat (9)</vt:lpstr>
      <vt:lpstr>1.Current Heat (10)</vt:lpstr>
      <vt:lpstr>EndHeat</vt:lpstr>
      <vt:lpstr>regional_com_bldgs</vt:lpstr>
      <vt:lpstr>regional_com_heat_mmbtu</vt:lpstr>
      <vt:lpstr>regional_ev_count</vt:lpstr>
      <vt:lpstr>regional_gsl_gallons</vt:lpstr>
      <vt:lpstr>regional_ldv_count</vt:lpstr>
      <vt:lpstr>regional_ldv_mmbtu</vt:lpstr>
      <vt:lpstr>regional_res_bldgs</vt:lpstr>
      <vt:lpstr>regional_res_heat_mmbtu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Service Department</dc:creator>
  <cp:lastModifiedBy>Public Service Department</cp:lastModifiedBy>
  <dcterms:created xsi:type="dcterms:W3CDTF">2017-03-13T17:49:08Z</dcterms:created>
  <dcterms:modified xsi:type="dcterms:W3CDTF">2017-04-20T16:44:24Z</dcterms:modified>
</cp:coreProperties>
</file>