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695" activeTab="0"/>
  </bookViews>
  <sheets>
    <sheet name="KWH &amp; Rev 2015" sheetId="1" r:id="rId1"/>
    <sheet name="Ranking" sheetId="2" r:id="rId2"/>
  </sheets>
  <definedNames>
    <definedName name="_Key1" hidden="1">'Ranking'!$A$55:$A$71</definedName>
    <definedName name="_Key2" hidden="1">'Ranking'!$F$55:$F$71</definedName>
    <definedName name="_Order1" hidden="1">255</definedName>
    <definedName name="_Order2" hidden="1">255</definedName>
    <definedName name="_Sort" hidden="1">'Ranking'!$A$55:$G$71</definedName>
    <definedName name="_xlnm.Print_Area" localSheetId="0">'KWH &amp; Rev 2015'!$B$95:$H$101</definedName>
    <definedName name="_xlnm.Print_Area" localSheetId="1">'Ranking'!$A$1:$G$97</definedName>
    <definedName name="T2.3A_D">'Ranking'!$A$3:$G$99</definedName>
  </definedNames>
  <calcPr fullCalcOnLoad="1"/>
</workbook>
</file>

<file path=xl/sharedStrings.xml><?xml version="1.0" encoding="utf-8"?>
<sst xmlns="http://schemas.openxmlformats.org/spreadsheetml/2006/main" count="206" uniqueCount="93">
  <si>
    <t xml:space="preserve">Company </t>
  </si>
  <si>
    <t xml:space="preserve">Residential Rev </t>
  </si>
  <si>
    <t>kWh</t>
  </si>
  <si>
    <t>Residential Customers</t>
  </si>
  <si>
    <t>Avg Res Use (kWh)</t>
  </si>
  <si>
    <t>Rev/kWh (cents)</t>
  </si>
  <si>
    <t>Rank by Rev/kWh</t>
  </si>
  <si>
    <t>Barton</t>
  </si>
  <si>
    <t>BED</t>
  </si>
  <si>
    <t>Enosburg</t>
  </si>
  <si>
    <t>GMP</t>
  </si>
  <si>
    <t>Hardwick</t>
  </si>
  <si>
    <t>Hyde Park</t>
  </si>
  <si>
    <t>Jacksonville</t>
  </si>
  <si>
    <t>Johnson</t>
  </si>
  <si>
    <t>Ludlow</t>
  </si>
  <si>
    <t>Lyndonville</t>
  </si>
  <si>
    <t>Morrisville</t>
  </si>
  <si>
    <t>Northfield</t>
  </si>
  <si>
    <t>Orleans</t>
  </si>
  <si>
    <t>Stowe</t>
  </si>
  <si>
    <t>Swanton</t>
  </si>
  <si>
    <t>VEC</t>
  </si>
  <si>
    <t>WEC</t>
  </si>
  <si>
    <t>Total</t>
  </si>
  <si>
    <t>Commercial Revenue</t>
  </si>
  <si>
    <t>Commercial Customers</t>
  </si>
  <si>
    <t>Avg  Com Use (kWh)</t>
  </si>
  <si>
    <t>Com Rev/kWh (cents)</t>
  </si>
  <si>
    <t xml:space="preserve"> </t>
  </si>
  <si>
    <t xml:space="preserve">Industrial Revenue </t>
  </si>
  <si>
    <t>Industrial Customers</t>
  </si>
  <si>
    <t>Avg Ind Use (kWh)</t>
  </si>
  <si>
    <t>Ind Rev/kWh (cents)</t>
  </si>
  <si>
    <t>Total Rate Revenue</t>
  </si>
  <si>
    <t>Total Customers</t>
  </si>
  <si>
    <t>-</t>
  </si>
  <si>
    <t>Residential</t>
  </si>
  <si>
    <t xml:space="preserve"> Vermont Electric Utilities: Revenue and Usage,</t>
  </si>
  <si>
    <t>Commercial</t>
  </si>
  <si>
    <t>Industrial</t>
  </si>
  <si>
    <t xml:space="preserve"> Vermont Electric Utilities: Revenue and Usage</t>
  </si>
  <si>
    <t>Totals</t>
  </si>
  <si>
    <t>STATE OF VERMONT</t>
  </si>
  <si>
    <t>Other and</t>
  </si>
  <si>
    <t>Total Sales</t>
  </si>
  <si>
    <t>Public Street</t>
  </si>
  <si>
    <t>to Ultimate</t>
  </si>
  <si>
    <t>Sales</t>
  </si>
  <si>
    <t>&amp; Highway</t>
  </si>
  <si>
    <t>Authorities</t>
  </si>
  <si>
    <t>Consumers</t>
  </si>
  <si>
    <t>for Resale</t>
  </si>
  <si>
    <t>check</t>
  </si>
  <si>
    <t>BARTON</t>
  </si>
  <si>
    <t>BURLINGTON</t>
  </si>
  <si>
    <t>ENOSBURG FALLS</t>
  </si>
  <si>
    <t>HARDWICK</t>
  </si>
  <si>
    <t>HYDE PARK</t>
  </si>
  <si>
    <t>JACKSONVILLE</t>
  </si>
  <si>
    <t>JOHNSON</t>
  </si>
  <si>
    <t>LUDLOW</t>
  </si>
  <si>
    <t>LYNDONVILLE</t>
  </si>
  <si>
    <t>MORRISVILLE</t>
  </si>
  <si>
    <t>NORTHFIELD</t>
  </si>
  <si>
    <t>ORLEANS</t>
  </si>
  <si>
    <t>STOWE</t>
  </si>
  <si>
    <t>SWANTON</t>
  </si>
  <si>
    <t>Total Rate</t>
  </si>
  <si>
    <t>Total Utility</t>
  </si>
  <si>
    <t>Number of</t>
  </si>
  <si>
    <t xml:space="preserve">Number of </t>
  </si>
  <si>
    <t>Electric Companies</t>
  </si>
  <si>
    <t>Vermont</t>
  </si>
  <si>
    <t>Public</t>
  </si>
  <si>
    <t xml:space="preserve"> Public</t>
  </si>
  <si>
    <t>Page 2 of 2</t>
  </si>
  <si>
    <t>Page 1 of 2</t>
  </si>
  <si>
    <t xml:space="preserve">VEC </t>
  </si>
  <si>
    <t>Sales for Resale</t>
  </si>
  <si>
    <t>5 lowest</t>
  </si>
  <si>
    <t>Total other Operating</t>
  </si>
  <si>
    <t xml:space="preserve">Total </t>
  </si>
  <si>
    <t>VERMONT PUBLIC SERVICE DEPARTMENT</t>
  </si>
  <si>
    <t>Prepared by: Tod Ziegler, Utiltities Financial Analyst, Vermont Public Service Department</t>
  </si>
  <si>
    <t>kWh 2015</t>
  </si>
  <si>
    <t>Revenue 2015</t>
  </si>
  <si>
    <t>kWh SALES 2015</t>
  </si>
  <si>
    <t>FILE:kWh Revenue &amp; Ranking 2015.xls</t>
  </si>
  <si>
    <t>Sources:   The 2015 Annual Reports sent to the PSD from the responding utilities</t>
  </si>
  <si>
    <t>RATE REVENUE 2015</t>
  </si>
  <si>
    <t>Customers 2015</t>
  </si>
  <si>
    <t>2015 Reports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</si>
</sst>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&quot;$&quot;#,##0.00"/>
    <numFmt numFmtId="167" formatCode="&quot;$&quot;#,##0"/>
    <numFmt numFmtId="168" formatCode="_(* #,##0_);_(* \(#,##0\);_(* &quot;-&quot;??_);_(@_)"/>
    <numFmt numFmtId="169" formatCode="[$-409]dddd\,\ mmmm\ dd\,\ yyyy"/>
    <numFmt numFmtId="170" formatCode="[$-409]h:mm:ss\ AM/PM"/>
  </numFmts>
  <fonts count="56">
    <font>
      <sz val="10"/>
      <name val="Genev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ms Rmn"/>
      <family val="0"/>
    </font>
    <font>
      <sz val="12"/>
      <color indexed="8"/>
      <name val="Arial"/>
      <family val="2"/>
    </font>
    <font>
      <sz val="10"/>
      <color indexed="8"/>
      <name val="Geneva"/>
      <family val="0"/>
    </font>
    <font>
      <sz val="10"/>
      <color indexed="8"/>
      <name val="Arial"/>
      <family val="2"/>
    </font>
    <font>
      <b/>
      <sz val="14"/>
      <name val="Geneva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0"/>
      <name val="Geneva"/>
      <family val="0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Geneva"/>
      <family val="0"/>
    </font>
    <font>
      <b/>
      <i/>
      <sz val="12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6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 horizontal="centerContinuous"/>
      <protection/>
    </xf>
    <xf numFmtId="164" fontId="7" fillId="0" borderId="0" xfId="0" applyFont="1" applyAlignment="1" applyProtection="1">
      <alignment/>
      <protection/>
    </xf>
    <xf numFmtId="164" fontId="9" fillId="0" borderId="0" xfId="0" applyFont="1" applyAlignment="1" applyProtection="1">
      <alignment horizontal="centerContinuous"/>
      <protection/>
    </xf>
    <xf numFmtId="37" fontId="9" fillId="0" borderId="0" xfId="0" applyNumberFormat="1" applyFont="1" applyAlignment="1" applyProtection="1">
      <alignment horizontal="centerContinuous"/>
      <protection/>
    </xf>
    <xf numFmtId="39" fontId="9" fillId="0" borderId="0" xfId="0" applyNumberFormat="1" applyFont="1" applyAlignment="1" applyProtection="1">
      <alignment horizontal="centerContinuous"/>
      <protection/>
    </xf>
    <xf numFmtId="164" fontId="8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Continuous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centerContinuous" vertical="center"/>
      <protection/>
    </xf>
    <xf numFmtId="164" fontId="4" fillId="0" borderId="0" xfId="0" applyFont="1" applyFill="1" applyAlignment="1" applyProtection="1">
      <alignment horizontal="centerContinuous" vertical="center"/>
      <protection/>
    </xf>
    <xf numFmtId="164" fontId="4" fillId="0" borderId="0" xfId="0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 locked="0"/>
    </xf>
    <xf numFmtId="164" fontId="9" fillId="0" borderId="0" xfId="0" applyFont="1" applyFill="1" applyAlignment="1" applyProtection="1">
      <alignment/>
      <protection/>
    </xf>
    <xf numFmtId="5" fontId="4" fillId="0" borderId="0" xfId="0" applyNumberFormat="1" applyFont="1" applyFill="1" applyAlignment="1" applyProtection="1">
      <alignment/>
      <protection locked="0"/>
    </xf>
    <xf numFmtId="37" fontId="4" fillId="0" borderId="0" xfId="0" applyNumberFormat="1" applyFont="1" applyFill="1" applyAlignment="1" applyProtection="1">
      <alignment/>
      <protection locked="0"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4" fillId="0" borderId="0" xfId="0" applyFont="1" applyFill="1" applyBorder="1" applyAlignment="1">
      <alignment horizontal="center"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10" fillId="0" borderId="0" xfId="0" applyFont="1" applyBorder="1" applyAlignment="1" applyProtection="1">
      <alignment/>
      <protection/>
    </xf>
    <xf numFmtId="164" fontId="11" fillId="0" borderId="0" xfId="0" applyFon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10" fillId="0" borderId="0" xfId="0" applyFont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0" fontId="12" fillId="0" borderId="0" xfId="55" applyNumberFormat="1" applyFont="1" applyAlignment="1">
      <alignment/>
      <protection/>
    </xf>
    <xf numFmtId="0" fontId="8" fillId="0" borderId="0" xfId="55" applyNumberFormat="1" applyFont="1" applyAlignment="1">
      <alignment/>
      <protection/>
    </xf>
    <xf numFmtId="14" fontId="8" fillId="0" borderId="0" xfId="55" applyNumberFormat="1" applyFont="1" applyAlignment="1">
      <alignment horizontal="left"/>
      <protection/>
    </xf>
    <xf numFmtId="14" fontId="8" fillId="0" borderId="0" xfId="55" applyNumberFormat="1" applyFont="1" applyAlignment="1">
      <alignment/>
      <protection/>
    </xf>
    <xf numFmtId="22" fontId="8" fillId="0" borderId="0" xfId="55" applyNumberFormat="1" applyFont="1" applyAlignment="1">
      <alignment/>
      <protection/>
    </xf>
    <xf numFmtId="0" fontId="8" fillId="0" borderId="0" xfId="55" applyNumberFormat="1" applyFont="1" applyProtection="1">
      <alignment/>
      <protection locked="0"/>
    </xf>
    <xf numFmtId="0" fontId="8" fillId="0" borderId="0" xfId="55" applyNumberFormat="1" applyFont="1" applyAlignment="1" applyProtection="1">
      <alignment/>
      <protection locked="0"/>
    </xf>
    <xf numFmtId="3" fontId="8" fillId="0" borderId="0" xfId="55" applyNumberFormat="1" applyFont="1">
      <alignment/>
      <protection/>
    </xf>
    <xf numFmtId="0" fontId="8" fillId="0" borderId="0" xfId="55" applyNumberFormat="1" applyFont="1" applyFill="1" applyAlignment="1">
      <alignment/>
      <protection/>
    </xf>
    <xf numFmtId="0" fontId="12" fillId="0" borderId="10" xfId="55" applyNumberFormat="1" applyFont="1" applyBorder="1" applyAlignment="1" applyProtection="1">
      <alignment horizontal="center"/>
      <protection locked="0"/>
    </xf>
    <xf numFmtId="0" fontId="12" fillId="0" borderId="10" xfId="55" applyNumberFormat="1" applyFont="1" applyBorder="1" applyAlignment="1">
      <alignment horizontal="center"/>
      <protection/>
    </xf>
    <xf numFmtId="0" fontId="12" fillId="0" borderId="11" xfId="55" applyNumberFormat="1" applyFont="1" applyBorder="1" applyAlignment="1" applyProtection="1">
      <alignment horizontal="center"/>
      <protection locked="0"/>
    </xf>
    <xf numFmtId="0" fontId="12" fillId="0" borderId="11" xfId="55" applyNumberFormat="1" applyFont="1" applyBorder="1" applyAlignment="1">
      <alignment horizontal="center"/>
      <protection/>
    </xf>
    <xf numFmtId="0" fontId="8" fillId="0" borderId="10" xfId="55" applyNumberFormat="1" applyFont="1" applyBorder="1" applyAlignment="1">
      <alignment horizontal="center"/>
      <protection/>
    </xf>
    <xf numFmtId="0" fontId="8" fillId="0" borderId="11" xfId="55" applyNumberFormat="1" applyFont="1" applyBorder="1" applyAlignment="1">
      <alignment horizontal="center"/>
      <protection/>
    </xf>
    <xf numFmtId="0" fontId="13" fillId="0" borderId="0" xfId="55" applyNumberFormat="1" applyFont="1" applyBorder="1" applyAlignment="1" applyProtection="1">
      <alignment horizontal="center"/>
      <protection locked="0"/>
    </xf>
    <xf numFmtId="0" fontId="8" fillId="0" borderId="11" xfId="55" applyNumberFormat="1" applyFont="1" applyBorder="1" applyAlignment="1">
      <alignment/>
      <protection/>
    </xf>
    <xf numFmtId="0" fontId="12" fillId="0" borderId="10" xfId="55" applyNumberFormat="1" applyFont="1" applyBorder="1" applyAlignment="1">
      <alignment/>
      <protection/>
    </xf>
    <xf numFmtId="0" fontId="12" fillId="0" borderId="11" xfId="55" applyNumberFormat="1" applyFont="1" applyBorder="1" applyAlignment="1">
      <alignment/>
      <protection/>
    </xf>
    <xf numFmtId="0" fontId="12" fillId="0" borderId="11" xfId="55" applyNumberFormat="1" applyFont="1" applyBorder="1" applyProtection="1">
      <alignment/>
      <protection locked="0"/>
    </xf>
    <xf numFmtId="0" fontId="8" fillId="0" borderId="10" xfId="55" applyNumberFormat="1" applyFont="1" applyBorder="1" applyProtection="1">
      <alignment/>
      <protection locked="0"/>
    </xf>
    <xf numFmtId="3" fontId="8" fillId="0" borderId="10" xfId="55" applyNumberFormat="1" applyFont="1" applyBorder="1" applyProtection="1">
      <alignment/>
      <protection locked="0"/>
    </xf>
    <xf numFmtId="166" fontId="8" fillId="0" borderId="10" xfId="55" applyNumberFormat="1" applyFont="1" applyBorder="1" applyProtection="1">
      <alignment/>
      <protection locked="0"/>
    </xf>
    <xf numFmtId="0" fontId="8" fillId="0" borderId="0" xfId="55" applyNumberFormat="1" applyFont="1" applyBorder="1" applyAlignment="1">
      <alignment/>
      <protection/>
    </xf>
    <xf numFmtId="0" fontId="12" fillId="0" borderId="12" xfId="55" applyNumberFormat="1" applyFont="1" applyBorder="1" applyAlignment="1">
      <alignment/>
      <protection/>
    </xf>
    <xf numFmtId="164" fontId="2" fillId="0" borderId="0" xfId="0" applyFont="1" applyAlignment="1">
      <alignment/>
    </xf>
    <xf numFmtId="164" fontId="14" fillId="0" borderId="0" xfId="0" applyFont="1" applyAlignment="1">
      <alignment/>
    </xf>
    <xf numFmtId="0" fontId="8" fillId="0" borderId="13" xfId="55" applyNumberFormat="1" applyFont="1" applyBorder="1" applyAlignment="1">
      <alignment/>
      <protection/>
    </xf>
    <xf numFmtId="0" fontId="8" fillId="0" borderId="14" xfId="55" applyNumberFormat="1" applyFont="1" applyBorder="1" applyAlignment="1">
      <alignment/>
      <protection/>
    </xf>
    <xf numFmtId="166" fontId="8" fillId="0" borderId="0" xfId="55" applyNumberFormat="1" applyFont="1" applyBorder="1" applyProtection="1">
      <alignment/>
      <protection locked="0"/>
    </xf>
    <xf numFmtId="0" fontId="12" fillId="0" borderId="15" xfId="55" applyNumberFormat="1" applyFont="1" applyBorder="1" applyAlignment="1">
      <alignment/>
      <protection/>
    </xf>
    <xf numFmtId="0" fontId="8" fillId="0" borderId="10" xfId="55" applyNumberFormat="1" applyFont="1" applyBorder="1" applyAlignment="1">
      <alignment/>
      <protection/>
    </xf>
    <xf numFmtId="0" fontId="8" fillId="0" borderId="11" xfId="55" applyNumberFormat="1" applyFont="1" applyBorder="1" applyProtection="1">
      <alignment/>
      <protection locked="0"/>
    </xf>
    <xf numFmtId="0" fontId="8" fillId="0" borderId="12" xfId="55" applyNumberFormat="1" applyFont="1" applyBorder="1" applyAlignment="1" applyProtection="1">
      <alignment horizontal="center"/>
      <protection locked="0"/>
    </xf>
    <xf numFmtId="0" fontId="12" fillId="0" borderId="14" xfId="55" applyNumberFormat="1" applyFont="1" applyBorder="1" applyAlignment="1">
      <alignment horizontal="center"/>
      <protection/>
    </xf>
    <xf numFmtId="0" fontId="8" fillId="0" borderId="13" xfId="55" applyNumberFormat="1" applyFont="1" applyBorder="1" applyProtection="1">
      <alignment/>
      <protection locked="0"/>
    </xf>
    <xf numFmtId="3" fontId="8" fillId="0" borderId="0" xfId="55" applyNumberFormat="1" applyFont="1" applyBorder="1" applyProtection="1">
      <alignment/>
      <protection locked="0"/>
    </xf>
    <xf numFmtId="164" fontId="9" fillId="0" borderId="0" xfId="0" applyFont="1" applyBorder="1" applyAlignment="1" applyProtection="1">
      <alignment horizontal="centerContinuous"/>
      <protection/>
    </xf>
    <xf numFmtId="164" fontId="0" fillId="0" borderId="0" xfId="0" applyBorder="1" applyAlignment="1">
      <alignment horizontal="centerContinuous"/>
    </xf>
    <xf numFmtId="164" fontId="9" fillId="0" borderId="16" xfId="0" applyFont="1" applyBorder="1" applyAlignment="1" applyProtection="1">
      <alignment horizontal="center" vertical="center" wrapText="1"/>
      <protection/>
    </xf>
    <xf numFmtId="37" fontId="9" fillId="0" borderId="16" xfId="0" applyNumberFormat="1" applyFont="1" applyBorder="1" applyAlignment="1" applyProtection="1">
      <alignment horizontal="center" vertical="center" wrapText="1"/>
      <protection/>
    </xf>
    <xf numFmtId="39" fontId="9" fillId="0" borderId="16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>
      <alignment horizontal="centerContinuous"/>
    </xf>
    <xf numFmtId="164" fontId="9" fillId="0" borderId="16" xfId="0" applyFont="1" applyFill="1" applyBorder="1" applyAlignment="1" applyProtection="1">
      <alignment horizontal="center" vertical="center" wrapText="1"/>
      <protection/>
    </xf>
    <xf numFmtId="37" fontId="9" fillId="0" borderId="16" xfId="0" applyNumberFormat="1" applyFont="1" applyFill="1" applyBorder="1" applyAlignment="1" applyProtection="1">
      <alignment horizontal="center" vertical="center" wrapText="1"/>
      <protection/>
    </xf>
    <xf numFmtId="164" fontId="9" fillId="0" borderId="17" xfId="0" applyFont="1" applyBorder="1" applyAlignment="1" applyProtection="1">
      <alignment horizontal="center" vertical="center" wrapText="1"/>
      <protection/>
    </xf>
    <xf numFmtId="164" fontId="9" fillId="0" borderId="18" xfId="0" applyFont="1" applyBorder="1" applyAlignment="1" applyProtection="1">
      <alignment horizontal="center" vertical="center" wrapText="1"/>
      <protection/>
    </xf>
    <xf numFmtId="164" fontId="9" fillId="0" borderId="0" xfId="0" applyFont="1" applyFill="1" applyBorder="1" applyAlignment="1" applyProtection="1">
      <alignment horizontal="centerContinuous"/>
      <protection/>
    </xf>
    <xf numFmtId="164" fontId="9" fillId="0" borderId="19" xfId="0" applyFont="1" applyFill="1" applyBorder="1" applyAlignment="1" applyProtection="1">
      <alignment horizontal="center" vertical="center" wrapText="1"/>
      <protection/>
    </xf>
    <xf numFmtId="37" fontId="9" fillId="0" borderId="19" xfId="0" applyNumberFormat="1" applyFont="1" applyFill="1" applyBorder="1" applyAlignment="1" applyProtection="1">
      <alignment horizontal="center" vertical="center" wrapText="1"/>
      <protection/>
    </xf>
    <xf numFmtId="39" fontId="9" fillId="0" borderId="19" xfId="0" applyNumberFormat="1" applyFont="1" applyFill="1" applyBorder="1" applyAlignment="1" applyProtection="1">
      <alignment horizontal="center" vertical="center" wrapText="1"/>
      <protection/>
    </xf>
    <xf numFmtId="39" fontId="9" fillId="0" borderId="16" xfId="0" applyNumberFormat="1" applyFont="1" applyFill="1" applyBorder="1" applyAlignment="1" applyProtection="1">
      <alignment horizontal="center" vertical="center" wrapText="1"/>
      <protection/>
    </xf>
    <xf numFmtId="39" fontId="4" fillId="0" borderId="2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4" fontId="12" fillId="0" borderId="0" xfId="55" applyNumberFormat="1" applyFont="1" applyAlignment="1">
      <alignment horizontal="left"/>
      <protection/>
    </xf>
    <xf numFmtId="164" fontId="9" fillId="0" borderId="13" xfId="0" applyFont="1" applyFill="1" applyBorder="1" applyAlignment="1" applyProtection="1">
      <alignment horizontal="centerContinuous"/>
      <protection/>
    </xf>
    <xf numFmtId="164" fontId="9" fillId="0" borderId="21" xfId="0" applyFont="1" applyFill="1" applyBorder="1" applyAlignment="1" applyProtection="1">
      <alignment horizontal="centerContinuous"/>
      <protection/>
    </xf>
    <xf numFmtId="37" fontId="9" fillId="0" borderId="21" xfId="0" applyNumberFormat="1" applyFont="1" applyFill="1" applyBorder="1" applyAlignment="1" applyProtection="1">
      <alignment horizontal="centerContinuous"/>
      <protection/>
    </xf>
    <xf numFmtId="39" fontId="9" fillId="0" borderId="21" xfId="0" applyNumberFormat="1" applyFont="1" applyFill="1" applyBorder="1" applyAlignment="1" applyProtection="1">
      <alignment horizontal="centerContinuous"/>
      <protection/>
    </xf>
    <xf numFmtId="164" fontId="9" fillId="0" borderId="22" xfId="0" applyFont="1" applyFill="1" applyBorder="1" applyAlignment="1" applyProtection="1">
      <alignment horizontal="centerContinuous"/>
      <protection/>
    </xf>
    <xf numFmtId="164" fontId="9" fillId="0" borderId="14" xfId="0" applyFont="1" applyFill="1" applyBorder="1" applyAlignment="1" applyProtection="1">
      <alignment horizontal="centerContinuous"/>
      <protection/>
    </xf>
    <xf numFmtId="37" fontId="9" fillId="0" borderId="0" xfId="0" applyNumberFormat="1" applyFont="1" applyFill="1" applyBorder="1" applyAlignment="1" applyProtection="1">
      <alignment horizontal="centerContinuous"/>
      <protection/>
    </xf>
    <xf numFmtId="39" fontId="9" fillId="0" borderId="0" xfId="0" applyNumberFormat="1" applyFont="1" applyFill="1" applyBorder="1" applyAlignment="1" applyProtection="1">
      <alignment horizontal="centerContinuous"/>
      <protection/>
    </xf>
    <xf numFmtId="164" fontId="9" fillId="0" borderId="23" xfId="0" applyFont="1" applyFill="1" applyBorder="1" applyAlignment="1" applyProtection="1">
      <alignment horizontal="centerContinuous"/>
      <protection/>
    </xf>
    <xf numFmtId="164" fontId="9" fillId="0" borderId="15" xfId="0" applyFont="1" applyFill="1" applyBorder="1" applyAlignment="1" applyProtection="1">
      <alignment horizontal="centerContinuous"/>
      <protection/>
    </xf>
    <xf numFmtId="164" fontId="5" fillId="0" borderId="24" xfId="0" applyFont="1" applyFill="1" applyBorder="1" applyAlignment="1">
      <alignment horizontal="centerContinuous"/>
    </xf>
    <xf numFmtId="164" fontId="4" fillId="0" borderId="20" xfId="0" applyFont="1" applyFill="1" applyBorder="1" applyAlignment="1" applyProtection="1">
      <alignment horizontal="centerContinuous"/>
      <protection/>
    </xf>
    <xf numFmtId="164" fontId="5" fillId="0" borderId="20" xfId="0" applyFont="1" applyFill="1" applyBorder="1" applyAlignment="1">
      <alignment horizontal="centerContinuous"/>
    </xf>
    <xf numFmtId="164" fontId="5" fillId="0" borderId="23" xfId="0" applyFont="1" applyFill="1" applyBorder="1" applyAlignment="1">
      <alignment horizontal="centerContinuous"/>
    </xf>
    <xf numFmtId="39" fontId="4" fillId="0" borderId="24" xfId="0" applyNumberFormat="1" applyFont="1" applyFill="1" applyBorder="1" applyAlignment="1" applyProtection="1">
      <alignment/>
      <protection/>
    </xf>
    <xf numFmtId="164" fontId="9" fillId="0" borderId="24" xfId="0" applyFont="1" applyFill="1" applyBorder="1" applyAlignment="1" applyProtection="1">
      <alignment horizontal="centerContinuous"/>
      <protection/>
    </xf>
    <xf numFmtId="0" fontId="12" fillId="0" borderId="21" xfId="55" applyNumberFormat="1" applyFont="1" applyBorder="1" applyAlignment="1">
      <alignment/>
      <protection/>
    </xf>
    <xf numFmtId="0" fontId="12" fillId="0" borderId="0" xfId="55" applyNumberFormat="1" applyFont="1" applyBorder="1" applyAlignment="1">
      <alignment/>
      <protection/>
    </xf>
    <xf numFmtId="0" fontId="12" fillId="0" borderId="0" xfId="55" applyNumberFormat="1" applyFont="1" applyBorder="1" applyAlignment="1" applyProtection="1">
      <alignment horizontal="center"/>
      <protection locked="0"/>
    </xf>
    <xf numFmtId="0" fontId="17" fillId="0" borderId="0" xfId="55" applyNumberFormat="1" applyFont="1" applyAlignment="1">
      <alignment/>
      <protection/>
    </xf>
    <xf numFmtId="14" fontId="14" fillId="0" borderId="0" xfId="55" applyNumberFormat="1" applyFont="1" applyAlignment="1">
      <alignment horizontal="left"/>
      <protection/>
    </xf>
    <xf numFmtId="164" fontId="21" fillId="0" borderId="15" xfId="0" applyFont="1" applyFill="1" applyBorder="1" applyAlignment="1" applyProtection="1">
      <alignment/>
      <protection/>
    </xf>
    <xf numFmtId="167" fontId="21" fillId="0" borderId="24" xfId="0" applyNumberFormat="1" applyFont="1" applyFill="1" applyBorder="1" applyAlignment="1">
      <alignment/>
    </xf>
    <xf numFmtId="37" fontId="21" fillId="0" borderId="24" xfId="0" applyNumberFormat="1" applyFont="1" applyFill="1" applyBorder="1" applyAlignment="1" applyProtection="1">
      <alignment/>
      <protection locked="0"/>
    </xf>
    <xf numFmtId="168" fontId="21" fillId="0" borderId="24" xfId="42" applyNumberFormat="1" applyFont="1" applyFill="1" applyBorder="1" applyAlignment="1" applyProtection="1">
      <alignment/>
      <protection locked="0"/>
    </xf>
    <xf numFmtId="164" fontId="21" fillId="0" borderId="0" xfId="0" applyFont="1" applyFill="1" applyAlignment="1" applyProtection="1">
      <alignment/>
      <protection/>
    </xf>
    <xf numFmtId="164" fontId="21" fillId="0" borderId="0" xfId="0" applyFont="1" applyFill="1" applyAlignment="1" applyProtection="1">
      <alignment/>
      <protection locked="0"/>
    </xf>
    <xf numFmtId="0" fontId="12" fillId="0" borderId="14" xfId="55" applyNumberFormat="1" applyFont="1" applyFill="1" applyBorder="1" applyAlignment="1" applyProtection="1">
      <alignment/>
      <protection locked="0"/>
    </xf>
    <xf numFmtId="0" fontId="12" fillId="0" borderId="11" xfId="55" applyNumberFormat="1" applyFont="1" applyFill="1" applyBorder="1" applyAlignment="1" applyProtection="1">
      <alignment/>
      <protection locked="0"/>
    </xf>
    <xf numFmtId="0" fontId="12" fillId="0" borderId="15" xfId="55" applyNumberFormat="1" applyFont="1" applyFill="1" applyBorder="1" applyAlignment="1" applyProtection="1">
      <alignment/>
      <protection locked="0"/>
    </xf>
    <xf numFmtId="0" fontId="12" fillId="0" borderId="12" xfId="55" applyNumberFormat="1" applyFont="1" applyFill="1" applyBorder="1" applyAlignment="1" applyProtection="1">
      <alignment/>
      <protection locked="0"/>
    </xf>
    <xf numFmtId="3" fontId="12" fillId="0" borderId="11" xfId="55" applyNumberFormat="1" applyFont="1" applyBorder="1">
      <alignment/>
      <protection/>
    </xf>
    <xf numFmtId="3" fontId="12" fillId="0" borderId="11" xfId="55" applyNumberFormat="1" applyFont="1" applyBorder="1" applyProtection="1">
      <alignment/>
      <protection locked="0"/>
    </xf>
    <xf numFmtId="3" fontId="12" fillId="0" borderId="11" xfId="55" applyNumberFormat="1" applyFont="1" applyFill="1" applyBorder="1" applyProtection="1">
      <alignment/>
      <protection locked="0"/>
    </xf>
    <xf numFmtId="3" fontId="12" fillId="0" borderId="11" xfId="55" applyNumberFormat="1" applyFont="1" applyFill="1" applyBorder="1">
      <alignment/>
      <protection/>
    </xf>
    <xf numFmtId="3" fontId="12" fillId="0" borderId="12" xfId="55" applyNumberFormat="1" applyFont="1" applyBorder="1">
      <alignment/>
      <protection/>
    </xf>
    <xf numFmtId="3" fontId="12" fillId="0" borderId="12" xfId="55" applyNumberFormat="1" applyFont="1" applyBorder="1" applyProtection="1">
      <alignment/>
      <protection locked="0"/>
    </xf>
    <xf numFmtId="3" fontId="12" fillId="0" borderId="0" xfId="55" applyNumberFormat="1" applyFont="1" applyBorder="1">
      <alignment/>
      <protection/>
    </xf>
    <xf numFmtId="3" fontId="12" fillId="0" borderId="24" xfId="55" applyNumberFormat="1" applyFont="1" applyBorder="1" applyProtection="1">
      <alignment/>
      <protection locked="0"/>
    </xf>
    <xf numFmtId="0" fontId="20" fillId="0" borderId="0" xfId="55" applyNumberFormat="1" applyFont="1" applyAlignment="1">
      <alignment/>
      <protection/>
    </xf>
    <xf numFmtId="167" fontId="12" fillId="0" borderId="11" xfId="55" applyNumberFormat="1" applyFont="1" applyBorder="1" applyProtection="1">
      <alignment/>
      <protection locked="0"/>
    </xf>
    <xf numFmtId="167" fontId="12" fillId="0" borderId="11" xfId="55" applyNumberFormat="1" applyFont="1" applyFill="1" applyBorder="1" applyProtection="1">
      <alignment/>
      <protection locked="0"/>
    </xf>
    <xf numFmtId="167" fontId="12" fillId="0" borderId="12" xfId="55" applyNumberFormat="1" applyFont="1" applyBorder="1" applyProtection="1">
      <alignment/>
      <protection locked="0"/>
    </xf>
    <xf numFmtId="167" fontId="12" fillId="0" borderId="13" xfId="55" applyNumberFormat="1" applyFont="1" applyBorder="1">
      <alignment/>
      <protection/>
    </xf>
    <xf numFmtId="167" fontId="12" fillId="0" borderId="10" xfId="55" applyNumberFormat="1" applyFont="1" applyBorder="1">
      <alignment/>
      <protection/>
    </xf>
    <xf numFmtId="166" fontId="12" fillId="0" borderId="10" xfId="55" applyNumberFormat="1" applyFont="1" applyBorder="1">
      <alignment/>
      <protection/>
    </xf>
    <xf numFmtId="167" fontId="12" fillId="0" borderId="15" xfId="55" applyNumberFormat="1" applyFont="1" applyBorder="1" applyProtection="1">
      <alignment/>
      <protection locked="0"/>
    </xf>
    <xf numFmtId="164" fontId="9" fillId="0" borderId="10" xfId="0" applyFont="1" applyFill="1" applyBorder="1" applyAlignment="1" applyProtection="1">
      <alignment horizontal="left"/>
      <protection/>
    </xf>
    <xf numFmtId="167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7" fontId="9" fillId="0" borderId="10" xfId="0" applyNumberFormat="1" applyFont="1" applyFill="1" applyBorder="1" applyAlignment="1" applyProtection="1">
      <alignment/>
      <protection/>
    </xf>
    <xf numFmtId="39" fontId="9" fillId="0" borderId="10" xfId="0" applyNumberFormat="1" applyFont="1" applyFill="1" applyBorder="1" applyAlignment="1" applyProtection="1">
      <alignment/>
      <protection/>
    </xf>
    <xf numFmtId="164" fontId="9" fillId="0" borderId="10" xfId="0" applyFont="1" applyFill="1" applyBorder="1" applyAlignment="1">
      <alignment horizontal="center"/>
    </xf>
    <xf numFmtId="164" fontId="9" fillId="0" borderId="11" xfId="0" applyFont="1" applyFill="1" applyBorder="1" applyAlignment="1" applyProtection="1">
      <alignment horizontal="left"/>
      <protection/>
    </xf>
    <xf numFmtId="167" fontId="12" fillId="0" borderId="11" xfId="0" applyNumberFormat="1" applyFont="1" applyBorder="1" applyAlignment="1">
      <alignment/>
    </xf>
    <xf numFmtId="37" fontId="9" fillId="0" borderId="11" xfId="0" applyNumberFormat="1" applyFont="1" applyFill="1" applyBorder="1" applyAlignment="1" applyProtection="1">
      <alignment/>
      <protection/>
    </xf>
    <xf numFmtId="39" fontId="9" fillId="0" borderId="11" xfId="0" applyNumberFormat="1" applyFont="1" applyFill="1" applyBorder="1" applyAlignment="1" applyProtection="1">
      <alignment/>
      <protection/>
    </xf>
    <xf numFmtId="164" fontId="9" fillId="0" borderId="11" xfId="0" applyFont="1" applyFill="1" applyBorder="1" applyAlignment="1">
      <alignment horizontal="center"/>
    </xf>
    <xf numFmtId="164" fontId="9" fillId="0" borderId="12" xfId="0" applyFont="1" applyFill="1" applyBorder="1" applyAlignment="1" applyProtection="1">
      <alignment horizontal="left"/>
      <protection/>
    </xf>
    <xf numFmtId="167" fontId="12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7" fontId="9" fillId="0" borderId="12" xfId="0" applyNumberFormat="1" applyFont="1" applyFill="1" applyBorder="1" applyAlignment="1" applyProtection="1">
      <alignment/>
      <protection/>
    </xf>
    <xf numFmtId="39" fontId="9" fillId="0" borderId="12" xfId="0" applyNumberFormat="1" applyFont="1" applyFill="1" applyBorder="1" applyAlignment="1" applyProtection="1">
      <alignment/>
      <protection/>
    </xf>
    <xf numFmtId="164" fontId="9" fillId="0" borderId="12" xfId="0" applyFont="1" applyFill="1" applyBorder="1" applyAlignment="1">
      <alignment horizontal="center"/>
    </xf>
    <xf numFmtId="164" fontId="9" fillId="0" borderId="12" xfId="0" applyFont="1" applyFill="1" applyBorder="1" applyAlignment="1" applyProtection="1">
      <alignment/>
      <protection/>
    </xf>
    <xf numFmtId="167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64" fontId="9" fillId="0" borderId="20" xfId="0" applyFont="1" applyFill="1" applyBorder="1" applyAlignment="1" applyProtection="1">
      <alignment/>
      <protection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1" xfId="0" applyNumberFormat="1" applyFont="1" applyFill="1" applyBorder="1" applyAlignment="1" quotePrefix="1">
      <alignment horizontal="right"/>
    </xf>
    <xf numFmtId="164" fontId="9" fillId="0" borderId="15" xfId="0" applyFont="1" applyFill="1" applyBorder="1" applyAlignment="1" applyProtection="1">
      <alignment horizontal="center" vertical="center" wrapText="1"/>
      <protection/>
    </xf>
    <xf numFmtId="164" fontId="9" fillId="0" borderId="12" xfId="0" applyFont="1" applyFill="1" applyBorder="1" applyAlignment="1" applyProtection="1">
      <alignment horizontal="center" vertical="center" wrapText="1"/>
      <protection/>
    </xf>
    <xf numFmtId="39" fontId="9" fillId="0" borderId="12" xfId="0" applyNumberFormat="1" applyFont="1" applyFill="1" applyBorder="1" applyAlignment="1" applyProtection="1">
      <alignment horizontal="center" vertical="center" wrapText="1"/>
      <protection/>
    </xf>
    <xf numFmtId="165" fontId="9" fillId="0" borderId="12" xfId="0" applyNumberFormat="1" applyFont="1" applyFill="1" applyBorder="1" applyAlignment="1" applyProtection="1">
      <alignment horizontal="right"/>
      <protection/>
    </xf>
    <xf numFmtId="39" fontId="9" fillId="0" borderId="20" xfId="0" applyNumberFormat="1" applyFont="1" applyFill="1" applyBorder="1" applyAlignment="1" applyProtection="1">
      <alignment/>
      <protection/>
    </xf>
    <xf numFmtId="0" fontId="22" fillId="0" borderId="0" xfId="55" applyNumberFormat="1" applyFont="1" applyAlignment="1">
      <alignment/>
      <protection/>
    </xf>
    <xf numFmtId="0" fontId="22" fillId="0" borderId="0" xfId="55" applyNumberFormat="1" applyFont="1" applyFill="1" applyAlignment="1">
      <alignment/>
      <protection/>
    </xf>
    <xf numFmtId="0" fontId="20" fillId="0" borderId="0" xfId="55" applyNumberFormat="1" applyFont="1" applyFill="1" applyAlignment="1">
      <alignment/>
      <protection/>
    </xf>
    <xf numFmtId="164" fontId="9" fillId="33" borderId="11" xfId="0" applyFont="1" applyFill="1" applyBorder="1" applyAlignment="1">
      <alignment horizontal="center"/>
    </xf>
    <xf numFmtId="164" fontId="9" fillId="33" borderId="11" xfId="0" applyFont="1" applyFill="1" applyBorder="1" applyAlignment="1" applyProtection="1">
      <alignment horizontal="left"/>
      <protection/>
    </xf>
    <xf numFmtId="167" fontId="12" fillId="33" borderId="11" xfId="0" applyNumberFormat="1" applyFont="1" applyFill="1" applyBorder="1" applyAlignment="1">
      <alignment/>
    </xf>
    <xf numFmtId="3" fontId="12" fillId="33" borderId="11" xfId="0" applyNumberFormat="1" applyFont="1" applyFill="1" applyBorder="1" applyAlignment="1">
      <alignment/>
    </xf>
    <xf numFmtId="37" fontId="9" fillId="33" borderId="11" xfId="0" applyNumberFormat="1" applyFont="1" applyFill="1" applyBorder="1" applyAlignment="1" applyProtection="1">
      <alignment/>
      <protection/>
    </xf>
    <xf numFmtId="39" fontId="9" fillId="33" borderId="11" xfId="0" applyNumberFormat="1" applyFont="1" applyFill="1" applyBorder="1" applyAlignment="1" applyProtection="1">
      <alignment/>
      <protection/>
    </xf>
    <xf numFmtId="3" fontId="12" fillId="33" borderId="14" xfId="0" applyNumberFormat="1" applyFont="1" applyFill="1" applyBorder="1" applyAlignment="1">
      <alignment/>
    </xf>
    <xf numFmtId="164" fontId="19" fillId="33" borderId="0" xfId="0" applyFont="1" applyFill="1" applyAlignment="1">
      <alignment/>
    </xf>
    <xf numFmtId="14" fontId="12" fillId="0" borderId="14" xfId="55" applyNumberFormat="1" applyFont="1" applyBorder="1" applyAlignment="1">
      <alignment horizontal="left"/>
      <protection/>
    </xf>
    <xf numFmtId="39" fontId="4" fillId="0" borderId="0" xfId="0" applyNumberFormat="1" applyFont="1" applyFill="1" applyBorder="1" applyAlignment="1" applyProtection="1">
      <alignment/>
      <protection/>
    </xf>
    <xf numFmtId="164" fontId="9" fillId="0" borderId="23" xfId="0" applyFont="1" applyFill="1" applyBorder="1" applyAlignment="1" applyProtection="1">
      <alignment/>
      <protection/>
    </xf>
    <xf numFmtId="164" fontId="19" fillId="33" borderId="25" xfId="0" applyFont="1" applyFill="1" applyBorder="1" applyAlignment="1">
      <alignment/>
    </xf>
    <xf numFmtId="164" fontId="4" fillId="0" borderId="25" xfId="0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9" fontId="4" fillId="0" borderId="25" xfId="0" applyNumberFormat="1" applyFont="1" applyFill="1" applyBorder="1" applyAlignment="1" applyProtection="1">
      <alignment/>
      <protection/>
    </xf>
    <xf numFmtId="14" fontId="12" fillId="0" borderId="12" xfId="55" applyNumberFormat="1" applyFont="1" applyBorder="1" applyAlignment="1" applyProtection="1">
      <alignment horizontal="center"/>
      <protection locked="0"/>
    </xf>
    <xf numFmtId="164" fontId="12" fillId="0" borderId="12" xfId="55" applyNumberFormat="1" applyFont="1" applyBorder="1" applyAlignment="1" applyProtection="1">
      <alignment horizontal="center"/>
      <protection locked="0"/>
    </xf>
    <xf numFmtId="0" fontId="8" fillId="0" borderId="0" xfId="55" applyNumberFormat="1" applyFont="1" applyAlignment="1">
      <alignment/>
      <protection/>
    </xf>
    <xf numFmtId="0" fontId="8" fillId="0" borderId="0" xfId="55" applyNumberFormat="1" applyFont="1" applyAlignment="1" applyProtection="1">
      <alignment/>
      <protection locked="0"/>
    </xf>
    <xf numFmtId="0" fontId="8" fillId="34" borderId="0" xfId="55" applyNumberFormat="1" applyFont="1" applyFill="1" applyAlignment="1">
      <alignment/>
      <protection/>
    </xf>
    <xf numFmtId="0" fontId="8" fillId="0" borderId="0" xfId="55" applyNumberFormat="1" applyFont="1" applyFill="1" applyAlignment="1">
      <alignment/>
      <protection/>
    </xf>
    <xf numFmtId="0" fontId="12" fillId="0" borderId="15" xfId="55" applyNumberFormat="1" applyFont="1" applyBorder="1" applyAlignment="1">
      <alignment horizontal="right"/>
      <protection/>
    </xf>
    <xf numFmtId="0" fontId="18" fillId="0" borderId="0" xfId="55" applyNumberFormat="1" applyFont="1" applyFill="1" applyAlignment="1">
      <alignment/>
      <protection/>
    </xf>
    <xf numFmtId="0" fontId="18" fillId="0" borderId="0" xfId="55" applyNumberFormat="1" applyFont="1" applyAlignment="1">
      <alignment/>
      <protection/>
    </xf>
    <xf numFmtId="0" fontId="14" fillId="0" borderId="0" xfId="55" applyNumberFormat="1" applyFont="1" applyAlignment="1">
      <alignment/>
      <protection/>
    </xf>
    <xf numFmtId="0" fontId="2" fillId="0" borderId="0" xfId="55" applyNumberFormat="1" applyFont="1" applyFill="1" applyAlignment="1">
      <alignment/>
      <protection/>
    </xf>
    <xf numFmtId="167" fontId="8" fillId="0" borderId="0" xfId="55" applyNumberFormat="1" applyFont="1" applyAlignment="1">
      <alignment/>
      <protection/>
    </xf>
    <xf numFmtId="0" fontId="8" fillId="0" borderId="0" xfId="55" applyNumberFormat="1" applyFont="1" applyFill="1" applyProtection="1">
      <alignment/>
      <protection locked="0"/>
    </xf>
    <xf numFmtId="0" fontId="16" fillId="34" borderId="0" xfId="55" applyNumberFormat="1" applyFont="1" applyFill="1" applyAlignment="1">
      <alignment/>
      <protection/>
    </xf>
    <xf numFmtId="167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4" fontId="8" fillId="0" borderId="0" xfId="55" applyNumberFormat="1" applyFont="1" applyFill="1" applyProtection="1" quotePrefix="1">
      <alignment/>
      <protection locked="0"/>
    </xf>
    <xf numFmtId="16" fontId="8" fillId="0" borderId="0" xfId="55" applyNumberFormat="1" applyFont="1" applyFill="1" applyAlignment="1">
      <alignment/>
      <protection/>
    </xf>
    <xf numFmtId="4" fontId="8" fillId="0" borderId="0" xfId="55" applyNumberFormat="1" applyFont="1" applyFill="1" applyProtection="1">
      <alignment/>
      <protection locked="0"/>
    </xf>
    <xf numFmtId="0" fontId="8" fillId="0" borderId="0" xfId="55" applyNumberFormat="1" applyFont="1" applyFill="1" applyProtection="1">
      <alignment/>
      <protection locked="0"/>
    </xf>
    <xf numFmtId="44" fontId="8" fillId="0" borderId="0" xfId="55" applyNumberFormat="1" applyFont="1" applyAlignment="1">
      <alignment/>
      <protection/>
    </xf>
    <xf numFmtId="167" fontId="8" fillId="0" borderId="0" xfId="55" applyNumberFormat="1" applyFont="1" applyFill="1" applyAlignment="1">
      <alignment/>
      <protection/>
    </xf>
    <xf numFmtId="3" fontId="8" fillId="0" borderId="0" xfId="55" applyNumberFormat="1" applyFont="1" applyFill="1" applyAlignment="1">
      <alignment/>
      <protection/>
    </xf>
    <xf numFmtId="166" fontId="8" fillId="0" borderId="0" xfId="55" applyNumberFormat="1" applyFont="1" applyFill="1" applyAlignment="1">
      <alignment/>
      <protection/>
    </xf>
    <xf numFmtId="167" fontId="12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wh &amp; Revenue 20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101</xdr:row>
      <xdr:rowOff>0</xdr:rowOff>
    </xdr:from>
    <xdr:to>
      <xdr:col>9</xdr:col>
      <xdr:colOff>171450</xdr:colOff>
      <xdr:row>101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208407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01"/>
  <sheetViews>
    <sheetView tabSelected="1" showOutlineSymbols="0" zoomScale="90" zoomScaleNormal="90" zoomScalePageLayoutView="0" workbookViewId="0" topLeftCell="A1">
      <selection activeCell="B9" sqref="B9"/>
    </sheetView>
  </sheetViews>
  <sheetFormatPr defaultColWidth="11.125" defaultRowHeight="12.75"/>
  <cols>
    <col min="1" max="1" width="5.625" style="39" customWidth="1"/>
    <col min="2" max="2" width="27.625" style="39" customWidth="1"/>
    <col min="3" max="3" width="17.25390625" style="39" customWidth="1"/>
    <col min="4" max="4" width="21.375" style="39" customWidth="1"/>
    <col min="5" max="5" width="18.875" style="39" customWidth="1"/>
    <col min="6" max="6" width="20.25390625" style="39" customWidth="1"/>
    <col min="7" max="7" width="18.875" style="39" customWidth="1"/>
    <col min="8" max="8" width="21.375" style="39" customWidth="1"/>
    <col min="9" max="9" width="22.75390625" style="39" customWidth="1"/>
    <col min="10" max="10" width="20.625" style="39" customWidth="1"/>
    <col min="11" max="11" width="21.375" style="39" customWidth="1"/>
    <col min="12" max="12" width="18.875" style="39" customWidth="1"/>
    <col min="13" max="13" width="21.375" style="39" customWidth="1"/>
    <col min="14" max="14" width="18.875" style="39" customWidth="1"/>
    <col min="15" max="16" width="11.125" style="39" customWidth="1"/>
    <col min="17" max="17" width="11.625" style="39" bestFit="1" customWidth="1"/>
    <col min="18" max="16384" width="11.125" style="39" customWidth="1"/>
  </cols>
  <sheetData>
    <row r="1" spans="2:3" ht="15">
      <c r="B1" s="203" t="s">
        <v>92</v>
      </c>
      <c r="C1" s="194"/>
    </row>
    <row r="2" spans="2:3" ht="15">
      <c r="B2" s="46"/>
      <c r="C2" s="195"/>
    </row>
    <row r="3" spans="2:3" ht="15">
      <c r="B3" s="113" t="s">
        <v>85</v>
      </c>
      <c r="C3" s="64" t="s">
        <v>91</v>
      </c>
    </row>
    <row r="4" spans="2:3" ht="15">
      <c r="B4" s="113" t="s">
        <v>86</v>
      </c>
      <c r="C4" s="63"/>
    </row>
    <row r="5" ht="15">
      <c r="B5" s="46"/>
    </row>
    <row r="6" spans="2:3" ht="15.75">
      <c r="B6" s="38" t="s">
        <v>83</v>
      </c>
      <c r="C6" s="38"/>
    </row>
    <row r="7" spans="2:3" ht="15.75">
      <c r="B7" s="38" t="s">
        <v>43</v>
      </c>
      <c r="C7" s="38"/>
    </row>
    <row r="8" spans="2:5" ht="15.75">
      <c r="B8" s="92">
        <f ca="1">NOW()</f>
        <v>42627.58724247685</v>
      </c>
      <c r="D8" s="41"/>
      <c r="E8" s="42"/>
    </row>
    <row r="9" ht="18">
      <c r="G9" s="53" t="s">
        <v>87</v>
      </c>
    </row>
    <row r="10" ht="15.75" thickBot="1"/>
    <row r="11" spans="2:14" ht="15.75">
      <c r="B11" s="65"/>
      <c r="C11" s="51"/>
      <c r="D11" s="51"/>
      <c r="E11" s="51"/>
      <c r="F11" s="51"/>
      <c r="G11" s="51"/>
      <c r="H11" s="51"/>
      <c r="I11" s="48"/>
      <c r="J11" s="47" t="s">
        <v>44</v>
      </c>
      <c r="K11" s="47" t="s">
        <v>45</v>
      </c>
      <c r="L11" s="48"/>
      <c r="M11" s="48"/>
      <c r="N11" s="51"/>
    </row>
    <row r="12" spans="2:17" ht="15.75">
      <c r="B12" s="66"/>
      <c r="C12" s="52"/>
      <c r="D12" s="50" t="s">
        <v>70</v>
      </c>
      <c r="E12" s="52"/>
      <c r="F12" s="50" t="s">
        <v>70</v>
      </c>
      <c r="G12" s="52"/>
      <c r="H12" s="50" t="s">
        <v>71</v>
      </c>
      <c r="I12" s="49" t="s">
        <v>46</v>
      </c>
      <c r="J12" s="49" t="s">
        <v>75</v>
      </c>
      <c r="K12" s="49" t="s">
        <v>47</v>
      </c>
      <c r="L12" s="50"/>
      <c r="M12" s="49" t="s">
        <v>48</v>
      </c>
      <c r="N12" s="52"/>
      <c r="O12" s="46"/>
      <c r="P12" s="46"/>
      <c r="Q12" s="46"/>
    </row>
    <row r="13" spans="2:17" ht="15.75">
      <c r="B13" s="72" t="s">
        <v>73</v>
      </c>
      <c r="C13" s="49" t="s">
        <v>37</v>
      </c>
      <c r="D13" s="50" t="s">
        <v>37</v>
      </c>
      <c r="E13" s="49" t="s">
        <v>39</v>
      </c>
      <c r="F13" s="50" t="s">
        <v>39</v>
      </c>
      <c r="G13" s="49" t="s">
        <v>40</v>
      </c>
      <c r="H13" s="50" t="s">
        <v>40</v>
      </c>
      <c r="I13" s="49" t="s">
        <v>49</v>
      </c>
      <c r="J13" s="49" t="s">
        <v>50</v>
      </c>
      <c r="K13" s="49" t="s">
        <v>51</v>
      </c>
      <c r="L13" s="49" t="s">
        <v>24</v>
      </c>
      <c r="M13" s="49" t="s">
        <v>52</v>
      </c>
      <c r="N13" s="52" t="s">
        <v>53</v>
      </c>
      <c r="O13" s="46"/>
      <c r="P13" s="46"/>
      <c r="Q13" s="46"/>
    </row>
    <row r="14" spans="2:17" ht="16.5" thickBot="1">
      <c r="B14" s="68" t="s">
        <v>72</v>
      </c>
      <c r="C14" s="190" t="str">
        <f>B3</f>
        <v>kWh 2015</v>
      </c>
      <c r="D14" s="191" t="str">
        <f>C3</f>
        <v>Customers 2015</v>
      </c>
      <c r="E14" s="190" t="str">
        <f>B3</f>
        <v>kWh 2015</v>
      </c>
      <c r="F14" s="191" t="str">
        <f>C3</f>
        <v>Customers 2015</v>
      </c>
      <c r="G14" s="190" t="str">
        <f>B3</f>
        <v>kWh 2015</v>
      </c>
      <c r="H14" s="191" t="str">
        <f>C3</f>
        <v>Customers 2015</v>
      </c>
      <c r="I14" s="190" t="str">
        <f>B3</f>
        <v>kWh 2015</v>
      </c>
      <c r="J14" s="190" t="str">
        <f>B3</f>
        <v>kWh 2015</v>
      </c>
      <c r="K14" s="190" t="str">
        <f>B3</f>
        <v>kWh 2015</v>
      </c>
      <c r="L14" s="191" t="str">
        <f>C3</f>
        <v>Customers 2015</v>
      </c>
      <c r="M14" s="190" t="str">
        <f>B3</f>
        <v>kWh 2015</v>
      </c>
      <c r="N14" s="71" t="s">
        <v>2</v>
      </c>
      <c r="O14" s="206"/>
      <c r="P14" s="46"/>
      <c r="Q14" s="46"/>
    </row>
    <row r="15" spans="2:17" ht="15">
      <c r="B15" s="73"/>
      <c r="C15" s="59"/>
      <c r="D15" s="59"/>
      <c r="E15" s="74"/>
      <c r="F15" s="59"/>
      <c r="G15" s="59"/>
      <c r="H15" s="59"/>
      <c r="I15" s="59"/>
      <c r="J15" s="59"/>
      <c r="K15" s="59"/>
      <c r="L15" s="59"/>
      <c r="M15" s="59"/>
      <c r="N15" s="69"/>
      <c r="O15" s="46"/>
      <c r="P15" s="46"/>
      <c r="Q15" s="46"/>
    </row>
    <row r="16" spans="2:17" ht="15.75">
      <c r="B16" s="120" t="s">
        <v>54</v>
      </c>
      <c r="C16" s="124">
        <v>10311643</v>
      </c>
      <c r="D16" s="124">
        <v>1891</v>
      </c>
      <c r="E16" s="124">
        <v>2753528</v>
      </c>
      <c r="F16" s="124">
        <v>192</v>
      </c>
      <c r="G16" s="124">
        <v>0</v>
      </c>
      <c r="H16" s="124">
        <v>0</v>
      </c>
      <c r="I16" s="124">
        <v>66118</v>
      </c>
      <c r="J16" s="124">
        <f>539110+203859</f>
        <v>742969</v>
      </c>
      <c r="K16" s="125">
        <f>C16+E16+G16++I16+J16</f>
        <v>13874258</v>
      </c>
      <c r="L16" s="124">
        <v>2112</v>
      </c>
      <c r="M16" s="124">
        <v>0</v>
      </c>
      <c r="N16" s="124">
        <f>K16+M16</f>
        <v>13874258</v>
      </c>
      <c r="O16" s="207"/>
      <c r="P16" s="46"/>
      <c r="Q16" s="46"/>
    </row>
    <row r="17" spans="2:17" ht="15.75">
      <c r="B17" s="120" t="s">
        <v>55</v>
      </c>
      <c r="C17" s="124">
        <v>83736948</v>
      </c>
      <c r="D17" s="124">
        <v>16763</v>
      </c>
      <c r="E17" s="124">
        <v>216032190</v>
      </c>
      <c r="F17" s="124">
        <v>3840</v>
      </c>
      <c r="G17" s="124">
        <v>41880715</v>
      </c>
      <c r="H17" s="124">
        <v>2</v>
      </c>
      <c r="I17" s="124">
        <v>2524636</v>
      </c>
      <c r="J17" s="124">
        <v>0</v>
      </c>
      <c r="K17" s="125">
        <f aca="true" t="shared" si="0" ref="K17:K32">C17+E17+G17++I17+J17</f>
        <v>344174489</v>
      </c>
      <c r="L17" s="124">
        <v>20605</v>
      </c>
      <c r="M17" s="124">
        <v>0</v>
      </c>
      <c r="N17" s="124">
        <f aca="true" t="shared" si="1" ref="N17:N32">K17+M17</f>
        <v>344174489</v>
      </c>
      <c r="O17" s="207"/>
      <c r="P17" s="46"/>
      <c r="Q17" s="46"/>
    </row>
    <row r="18" spans="2:17" ht="15.75">
      <c r="B18" s="120" t="s">
        <v>56</v>
      </c>
      <c r="C18" s="124">
        <f>3711538+9945511</f>
        <v>13657049</v>
      </c>
      <c r="D18" s="124">
        <f>585+936</f>
        <v>1521</v>
      </c>
      <c r="E18" s="124">
        <v>1817374</v>
      </c>
      <c r="F18" s="124">
        <v>138</v>
      </c>
      <c r="G18" s="124">
        <v>10198626</v>
      </c>
      <c r="H18" s="124">
        <v>23</v>
      </c>
      <c r="I18" s="124">
        <v>167640</v>
      </c>
      <c r="J18" s="124">
        <v>1091236</v>
      </c>
      <c r="K18" s="125">
        <f t="shared" si="0"/>
        <v>26931925</v>
      </c>
      <c r="L18" s="124">
        <v>1727</v>
      </c>
      <c r="M18" s="124">
        <v>0</v>
      </c>
      <c r="N18" s="124">
        <f t="shared" si="1"/>
        <v>26931925</v>
      </c>
      <c r="O18" s="207"/>
      <c r="P18" s="46"/>
      <c r="Q18" s="46"/>
    </row>
    <row r="19" spans="2:17" ht="15.75">
      <c r="B19" s="121" t="s">
        <v>10</v>
      </c>
      <c r="C19" s="124">
        <v>1521795000</v>
      </c>
      <c r="D19" s="124">
        <v>220648</v>
      </c>
      <c r="E19" s="124">
        <v>1535148000</v>
      </c>
      <c r="F19" s="124">
        <v>39752</v>
      </c>
      <c r="G19" s="124">
        <v>1167867000</v>
      </c>
      <c r="H19" s="124">
        <v>72</v>
      </c>
      <c r="I19" s="124">
        <v>5137000</v>
      </c>
      <c r="J19" s="124">
        <v>28000</v>
      </c>
      <c r="K19" s="125">
        <f t="shared" si="0"/>
        <v>4229975000</v>
      </c>
      <c r="L19" s="124">
        <v>260472</v>
      </c>
      <c r="M19" s="124">
        <v>521101000</v>
      </c>
      <c r="N19" s="124">
        <f t="shared" si="1"/>
        <v>4751076000</v>
      </c>
      <c r="O19" s="207"/>
      <c r="P19" s="46"/>
      <c r="Q19" s="46"/>
    </row>
    <row r="20" spans="2:17" ht="15.75">
      <c r="B20" s="120" t="s">
        <v>57</v>
      </c>
      <c r="C20" s="124">
        <v>23265827</v>
      </c>
      <c r="D20" s="124">
        <v>4028</v>
      </c>
      <c r="E20" s="124">
        <v>4876507</v>
      </c>
      <c r="F20" s="124">
        <v>419</v>
      </c>
      <c r="G20" s="124">
        <v>4563615</v>
      </c>
      <c r="H20" s="124">
        <v>28</v>
      </c>
      <c r="I20" s="124">
        <v>174777</v>
      </c>
      <c r="J20" s="124">
        <v>53970</v>
      </c>
      <c r="K20" s="125">
        <f t="shared" si="0"/>
        <v>32934696</v>
      </c>
      <c r="L20" s="124">
        <v>4493</v>
      </c>
      <c r="M20" s="124">
        <v>0</v>
      </c>
      <c r="N20" s="124">
        <f t="shared" si="1"/>
        <v>32934696</v>
      </c>
      <c r="O20" s="207"/>
      <c r="P20" s="46"/>
      <c r="Q20" s="46"/>
    </row>
    <row r="21" spans="2:18" ht="15.75">
      <c r="B21" s="120" t="s">
        <v>58</v>
      </c>
      <c r="C21" s="124">
        <v>8003309</v>
      </c>
      <c r="D21" s="124">
        <v>1179</v>
      </c>
      <c r="E21" s="124">
        <v>2540887</v>
      </c>
      <c r="F21" s="124">
        <v>131</v>
      </c>
      <c r="G21" s="124">
        <v>0</v>
      </c>
      <c r="H21" s="124">
        <v>0</v>
      </c>
      <c r="I21" s="124">
        <v>24133</v>
      </c>
      <c r="J21" s="124">
        <f>486001+23962</f>
        <v>509963</v>
      </c>
      <c r="K21" s="126">
        <f t="shared" si="0"/>
        <v>11078292</v>
      </c>
      <c r="L21" s="124">
        <v>1387</v>
      </c>
      <c r="M21" s="124">
        <v>0</v>
      </c>
      <c r="N21" s="124">
        <f t="shared" si="1"/>
        <v>11078292</v>
      </c>
      <c r="O21" s="207"/>
      <c r="P21" s="46"/>
      <c r="Q21" s="46"/>
      <c r="R21" s="46"/>
    </row>
    <row r="22" spans="2:17" ht="15.75">
      <c r="B22" s="120" t="s">
        <v>59</v>
      </c>
      <c r="C22" s="124">
        <v>3483683</v>
      </c>
      <c r="D22" s="124">
        <v>645</v>
      </c>
      <c r="E22" s="124">
        <v>529449</v>
      </c>
      <c r="F22" s="124">
        <v>48</v>
      </c>
      <c r="G22" s="124">
        <v>858073</v>
      </c>
      <c r="H22" s="124">
        <v>4</v>
      </c>
      <c r="I22" s="124">
        <v>17176</v>
      </c>
      <c r="J22" s="124">
        <v>0</v>
      </c>
      <c r="K22" s="126">
        <f t="shared" si="0"/>
        <v>4888381</v>
      </c>
      <c r="L22" s="124">
        <v>698</v>
      </c>
      <c r="M22" s="124">
        <v>0</v>
      </c>
      <c r="N22" s="124">
        <f t="shared" si="1"/>
        <v>4888381</v>
      </c>
      <c r="O22" s="207"/>
      <c r="P22" s="46"/>
      <c r="Q22" s="46"/>
    </row>
    <row r="23" spans="2:17" ht="15.75">
      <c r="B23" s="120" t="s">
        <v>60</v>
      </c>
      <c r="C23" s="124">
        <v>5042634</v>
      </c>
      <c r="D23" s="124">
        <v>772</v>
      </c>
      <c r="E23" s="124">
        <v>1017479</v>
      </c>
      <c r="F23" s="38">
        <v>97</v>
      </c>
      <c r="G23" s="124">
        <f>2439292+3789412</f>
        <v>6228704</v>
      </c>
      <c r="H23" s="124">
        <v>13</v>
      </c>
      <c r="I23" s="124">
        <v>66638</v>
      </c>
      <c r="J23" s="124">
        <v>850852</v>
      </c>
      <c r="K23" s="126">
        <f t="shared" si="0"/>
        <v>13206307</v>
      </c>
      <c r="L23" s="124">
        <v>943</v>
      </c>
      <c r="M23" s="124">
        <v>0</v>
      </c>
      <c r="N23" s="124">
        <f t="shared" si="1"/>
        <v>13206307</v>
      </c>
      <c r="O23" s="207"/>
      <c r="P23" s="46"/>
      <c r="Q23" s="46"/>
    </row>
    <row r="24" spans="2:17" ht="15.75">
      <c r="B24" s="120" t="s">
        <v>61</v>
      </c>
      <c r="C24" s="124">
        <v>16836198</v>
      </c>
      <c r="D24" s="124">
        <v>2979</v>
      </c>
      <c r="E24" s="124">
        <v>17523280</v>
      </c>
      <c r="F24" s="124">
        <v>650</v>
      </c>
      <c r="G24" s="124">
        <v>11724280</v>
      </c>
      <c r="H24" s="124">
        <v>4</v>
      </c>
      <c r="I24" s="124">
        <v>343535</v>
      </c>
      <c r="J24" s="124">
        <v>56550</v>
      </c>
      <c r="K24" s="125">
        <f t="shared" si="0"/>
        <v>46483843</v>
      </c>
      <c r="L24" s="124">
        <v>3637</v>
      </c>
      <c r="M24" s="124">
        <v>0</v>
      </c>
      <c r="N24" s="124">
        <f t="shared" si="1"/>
        <v>46483843</v>
      </c>
      <c r="O24" s="207"/>
      <c r="P24" s="46"/>
      <c r="Q24" s="46"/>
    </row>
    <row r="25" spans="2:17" ht="15.75">
      <c r="B25" s="120" t="s">
        <v>62</v>
      </c>
      <c r="C25" s="127">
        <f>30901331+616158</f>
        <v>31517489</v>
      </c>
      <c r="D25" s="127">
        <f>4843+12</f>
        <v>4855</v>
      </c>
      <c r="E25" s="127">
        <v>11003573</v>
      </c>
      <c r="F25" s="127">
        <v>845</v>
      </c>
      <c r="G25" s="127">
        <f>11487547+6838159</f>
        <v>18325706</v>
      </c>
      <c r="H25" s="127">
        <v>42</v>
      </c>
      <c r="I25" s="127">
        <v>483807</v>
      </c>
      <c r="J25" s="127">
        <v>0</v>
      </c>
      <c r="K25" s="126">
        <f t="shared" si="0"/>
        <v>61330575</v>
      </c>
      <c r="L25" s="127">
        <v>5742</v>
      </c>
      <c r="M25" s="127">
        <v>0</v>
      </c>
      <c r="N25" s="127">
        <f t="shared" si="1"/>
        <v>61330575</v>
      </c>
      <c r="O25" s="207"/>
      <c r="P25" s="46"/>
      <c r="Q25" s="46"/>
    </row>
    <row r="26" spans="2:17" ht="15.75">
      <c r="B26" s="120" t="s">
        <v>63</v>
      </c>
      <c r="C26" s="124">
        <v>21103642</v>
      </c>
      <c r="D26" s="124">
        <v>3415</v>
      </c>
      <c r="E26" s="124">
        <v>23912370</v>
      </c>
      <c r="F26" s="124">
        <v>595</v>
      </c>
      <c r="G26" s="124">
        <v>0</v>
      </c>
      <c r="H26" s="124">
        <v>0</v>
      </c>
      <c r="I26" s="124">
        <v>114144</v>
      </c>
      <c r="J26" s="124">
        <v>0</v>
      </c>
      <c r="K26" s="125">
        <f t="shared" si="0"/>
        <v>45130156</v>
      </c>
      <c r="L26" s="124">
        <v>4012</v>
      </c>
      <c r="M26" s="124">
        <v>0</v>
      </c>
      <c r="N26" s="124">
        <f t="shared" si="1"/>
        <v>45130156</v>
      </c>
      <c r="O26" s="207"/>
      <c r="P26" s="46"/>
      <c r="Q26" s="46"/>
    </row>
    <row r="27" spans="2:17" ht="15.75">
      <c r="B27" s="120" t="s">
        <v>64</v>
      </c>
      <c r="C27" s="124">
        <v>10094690</v>
      </c>
      <c r="D27" s="124">
        <v>1614</v>
      </c>
      <c r="E27" s="124">
        <v>2409467</v>
      </c>
      <c r="F27" s="124">
        <v>176</v>
      </c>
      <c r="G27" s="124">
        <f>8703707+5987355</f>
        <v>14691062</v>
      </c>
      <c r="H27" s="124">
        <f>1+15</f>
        <v>16</v>
      </c>
      <c r="I27" s="124">
        <v>50347</v>
      </c>
      <c r="J27" s="124">
        <f>1829590+39005</f>
        <v>1868595</v>
      </c>
      <c r="K27" s="125">
        <f t="shared" si="0"/>
        <v>29114161</v>
      </c>
      <c r="L27" s="124">
        <v>2210</v>
      </c>
      <c r="M27" s="124">
        <v>0</v>
      </c>
      <c r="N27" s="124">
        <f t="shared" si="1"/>
        <v>29114161</v>
      </c>
      <c r="O27" s="207"/>
      <c r="P27" s="46"/>
      <c r="Q27" s="46"/>
    </row>
    <row r="28" spans="2:17" ht="15.75">
      <c r="B28" s="120" t="s">
        <v>65</v>
      </c>
      <c r="C28" s="124">
        <v>4080894</v>
      </c>
      <c r="D28" s="124">
        <v>582</v>
      </c>
      <c r="E28" s="124">
        <v>1644724</v>
      </c>
      <c r="F28" s="124">
        <v>65</v>
      </c>
      <c r="G28" s="124">
        <v>6787400</v>
      </c>
      <c r="H28" s="124">
        <v>1</v>
      </c>
      <c r="I28" s="124">
        <v>148944</v>
      </c>
      <c r="J28" s="124">
        <v>388073</v>
      </c>
      <c r="K28" s="125">
        <f t="shared" si="0"/>
        <v>13050035</v>
      </c>
      <c r="L28" s="124">
        <v>669</v>
      </c>
      <c r="M28" s="124">
        <v>0</v>
      </c>
      <c r="N28" s="124">
        <f t="shared" si="1"/>
        <v>13050035</v>
      </c>
      <c r="O28" s="207"/>
      <c r="P28" s="46"/>
      <c r="Q28" s="46"/>
    </row>
    <row r="29" spans="2:17" ht="15.75">
      <c r="B29" s="120" t="s">
        <v>66</v>
      </c>
      <c r="C29" s="127">
        <v>22649767</v>
      </c>
      <c r="D29" s="127">
        <v>3316</v>
      </c>
      <c r="E29" s="127">
        <v>42709147</v>
      </c>
      <c r="F29" s="127">
        <v>782</v>
      </c>
      <c r="G29" s="127">
        <v>8323200</v>
      </c>
      <c r="H29" s="127">
        <v>1</v>
      </c>
      <c r="I29" s="127">
        <v>21407</v>
      </c>
      <c r="J29" s="127">
        <v>0</v>
      </c>
      <c r="K29" s="126">
        <f t="shared" si="0"/>
        <v>73703521</v>
      </c>
      <c r="L29" s="127">
        <v>4103</v>
      </c>
      <c r="M29" s="127">
        <v>0</v>
      </c>
      <c r="N29" s="127">
        <f t="shared" si="1"/>
        <v>73703521</v>
      </c>
      <c r="O29" s="207"/>
      <c r="P29" s="46"/>
      <c r="Q29" s="46"/>
    </row>
    <row r="30" spans="2:29" ht="15.75">
      <c r="B30" s="120" t="s">
        <v>67</v>
      </c>
      <c r="C30" s="124">
        <f>24198722+2054325</f>
        <v>26253047</v>
      </c>
      <c r="D30" s="124">
        <f>3167+65</f>
        <v>3232</v>
      </c>
      <c r="E30" s="124">
        <v>27522852</v>
      </c>
      <c r="F30" s="124">
        <v>423</v>
      </c>
      <c r="G30" s="124">
        <v>0</v>
      </c>
      <c r="H30" s="124">
        <v>0</v>
      </c>
      <c r="I30" s="124">
        <v>203039</v>
      </c>
      <c r="J30" s="124">
        <v>991076</v>
      </c>
      <c r="K30" s="125">
        <f t="shared" si="0"/>
        <v>54970014</v>
      </c>
      <c r="L30" s="124">
        <v>3668</v>
      </c>
      <c r="M30" s="124">
        <v>0</v>
      </c>
      <c r="N30" s="124">
        <f t="shared" si="1"/>
        <v>54970014</v>
      </c>
      <c r="O30" s="207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</row>
    <row r="31" spans="2:29" ht="15.75">
      <c r="B31" s="121" t="s">
        <v>78</v>
      </c>
      <c r="C31" s="124">
        <v>220210053</v>
      </c>
      <c r="D31" s="124">
        <v>34224</v>
      </c>
      <c r="E31" s="124">
        <v>110181897</v>
      </c>
      <c r="F31" s="124">
        <v>3824</v>
      </c>
      <c r="G31" s="124">
        <v>99248675</v>
      </c>
      <c r="H31" s="124">
        <v>13</v>
      </c>
      <c r="I31" s="124">
        <v>1125884</v>
      </c>
      <c r="J31" s="124">
        <f>15222970+293633</f>
        <v>15516603</v>
      </c>
      <c r="K31" s="125">
        <f t="shared" si="0"/>
        <v>446283112</v>
      </c>
      <c r="L31" s="124">
        <v>38428</v>
      </c>
      <c r="M31" s="127">
        <v>0</v>
      </c>
      <c r="N31" s="124">
        <f t="shared" si="1"/>
        <v>446283112</v>
      </c>
      <c r="O31" s="207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</row>
    <row r="32" spans="2:17" ht="16.5" thickBot="1">
      <c r="B32" s="122" t="s">
        <v>23</v>
      </c>
      <c r="C32" s="128">
        <v>61298409</v>
      </c>
      <c r="D32" s="128">
        <v>10325</v>
      </c>
      <c r="E32" s="128">
        <v>4815120</v>
      </c>
      <c r="F32" s="128">
        <v>559</v>
      </c>
      <c r="G32" s="128">
        <v>3548648</v>
      </c>
      <c r="H32" s="128">
        <v>11</v>
      </c>
      <c r="I32" s="128">
        <v>36821</v>
      </c>
      <c r="J32" s="128">
        <v>0</v>
      </c>
      <c r="K32" s="129">
        <f t="shared" si="0"/>
        <v>69698998</v>
      </c>
      <c r="L32" s="128">
        <v>10895</v>
      </c>
      <c r="M32" s="128">
        <v>0</v>
      </c>
      <c r="N32" s="128">
        <f t="shared" si="1"/>
        <v>69698998</v>
      </c>
      <c r="O32" s="207"/>
      <c r="P32" s="46"/>
      <c r="Q32" s="46"/>
    </row>
    <row r="33" spans="2:17" ht="15.75">
      <c r="B33" s="66"/>
      <c r="C33" s="124"/>
      <c r="D33" s="124"/>
      <c r="E33" s="130"/>
      <c r="F33" s="124"/>
      <c r="G33" s="124"/>
      <c r="H33" s="124"/>
      <c r="I33" s="124"/>
      <c r="J33" s="124"/>
      <c r="K33" s="124"/>
      <c r="L33" s="124"/>
      <c r="M33" s="124"/>
      <c r="N33" s="56"/>
      <c r="O33" s="46"/>
      <c r="P33" s="46"/>
      <c r="Q33" s="46"/>
    </row>
    <row r="34" spans="2:17" ht="16.5" thickBot="1">
      <c r="B34" s="196" t="s">
        <v>42</v>
      </c>
      <c r="C34" s="129">
        <f aca="true" t="shared" si="2" ref="C34:N34">SUM(C16:C32)</f>
        <v>2083340282</v>
      </c>
      <c r="D34" s="129">
        <f t="shared" si="2"/>
        <v>311989</v>
      </c>
      <c r="E34" s="131">
        <f t="shared" si="2"/>
        <v>2006437844</v>
      </c>
      <c r="F34" s="129">
        <f t="shared" si="2"/>
        <v>52536</v>
      </c>
      <c r="G34" s="129">
        <f t="shared" si="2"/>
        <v>1394245704</v>
      </c>
      <c r="H34" s="129">
        <f t="shared" si="2"/>
        <v>230</v>
      </c>
      <c r="I34" s="129">
        <f t="shared" si="2"/>
        <v>10706046</v>
      </c>
      <c r="J34" s="129">
        <f t="shared" si="2"/>
        <v>22097887</v>
      </c>
      <c r="K34" s="129">
        <f t="shared" si="2"/>
        <v>5516827763</v>
      </c>
      <c r="L34" s="129">
        <f t="shared" si="2"/>
        <v>365801</v>
      </c>
      <c r="M34" s="129">
        <f t="shared" si="2"/>
        <v>521101000</v>
      </c>
      <c r="N34" s="129">
        <f t="shared" si="2"/>
        <v>6037928763</v>
      </c>
      <c r="O34" s="46"/>
      <c r="P34" s="46"/>
      <c r="Q34" s="46"/>
    </row>
    <row r="35" spans="3:17" ht="1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O35" s="46"/>
      <c r="P35" s="46"/>
      <c r="Q35" s="46"/>
    </row>
    <row r="37" spans="2:5" ht="15.75">
      <c r="B37" s="172"/>
      <c r="C37" s="132"/>
      <c r="D37" s="132"/>
      <c r="E37" s="38"/>
    </row>
    <row r="38" spans="2:5" ht="15.75">
      <c r="B38" s="174"/>
      <c r="C38" s="132"/>
      <c r="D38" s="132"/>
      <c r="E38" s="112"/>
    </row>
    <row r="39" spans="2:5" ht="15.75">
      <c r="B39" s="174"/>
      <c r="C39" s="132"/>
      <c r="D39" s="132"/>
      <c r="E39" s="38"/>
    </row>
    <row r="40" spans="2:5" ht="15.75">
      <c r="B40" s="173"/>
      <c r="C40" s="174"/>
      <c r="D40" s="132"/>
      <c r="E40" s="38"/>
    </row>
    <row r="41" spans="2:5" ht="15.75">
      <c r="B41" s="174"/>
      <c r="C41" s="174"/>
      <c r="D41" s="132"/>
      <c r="E41" s="38"/>
    </row>
    <row r="42" spans="2:5" ht="15.75">
      <c r="B42" s="174"/>
      <c r="C42" s="174"/>
      <c r="D42" s="132"/>
      <c r="E42" s="38"/>
    </row>
    <row r="43" ht="15">
      <c r="B43" s="193" t="s">
        <v>88</v>
      </c>
    </row>
    <row r="44" ht="15">
      <c r="B44" s="192" t="s">
        <v>89</v>
      </c>
    </row>
    <row r="45" ht="15">
      <c r="B45" s="193" t="s">
        <v>84</v>
      </c>
    </row>
    <row r="46" ht="15">
      <c r="H46" s="61"/>
    </row>
    <row r="48" spans="2:3" ht="15.75">
      <c r="B48" s="38" t="s">
        <v>83</v>
      </c>
      <c r="C48" s="38"/>
    </row>
    <row r="49" spans="2:3" ht="15.75">
      <c r="B49" s="38" t="s">
        <v>43</v>
      </c>
      <c r="C49" s="38"/>
    </row>
    <row r="50" ht="15.75">
      <c r="B50" s="92">
        <f ca="1">NOW()</f>
        <v>42627.58724247685</v>
      </c>
    </row>
    <row r="51" spans="2:13" ht="18">
      <c r="B51" s="46"/>
      <c r="G51" s="53" t="s">
        <v>90</v>
      </c>
      <c r="M51" s="43"/>
    </row>
    <row r="52" ht="15.75" thickBot="1"/>
    <row r="53" spans="2:12" ht="15.75">
      <c r="B53" s="69"/>
      <c r="C53" s="55"/>
      <c r="D53" s="109"/>
      <c r="E53" s="55"/>
      <c r="F53" s="55"/>
      <c r="G53" s="47" t="s">
        <v>44</v>
      </c>
      <c r="H53" s="55"/>
      <c r="I53" s="55"/>
      <c r="J53" s="55"/>
      <c r="K53" s="55"/>
      <c r="L53" s="69"/>
    </row>
    <row r="54" spans="2:12" ht="15.75">
      <c r="B54" s="54"/>
      <c r="C54" s="56"/>
      <c r="D54" s="110"/>
      <c r="E54" s="56"/>
      <c r="F54" s="49" t="s">
        <v>46</v>
      </c>
      <c r="G54" s="49" t="s">
        <v>74</v>
      </c>
      <c r="H54" s="56"/>
      <c r="I54" s="56"/>
      <c r="J54" s="57"/>
      <c r="K54" s="56"/>
      <c r="L54" s="54"/>
    </row>
    <row r="55" spans="2:12" ht="15.75">
      <c r="B55" s="50" t="s">
        <v>73</v>
      </c>
      <c r="C55" s="49" t="s">
        <v>37</v>
      </c>
      <c r="D55" s="111" t="s">
        <v>39</v>
      </c>
      <c r="E55" s="49" t="s">
        <v>40</v>
      </c>
      <c r="F55" s="49" t="s">
        <v>49</v>
      </c>
      <c r="G55" s="49" t="s">
        <v>50</v>
      </c>
      <c r="H55" s="49" t="s">
        <v>68</v>
      </c>
      <c r="I55" s="49" t="s">
        <v>81</v>
      </c>
      <c r="J55" s="49" t="s">
        <v>69</v>
      </c>
      <c r="K55" s="49" t="s">
        <v>79</v>
      </c>
      <c r="L55" s="50" t="s">
        <v>82</v>
      </c>
    </row>
    <row r="56" spans="2:15" ht="16.5" thickBot="1">
      <c r="B56" s="62" t="s">
        <v>72</v>
      </c>
      <c r="C56" s="190" t="str">
        <f>$B$4</f>
        <v>Revenue 2015</v>
      </c>
      <c r="D56" s="190" t="str">
        <f aca="true" t="shared" si="3" ref="D56:L56">$B$4</f>
        <v>Revenue 2015</v>
      </c>
      <c r="E56" s="190" t="str">
        <f t="shared" si="3"/>
        <v>Revenue 2015</v>
      </c>
      <c r="F56" s="190" t="str">
        <f t="shared" si="3"/>
        <v>Revenue 2015</v>
      </c>
      <c r="G56" s="190" t="str">
        <f t="shared" si="3"/>
        <v>Revenue 2015</v>
      </c>
      <c r="H56" s="190" t="str">
        <f t="shared" si="3"/>
        <v>Revenue 2015</v>
      </c>
      <c r="I56" s="190" t="str">
        <f t="shared" si="3"/>
        <v>Revenue 2015</v>
      </c>
      <c r="J56" s="190" t="str">
        <f t="shared" si="3"/>
        <v>Revenue 2015</v>
      </c>
      <c r="K56" s="190" t="str">
        <f t="shared" si="3"/>
        <v>Revenue 2015</v>
      </c>
      <c r="L56" s="190" t="str">
        <f t="shared" si="3"/>
        <v>Revenue 2015</v>
      </c>
      <c r="M56" s="206"/>
      <c r="N56" s="208"/>
      <c r="O56" s="46"/>
    </row>
    <row r="57" spans="2:15" ht="15">
      <c r="B57" s="58"/>
      <c r="C57" s="60"/>
      <c r="D57" s="67"/>
      <c r="E57" s="60"/>
      <c r="F57" s="60"/>
      <c r="G57" s="60"/>
      <c r="H57" s="60"/>
      <c r="I57" s="60"/>
      <c r="J57" s="60"/>
      <c r="K57" s="60"/>
      <c r="L57" s="70"/>
      <c r="M57" s="208"/>
      <c r="N57" s="208"/>
      <c r="O57" s="46"/>
    </row>
    <row r="58" spans="2:15" ht="15.75">
      <c r="B58" s="121" t="s">
        <v>54</v>
      </c>
      <c r="C58" s="133">
        <v>1789000</v>
      </c>
      <c r="D58" s="133">
        <v>487379</v>
      </c>
      <c r="E58" s="133">
        <v>0</v>
      </c>
      <c r="F58" s="133">
        <v>16504</v>
      </c>
      <c r="G58" s="133">
        <f>100813+40329</f>
        <v>141142</v>
      </c>
      <c r="H58" s="133">
        <f aca="true" t="shared" si="4" ref="H58:H74">SUM(C58:G58)</f>
        <v>2434025</v>
      </c>
      <c r="I58" s="133">
        <v>13931</v>
      </c>
      <c r="J58" s="133">
        <f aca="true" t="shared" si="5" ref="J58:J74">H58+I58</f>
        <v>2447956</v>
      </c>
      <c r="K58" s="133">
        <v>0</v>
      </c>
      <c r="L58" s="133">
        <f aca="true" t="shared" si="6" ref="L58:L74">J58+K58</f>
        <v>2447956</v>
      </c>
      <c r="M58" s="207"/>
      <c r="N58" s="209"/>
      <c r="O58" s="46"/>
    </row>
    <row r="59" spans="2:15" ht="15.75">
      <c r="B59" s="121" t="s">
        <v>55</v>
      </c>
      <c r="C59" s="133">
        <v>13094430</v>
      </c>
      <c r="D59" s="133">
        <v>30045972</v>
      </c>
      <c r="E59" s="133">
        <v>4646928</v>
      </c>
      <c r="F59" s="133">
        <v>575574</v>
      </c>
      <c r="G59" s="133">
        <v>0</v>
      </c>
      <c r="H59" s="133">
        <f t="shared" si="4"/>
        <v>48362904</v>
      </c>
      <c r="I59" s="133">
        <v>16943731</v>
      </c>
      <c r="J59" s="133">
        <f t="shared" si="5"/>
        <v>65306635</v>
      </c>
      <c r="K59" s="133">
        <v>0</v>
      </c>
      <c r="L59" s="133">
        <f t="shared" si="6"/>
        <v>65306635</v>
      </c>
      <c r="M59" s="207"/>
      <c r="N59" s="209"/>
      <c r="O59" s="46"/>
    </row>
    <row r="60" spans="2:15" ht="15.75">
      <c r="B60" s="121" t="s">
        <v>56</v>
      </c>
      <c r="C60" s="133">
        <f>596710+1596376</f>
        <v>2193086</v>
      </c>
      <c r="D60" s="133">
        <v>294859</v>
      </c>
      <c r="E60" s="133">
        <v>1411192</v>
      </c>
      <c r="F60" s="133">
        <v>29542</v>
      </c>
      <c r="G60" s="133">
        <v>171935</v>
      </c>
      <c r="H60" s="133">
        <f t="shared" si="4"/>
        <v>4100614</v>
      </c>
      <c r="I60" s="133">
        <v>13750</v>
      </c>
      <c r="J60" s="133">
        <f t="shared" si="5"/>
        <v>4114364</v>
      </c>
      <c r="K60" s="133">
        <v>0</v>
      </c>
      <c r="L60" s="133">
        <f t="shared" si="6"/>
        <v>4114364</v>
      </c>
      <c r="M60" s="207"/>
      <c r="N60" s="202"/>
      <c r="O60" s="46"/>
    </row>
    <row r="61" spans="2:15" ht="15.75">
      <c r="B61" s="121" t="s">
        <v>10</v>
      </c>
      <c r="C61" s="133">
        <v>260792133</v>
      </c>
      <c r="D61" s="133">
        <v>221562215</v>
      </c>
      <c r="E61" s="133">
        <v>116455626</v>
      </c>
      <c r="F61" s="133">
        <v>2647069</v>
      </c>
      <c r="G61" s="133">
        <v>417</v>
      </c>
      <c r="H61" s="133">
        <f t="shared" si="4"/>
        <v>601457460</v>
      </c>
      <c r="I61" s="133">
        <v>46438295</v>
      </c>
      <c r="J61" s="133">
        <f t="shared" si="5"/>
        <v>647895755</v>
      </c>
      <c r="K61" s="133">
        <v>18743454</v>
      </c>
      <c r="L61" s="134">
        <f t="shared" si="6"/>
        <v>666639209</v>
      </c>
      <c r="M61" s="207"/>
      <c r="N61" s="209"/>
      <c r="O61" s="46"/>
    </row>
    <row r="62" spans="2:15" ht="15.75">
      <c r="B62" s="121" t="s">
        <v>57</v>
      </c>
      <c r="C62" s="133">
        <v>4185071</v>
      </c>
      <c r="D62" s="133">
        <v>898920</v>
      </c>
      <c r="E62" s="133">
        <v>792078</v>
      </c>
      <c r="F62" s="133">
        <v>54169</v>
      </c>
      <c r="G62" s="133">
        <v>0</v>
      </c>
      <c r="H62" s="133">
        <f t="shared" si="4"/>
        <v>5930238</v>
      </c>
      <c r="I62" s="133">
        <v>152964</v>
      </c>
      <c r="J62" s="133">
        <f t="shared" si="5"/>
        <v>6083202</v>
      </c>
      <c r="K62" s="133">
        <v>0</v>
      </c>
      <c r="L62" s="133">
        <f t="shared" si="6"/>
        <v>6083202</v>
      </c>
      <c r="M62" s="207"/>
      <c r="N62" s="209"/>
      <c r="O62" s="46"/>
    </row>
    <row r="63" spans="2:15" ht="15.75">
      <c r="B63" s="121" t="s">
        <v>58</v>
      </c>
      <c r="C63" s="133">
        <v>1438944</v>
      </c>
      <c r="D63" s="133">
        <v>490018</v>
      </c>
      <c r="E63" s="133">
        <v>0</v>
      </c>
      <c r="F63" s="133">
        <v>5385</v>
      </c>
      <c r="G63" s="133">
        <f>93146+5645</f>
        <v>98791</v>
      </c>
      <c r="H63" s="133">
        <f t="shared" si="4"/>
        <v>2033138</v>
      </c>
      <c r="I63" s="133">
        <v>20443</v>
      </c>
      <c r="J63" s="133">
        <f t="shared" si="5"/>
        <v>2053581</v>
      </c>
      <c r="K63" s="133">
        <v>0</v>
      </c>
      <c r="L63" s="133">
        <f t="shared" si="6"/>
        <v>2053581</v>
      </c>
      <c r="M63" s="207"/>
      <c r="N63" s="202"/>
      <c r="O63" s="46"/>
    </row>
    <row r="64" spans="2:15" ht="15.75">
      <c r="B64" s="121" t="s">
        <v>59</v>
      </c>
      <c r="C64" s="133">
        <v>594125</v>
      </c>
      <c r="D64" s="133">
        <v>90639</v>
      </c>
      <c r="E64" s="133">
        <v>155484</v>
      </c>
      <c r="F64" s="133">
        <v>3322</v>
      </c>
      <c r="G64" s="133">
        <v>0</v>
      </c>
      <c r="H64" s="133">
        <f t="shared" si="4"/>
        <v>843570</v>
      </c>
      <c r="I64" s="133">
        <f>-30+2654</f>
        <v>2624</v>
      </c>
      <c r="J64" s="133">
        <f t="shared" si="5"/>
        <v>846194</v>
      </c>
      <c r="K64" s="133">
        <v>0</v>
      </c>
      <c r="L64" s="133">
        <f t="shared" si="6"/>
        <v>846194</v>
      </c>
      <c r="M64" s="207"/>
      <c r="N64" s="202"/>
      <c r="O64" s="46"/>
    </row>
    <row r="65" spans="2:15" ht="15.75">
      <c r="B65" s="121" t="s">
        <v>60</v>
      </c>
      <c r="C65" s="133">
        <v>879456.59</v>
      </c>
      <c r="D65" s="133">
        <v>202816.55</v>
      </c>
      <c r="E65" s="133">
        <f>447995.22+616933.34</f>
        <v>1064928.56</v>
      </c>
      <c r="F65" s="133">
        <v>15944.84</v>
      </c>
      <c r="G65" s="133">
        <v>155777</v>
      </c>
      <c r="H65" s="133">
        <f t="shared" si="4"/>
        <v>2318923.54</v>
      </c>
      <c r="I65" s="133">
        <v>6260</v>
      </c>
      <c r="J65" s="133">
        <f t="shared" si="5"/>
        <v>2325183.54</v>
      </c>
      <c r="K65" s="133">
        <v>0</v>
      </c>
      <c r="L65" s="133">
        <f t="shared" si="6"/>
        <v>2325183.54</v>
      </c>
      <c r="M65" s="207"/>
      <c r="N65" s="202"/>
      <c r="O65" s="46"/>
    </row>
    <row r="66" spans="2:15" ht="15.75">
      <c r="B66" s="121" t="s">
        <v>61</v>
      </c>
      <c r="C66" s="133">
        <v>2263869</v>
      </c>
      <c r="D66" s="133">
        <v>2949798</v>
      </c>
      <c r="E66" s="133">
        <v>1915273</v>
      </c>
      <c r="F66" s="133">
        <v>98755</v>
      </c>
      <c r="G66" s="133">
        <v>0</v>
      </c>
      <c r="H66" s="133">
        <f t="shared" si="4"/>
        <v>7227695</v>
      </c>
      <c r="I66" s="133">
        <v>241690</v>
      </c>
      <c r="J66" s="133">
        <f t="shared" si="5"/>
        <v>7469385</v>
      </c>
      <c r="K66" s="133">
        <v>0</v>
      </c>
      <c r="L66" s="133">
        <f t="shared" si="6"/>
        <v>7469385</v>
      </c>
      <c r="M66" s="207"/>
      <c r="N66" s="209"/>
      <c r="O66" s="46"/>
    </row>
    <row r="67" spans="2:15" ht="15.75">
      <c r="B67" s="121" t="s">
        <v>62</v>
      </c>
      <c r="C67" s="133">
        <f>4828930+84925</f>
        <v>4913855</v>
      </c>
      <c r="D67" s="133">
        <v>1765668</v>
      </c>
      <c r="E67" s="133">
        <f>1837507+923390</f>
        <v>2760897</v>
      </c>
      <c r="F67" s="133">
        <v>101733</v>
      </c>
      <c r="G67" s="133">
        <v>0</v>
      </c>
      <c r="H67" s="133">
        <f t="shared" si="4"/>
        <v>9542153</v>
      </c>
      <c r="I67" s="133">
        <v>412820</v>
      </c>
      <c r="J67" s="133">
        <f t="shared" si="5"/>
        <v>9954973</v>
      </c>
      <c r="K67" s="133">
        <v>0</v>
      </c>
      <c r="L67" s="133">
        <f t="shared" si="6"/>
        <v>9954973</v>
      </c>
      <c r="M67" s="207"/>
      <c r="N67" s="209"/>
      <c r="O67" s="46"/>
    </row>
    <row r="68" spans="2:15" ht="15.75">
      <c r="B68" s="121" t="s">
        <v>63</v>
      </c>
      <c r="C68" s="133">
        <v>3308277</v>
      </c>
      <c r="D68" s="133">
        <v>3741295</v>
      </c>
      <c r="E68" s="133">
        <v>0</v>
      </c>
      <c r="F68" s="133">
        <v>36309</v>
      </c>
      <c r="G68" s="133">
        <v>0</v>
      </c>
      <c r="H68" s="133">
        <f>SUM(C68:G68)</f>
        <v>7085881</v>
      </c>
      <c r="I68" s="133">
        <v>135733</v>
      </c>
      <c r="J68" s="133">
        <f t="shared" si="5"/>
        <v>7221614</v>
      </c>
      <c r="K68" s="133">
        <v>0</v>
      </c>
      <c r="L68" s="133">
        <f t="shared" si="6"/>
        <v>7221614</v>
      </c>
      <c r="M68" s="207"/>
      <c r="N68" s="209"/>
      <c r="O68" s="46"/>
    </row>
    <row r="69" spans="2:15" ht="15.75">
      <c r="B69" s="121" t="s">
        <v>64</v>
      </c>
      <c r="C69" s="133">
        <v>1395880</v>
      </c>
      <c r="D69" s="133">
        <v>354628</v>
      </c>
      <c r="E69" s="133">
        <f>1084968+794954</f>
        <v>1879922</v>
      </c>
      <c r="F69" s="133">
        <v>15814</v>
      </c>
      <c r="G69" s="133">
        <f>259173+9632</f>
        <v>268805</v>
      </c>
      <c r="H69" s="133">
        <f t="shared" si="4"/>
        <v>3915049</v>
      </c>
      <c r="I69" s="133">
        <v>15216</v>
      </c>
      <c r="J69" s="133">
        <f t="shared" si="5"/>
        <v>3930265</v>
      </c>
      <c r="K69" s="133">
        <v>0</v>
      </c>
      <c r="L69" s="133">
        <f t="shared" si="6"/>
        <v>3930265</v>
      </c>
      <c r="M69" s="207"/>
      <c r="N69" s="202"/>
      <c r="O69" s="46"/>
    </row>
    <row r="70" spans="2:15" ht="15.75">
      <c r="B70" s="121" t="s">
        <v>65</v>
      </c>
      <c r="C70" s="133">
        <v>528179</v>
      </c>
      <c r="D70" s="133">
        <v>231469</v>
      </c>
      <c r="E70" s="133">
        <v>1034319</v>
      </c>
      <c r="F70" s="133">
        <v>21834</v>
      </c>
      <c r="G70" s="133">
        <v>56234</v>
      </c>
      <c r="H70" s="133">
        <f t="shared" si="4"/>
        <v>1872035</v>
      </c>
      <c r="I70" s="133">
        <v>36657</v>
      </c>
      <c r="J70" s="133">
        <f t="shared" si="5"/>
        <v>1908692</v>
      </c>
      <c r="K70" s="133">
        <v>0</v>
      </c>
      <c r="L70" s="133">
        <f t="shared" si="6"/>
        <v>1908692</v>
      </c>
      <c r="M70" s="207"/>
      <c r="N70" s="209"/>
      <c r="O70" s="46"/>
    </row>
    <row r="71" spans="2:15" ht="15.75">
      <c r="B71" s="121" t="s">
        <v>66</v>
      </c>
      <c r="C71" s="133">
        <v>4000381</v>
      </c>
      <c r="D71" s="133">
        <v>5948404</v>
      </c>
      <c r="E71" s="133">
        <v>1417237</v>
      </c>
      <c r="F71" s="133">
        <v>18523</v>
      </c>
      <c r="G71" s="133">
        <v>0</v>
      </c>
      <c r="H71" s="133">
        <f t="shared" si="4"/>
        <v>11384545</v>
      </c>
      <c r="I71" s="133">
        <v>44732</v>
      </c>
      <c r="J71" s="133">
        <f t="shared" si="5"/>
        <v>11429277</v>
      </c>
      <c r="K71" s="133">
        <v>0</v>
      </c>
      <c r="L71" s="133">
        <f t="shared" si="6"/>
        <v>11429277</v>
      </c>
      <c r="M71" s="207"/>
      <c r="N71" s="209"/>
      <c r="O71" s="46"/>
    </row>
    <row r="72" spans="2:16" ht="15.75">
      <c r="B72" s="121" t="s">
        <v>67</v>
      </c>
      <c r="C72" s="133">
        <f>3048191+251133</f>
        <v>3299324</v>
      </c>
      <c r="D72" s="133">
        <v>3698548</v>
      </c>
      <c r="E72" s="133">
        <v>0</v>
      </c>
      <c r="F72" s="133">
        <v>68193</v>
      </c>
      <c r="G72" s="133">
        <v>118165</v>
      </c>
      <c r="H72" s="133">
        <f t="shared" si="4"/>
        <v>7184230</v>
      </c>
      <c r="I72" s="133">
        <v>40120</v>
      </c>
      <c r="J72" s="133">
        <f t="shared" si="5"/>
        <v>7224350</v>
      </c>
      <c r="K72" s="133">
        <v>38186</v>
      </c>
      <c r="L72" s="133">
        <f t="shared" si="6"/>
        <v>7262536</v>
      </c>
      <c r="M72" s="207"/>
      <c r="N72" s="202"/>
      <c r="O72" s="46"/>
      <c r="P72" s="46"/>
    </row>
    <row r="73" spans="2:15" ht="15.75">
      <c r="B73" s="121" t="s">
        <v>22</v>
      </c>
      <c r="C73" s="133">
        <v>42471039</v>
      </c>
      <c r="D73" s="133">
        <v>17840435</v>
      </c>
      <c r="E73" s="133">
        <v>10729262</v>
      </c>
      <c r="F73" s="133">
        <v>322873</v>
      </c>
      <c r="G73" s="133">
        <v>2472698</v>
      </c>
      <c r="H73" s="133">
        <f t="shared" si="4"/>
        <v>73836307</v>
      </c>
      <c r="I73" s="133">
        <v>1962929</v>
      </c>
      <c r="J73" s="133">
        <f t="shared" si="5"/>
        <v>75799236</v>
      </c>
      <c r="K73" s="133">
        <v>1219165</v>
      </c>
      <c r="L73" s="133">
        <f t="shared" si="6"/>
        <v>77018401</v>
      </c>
      <c r="M73" s="207"/>
      <c r="N73" s="202"/>
      <c r="O73" s="46"/>
    </row>
    <row r="74" spans="2:15" ht="16.5" thickBot="1">
      <c r="B74" s="123" t="s">
        <v>23</v>
      </c>
      <c r="C74" s="133">
        <v>12311081</v>
      </c>
      <c r="D74" s="133">
        <v>918100</v>
      </c>
      <c r="E74" s="133">
        <v>494322</v>
      </c>
      <c r="F74" s="133">
        <v>12341</v>
      </c>
      <c r="G74" s="133">
        <v>0</v>
      </c>
      <c r="H74" s="135">
        <f t="shared" si="4"/>
        <v>13735844</v>
      </c>
      <c r="I74" s="133">
        <v>3418049</v>
      </c>
      <c r="J74" s="135">
        <f t="shared" si="5"/>
        <v>17153893</v>
      </c>
      <c r="K74" s="133">
        <v>0</v>
      </c>
      <c r="L74" s="135">
        <f t="shared" si="6"/>
        <v>17153893</v>
      </c>
      <c r="M74" s="207"/>
      <c r="N74" s="46"/>
      <c r="O74" s="46"/>
    </row>
    <row r="75" spans="2:15" ht="15.75">
      <c r="B75" s="66"/>
      <c r="C75" s="136"/>
      <c r="D75" s="137"/>
      <c r="E75" s="137"/>
      <c r="F75" s="137"/>
      <c r="G75" s="137"/>
      <c r="H75" s="137"/>
      <c r="I75" s="137"/>
      <c r="J75" s="137"/>
      <c r="K75" s="137"/>
      <c r="L75" s="138"/>
      <c r="M75" s="46"/>
      <c r="N75" s="46"/>
      <c r="O75" s="46"/>
    </row>
    <row r="76" spans="2:12" ht="16.5" thickBot="1">
      <c r="B76" s="196" t="s">
        <v>42</v>
      </c>
      <c r="C76" s="139">
        <f aca="true" t="shared" si="7" ref="C76:L76">SUM(C58:C74)</f>
        <v>359458130.59</v>
      </c>
      <c r="D76" s="135">
        <f t="shared" si="7"/>
        <v>291521163.55</v>
      </c>
      <c r="E76" s="135">
        <f t="shared" si="7"/>
        <v>144757468.56</v>
      </c>
      <c r="F76" s="135">
        <f t="shared" si="7"/>
        <v>4043884.84</v>
      </c>
      <c r="G76" s="135">
        <f t="shared" si="7"/>
        <v>3483964</v>
      </c>
      <c r="H76" s="135">
        <f t="shared" si="7"/>
        <v>803264611.54</v>
      </c>
      <c r="I76" s="135">
        <f t="shared" si="7"/>
        <v>69899944</v>
      </c>
      <c r="J76" s="135">
        <f t="shared" si="7"/>
        <v>873164555.54</v>
      </c>
      <c r="K76" s="135">
        <f t="shared" si="7"/>
        <v>20000805</v>
      </c>
      <c r="L76" s="135">
        <f t="shared" si="7"/>
        <v>893165360.54</v>
      </c>
    </row>
    <row r="78" spans="2:10" ht="15.75">
      <c r="B78" s="195"/>
      <c r="C78" s="195"/>
      <c r="D78" s="132"/>
      <c r="E78" s="38"/>
      <c r="F78" s="46"/>
      <c r="J78" s="210"/>
    </row>
    <row r="79" spans="2:10" ht="15.75">
      <c r="B79" s="195"/>
      <c r="C79" s="195"/>
      <c r="D79" s="132"/>
      <c r="E79" s="38"/>
      <c r="F79" s="46"/>
      <c r="J79" s="210"/>
    </row>
    <row r="80" spans="2:10" ht="15.75">
      <c r="B80" s="195"/>
      <c r="C80" s="195"/>
      <c r="D80" s="132"/>
      <c r="E80" s="38"/>
      <c r="F80" s="46"/>
      <c r="J80" s="210"/>
    </row>
    <row r="81" spans="2:10" ht="15.75">
      <c r="B81" s="195"/>
      <c r="C81" s="174"/>
      <c r="D81" s="132"/>
      <c r="E81" s="38"/>
      <c r="F81" s="46"/>
      <c r="J81" s="210"/>
    </row>
    <row r="82" spans="2:10" ht="15.75">
      <c r="B82" s="195"/>
      <c r="C82" s="174"/>
      <c r="D82" s="132"/>
      <c r="E82" s="38"/>
      <c r="F82" s="46"/>
      <c r="J82" s="210"/>
    </row>
    <row r="83" spans="2:10" ht="15.75">
      <c r="B83" s="195"/>
      <c r="C83" s="211"/>
      <c r="D83" s="132"/>
      <c r="E83" s="38"/>
      <c r="F83" s="46"/>
      <c r="J83" s="210"/>
    </row>
    <row r="84" spans="2:10" ht="15.75">
      <c r="B84" s="195"/>
      <c r="C84" s="212"/>
      <c r="D84" s="132"/>
      <c r="E84" s="38"/>
      <c r="F84" s="46"/>
      <c r="J84" s="210"/>
    </row>
    <row r="85" spans="2:10" ht="15.75">
      <c r="B85" s="195"/>
      <c r="C85" s="213"/>
      <c r="D85" s="132"/>
      <c r="E85" s="38"/>
      <c r="F85" s="46"/>
      <c r="J85" s="210"/>
    </row>
    <row r="86" spans="2:10" ht="15.75">
      <c r="B86" s="195"/>
      <c r="C86" s="195"/>
      <c r="D86" s="132"/>
      <c r="E86" s="38"/>
      <c r="F86" s="46"/>
      <c r="J86" s="210"/>
    </row>
    <row r="87" spans="2:6" ht="15.75">
      <c r="B87" s="173"/>
      <c r="C87" s="174"/>
      <c r="D87" s="132"/>
      <c r="E87" s="38"/>
      <c r="F87" s="46"/>
    </row>
    <row r="88" spans="2:6" ht="15.75">
      <c r="B88" s="173"/>
      <c r="C88" s="174"/>
      <c r="D88" s="132"/>
      <c r="E88" s="38"/>
      <c r="F88" s="46"/>
    </row>
    <row r="89" ht="15">
      <c r="B89" s="44" t="str">
        <f>B45</f>
        <v>Prepared by: Tod Ziegler, Utiltities Financial Analyst, Vermont Public Service Department</v>
      </c>
    </row>
    <row r="90" ht="15">
      <c r="B90" s="44" t="str">
        <f>B43</f>
        <v>FILE:kWh Revenue &amp; Ranking 2015.xls</v>
      </c>
    </row>
    <row r="91" ht="15">
      <c r="B91" s="39" t="str">
        <f>B44</f>
        <v>Sources:   The 2015 Annual Reports sent to the PSD from the responding utilities</v>
      </c>
    </row>
    <row r="92" ht="15">
      <c r="B92" s="44"/>
    </row>
    <row r="101" ht="15">
      <c r="H101" s="201"/>
    </row>
  </sheetData>
  <sheetProtection/>
  <printOptions gridLines="1"/>
  <pageMargins left="0.5" right="0.5" top="0.5" bottom="0.5" header="0" footer="0"/>
  <pageSetup fitToHeight="1" fitToWidth="1" horizontalDpi="600" verticalDpi="600" orientation="landscape" paperSize="5" r:id="rId1"/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C128"/>
  <sheetViews>
    <sheetView defaultGridColor="0" zoomScaleSheetLayoutView="100" zoomScalePageLayoutView="0" colorId="22" workbookViewId="0" topLeftCell="A1">
      <selection activeCell="A3" sqref="A3"/>
    </sheetView>
  </sheetViews>
  <sheetFormatPr defaultColWidth="8.75390625" defaultRowHeight="12.75"/>
  <cols>
    <col min="1" max="1" width="24.25390625" style="0" customWidth="1"/>
    <col min="2" max="2" width="18.625" style="0" customWidth="1"/>
    <col min="3" max="3" width="20.75390625" style="0" customWidth="1"/>
    <col min="4" max="4" width="14.75390625" style="0" customWidth="1"/>
    <col min="5" max="5" width="17.625" style="0" customWidth="1"/>
    <col min="6" max="6" width="15.625" style="0" customWidth="1"/>
    <col min="7" max="7" width="17.125" style="0" customWidth="1"/>
    <col min="8" max="8" width="16.625" style="0" customWidth="1"/>
    <col min="9" max="9" width="18.875" style="0" customWidth="1"/>
    <col min="10" max="10" width="16.25390625" style="0" customWidth="1"/>
    <col min="11" max="11" width="11.75390625" style="0" customWidth="1"/>
    <col min="12" max="12" width="16.625" style="0" customWidth="1"/>
    <col min="13" max="249" width="11.75390625" style="0" customWidth="1"/>
  </cols>
  <sheetData>
    <row r="1" spans="1:7" ht="15.75">
      <c r="A1" s="92">
        <f ca="1">NOW()</f>
        <v>42627.58724247685</v>
      </c>
      <c r="G1" s="91" t="s">
        <v>77</v>
      </c>
    </row>
    <row r="2" spans="1:55" ht="19.5" customHeight="1">
      <c r="A2" s="40"/>
      <c r="B2" s="35"/>
      <c r="C2" s="36" t="str">
        <f>'KWH &amp; Rev 2015'!B6</f>
        <v>VERMONT PUBLIC SERVICE DEPARTMENT</v>
      </c>
      <c r="D2" s="33"/>
      <c r="E2" s="34"/>
      <c r="F2" s="32"/>
      <c r="G2" s="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9.5" customHeight="1">
      <c r="A3" s="10" t="s">
        <v>41</v>
      </c>
      <c r="B3" s="10"/>
      <c r="C3" s="10"/>
      <c r="D3" s="10"/>
      <c r="E3" s="11"/>
      <c r="F3" s="12"/>
      <c r="G3" s="10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9.5" customHeight="1">
      <c r="A4" s="10" t="s">
        <v>37</v>
      </c>
      <c r="B4" s="10"/>
      <c r="C4" s="10"/>
      <c r="D4" s="10"/>
      <c r="E4" s="11"/>
      <c r="F4" s="12"/>
      <c r="G4" s="10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 customHeight="1" thickBot="1">
      <c r="A5" s="75">
        <v>2015</v>
      </c>
      <c r="B5" s="76"/>
      <c r="C5" s="76"/>
      <c r="D5" s="76"/>
      <c r="E5" s="76"/>
      <c r="F5" s="76"/>
      <c r="G5" s="14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30" customHeight="1" thickBot="1">
      <c r="A6" s="77" t="s">
        <v>0</v>
      </c>
      <c r="B6" s="83" t="s">
        <v>1</v>
      </c>
      <c r="C6" s="77" t="s">
        <v>2</v>
      </c>
      <c r="D6" s="84" t="s">
        <v>3</v>
      </c>
      <c r="E6" s="78" t="s">
        <v>4</v>
      </c>
      <c r="F6" s="79" t="s">
        <v>5</v>
      </c>
      <c r="G6" s="77" t="s">
        <v>6</v>
      </c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5" customHeight="1">
      <c r="A7" s="140" t="s">
        <v>7</v>
      </c>
      <c r="B7" s="141">
        <f>'KWH &amp; Rev 2015'!C58</f>
        <v>1789000</v>
      </c>
      <c r="C7" s="142">
        <f>'KWH &amp; Rev 2015'!C16</f>
        <v>10311643</v>
      </c>
      <c r="D7" s="143">
        <f>'KWH &amp; Rev 2015'!D16</f>
        <v>1891</v>
      </c>
      <c r="E7" s="144">
        <f aca="true" t="shared" si="0" ref="E7:E24">C7/D7</f>
        <v>5453.010576414596</v>
      </c>
      <c r="F7" s="145">
        <f aca="true" t="shared" si="1" ref="F7:F24">(B7/C7)*100</f>
        <v>17.349320568991768</v>
      </c>
      <c r="G7" s="146">
        <f aca="true" t="shared" si="2" ref="G7:G23">RANK(F7,$F$7:$F$23,1)</f>
        <v>11</v>
      </c>
      <c r="H7" s="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5" customHeight="1">
      <c r="A8" s="147" t="s">
        <v>8</v>
      </c>
      <c r="B8" s="148">
        <f>'KWH &amp; Rev 2015'!C59</f>
        <v>13094430</v>
      </c>
      <c r="C8" s="142">
        <f>'KWH &amp; Rev 2015'!C17</f>
        <v>83736948</v>
      </c>
      <c r="D8" s="142">
        <f>'KWH &amp; Rev 2015'!D17</f>
        <v>16763</v>
      </c>
      <c r="E8" s="149">
        <f t="shared" si="0"/>
        <v>4995.34379287717</v>
      </c>
      <c r="F8" s="150">
        <f t="shared" si="1"/>
        <v>15.63757733324601</v>
      </c>
      <c r="G8" s="151">
        <f t="shared" si="2"/>
        <v>6</v>
      </c>
      <c r="H8" s="3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5" customHeight="1">
      <c r="A9" s="147" t="s">
        <v>9</v>
      </c>
      <c r="B9" s="148">
        <f>'KWH &amp; Rev 2015'!C60</f>
        <v>2193086</v>
      </c>
      <c r="C9" s="142">
        <f>'KWH &amp; Rev 2015'!C18</f>
        <v>13657049</v>
      </c>
      <c r="D9" s="142">
        <f>'KWH &amp; Rev 2015'!D18</f>
        <v>1521</v>
      </c>
      <c r="E9" s="149">
        <f t="shared" si="0"/>
        <v>8978.993425378041</v>
      </c>
      <c r="F9" s="150">
        <f t="shared" si="1"/>
        <v>16.058271446488916</v>
      </c>
      <c r="G9" s="151">
        <f t="shared" si="2"/>
        <v>8</v>
      </c>
      <c r="H9" s="3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5" customHeight="1">
      <c r="A10" s="147" t="s">
        <v>10</v>
      </c>
      <c r="B10" s="148">
        <f>'KWH &amp; Rev 2015'!C61</f>
        <v>260792133</v>
      </c>
      <c r="C10" s="142">
        <f>'KWH &amp; Rev 2015'!C19</f>
        <v>1521795000</v>
      </c>
      <c r="D10" s="142">
        <f>'KWH &amp; Rev 2015'!D19</f>
        <v>220648</v>
      </c>
      <c r="E10" s="149">
        <f t="shared" si="0"/>
        <v>6896.9353903049205</v>
      </c>
      <c r="F10" s="150">
        <f t="shared" si="1"/>
        <v>17.137139562161792</v>
      </c>
      <c r="G10" s="151">
        <f t="shared" si="2"/>
        <v>10</v>
      </c>
      <c r="H10" s="3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5" customHeight="1">
      <c r="A11" s="147" t="s">
        <v>11</v>
      </c>
      <c r="B11" s="148">
        <f>'KWH &amp; Rev 2015'!C62</f>
        <v>4185071</v>
      </c>
      <c r="C11" s="142">
        <f>'KWH &amp; Rev 2015'!C20</f>
        <v>23265827</v>
      </c>
      <c r="D11" s="142">
        <f>'KWH &amp; Rev 2015'!D20</f>
        <v>4028</v>
      </c>
      <c r="E11" s="149">
        <f t="shared" si="0"/>
        <v>5776.02457795432</v>
      </c>
      <c r="F11" s="150">
        <f t="shared" si="1"/>
        <v>17.988060342750764</v>
      </c>
      <c r="G11" s="151">
        <f t="shared" si="2"/>
        <v>15</v>
      </c>
      <c r="H11" s="3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5" customHeight="1">
      <c r="A12" s="147" t="s">
        <v>12</v>
      </c>
      <c r="B12" s="148">
        <f>'KWH &amp; Rev 2015'!C63</f>
        <v>1438944</v>
      </c>
      <c r="C12" s="142">
        <f>'KWH &amp; Rev 2015'!C21</f>
        <v>8003309</v>
      </c>
      <c r="D12" s="142">
        <f>'KWH &amp; Rev 2015'!D21</f>
        <v>1179</v>
      </c>
      <c r="E12" s="149">
        <f t="shared" si="0"/>
        <v>6788.217981340119</v>
      </c>
      <c r="F12" s="150">
        <f t="shared" si="1"/>
        <v>17.979363285860885</v>
      </c>
      <c r="G12" s="151">
        <f t="shared" si="2"/>
        <v>14</v>
      </c>
      <c r="H12" s="3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5" customHeight="1">
      <c r="A13" s="147" t="s">
        <v>13</v>
      </c>
      <c r="B13" s="148">
        <f>'KWH &amp; Rev 2015'!C64</f>
        <v>594125</v>
      </c>
      <c r="C13" s="142">
        <f>'KWH &amp; Rev 2015'!C22</f>
        <v>3483683</v>
      </c>
      <c r="D13" s="142">
        <f>'KWH &amp; Rev 2015'!D22</f>
        <v>645</v>
      </c>
      <c r="E13" s="149">
        <f t="shared" si="0"/>
        <v>5401.058914728682</v>
      </c>
      <c r="F13" s="150">
        <f t="shared" si="1"/>
        <v>17.05450811684071</v>
      </c>
      <c r="G13" s="151">
        <f t="shared" si="2"/>
        <v>9</v>
      </c>
      <c r="H13" s="3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5" customHeight="1">
      <c r="A14" s="147" t="s">
        <v>14</v>
      </c>
      <c r="B14" s="148">
        <f>'KWH &amp; Rev 2015'!C65</f>
        <v>879456.59</v>
      </c>
      <c r="C14" s="142">
        <f>'KWH &amp; Rev 2015'!C23</f>
        <v>5042634</v>
      </c>
      <c r="D14" s="142">
        <f>'KWH &amp; Rev 2015'!D23</f>
        <v>772</v>
      </c>
      <c r="E14" s="149">
        <f t="shared" si="0"/>
        <v>6531.90932642487</v>
      </c>
      <c r="F14" s="150">
        <f t="shared" si="1"/>
        <v>17.44042081975412</v>
      </c>
      <c r="G14" s="151">
        <f t="shared" si="2"/>
        <v>12</v>
      </c>
      <c r="H14" s="3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5" customHeight="1">
      <c r="A15" s="176" t="s">
        <v>15</v>
      </c>
      <c r="B15" s="177">
        <f>'KWH &amp; Rev 2015'!C66</f>
        <v>2263869</v>
      </c>
      <c r="C15" s="178">
        <f>'KWH &amp; Rev 2015'!C24</f>
        <v>16836198</v>
      </c>
      <c r="D15" s="178">
        <f>'KWH &amp; Rev 2015'!D24</f>
        <v>2979</v>
      </c>
      <c r="E15" s="179">
        <f t="shared" si="0"/>
        <v>5651.627391742195</v>
      </c>
      <c r="F15" s="180">
        <f t="shared" si="1"/>
        <v>13.446438441743199</v>
      </c>
      <c r="G15" s="175">
        <f t="shared" si="2"/>
        <v>3</v>
      </c>
      <c r="H15" s="3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5" customHeight="1">
      <c r="A16" s="176" t="s">
        <v>16</v>
      </c>
      <c r="B16" s="177">
        <f>'KWH &amp; Rev 2015'!C67</f>
        <v>4913855</v>
      </c>
      <c r="C16" s="178">
        <f>'KWH &amp; Rev 2015'!C25</f>
        <v>31517489</v>
      </c>
      <c r="D16" s="178">
        <f>'KWH &amp; Rev 2015'!D25</f>
        <v>4855</v>
      </c>
      <c r="E16" s="179">
        <f t="shared" si="0"/>
        <v>6491.758805355304</v>
      </c>
      <c r="F16" s="180">
        <f t="shared" si="1"/>
        <v>15.590883525016858</v>
      </c>
      <c r="G16" s="175">
        <f t="shared" si="2"/>
        <v>5</v>
      </c>
      <c r="H16" s="3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5" customHeight="1">
      <c r="A17" s="147" t="s">
        <v>17</v>
      </c>
      <c r="B17" s="148">
        <f>'KWH &amp; Rev 2015'!C68</f>
        <v>3308277</v>
      </c>
      <c r="C17" s="142">
        <f>'KWH &amp; Rev 2015'!C26</f>
        <v>21103642</v>
      </c>
      <c r="D17" s="142">
        <f>'KWH &amp; Rev 2015'!D26</f>
        <v>3415</v>
      </c>
      <c r="E17" s="149">
        <f t="shared" si="0"/>
        <v>6179.69019033675</v>
      </c>
      <c r="F17" s="150">
        <f t="shared" si="1"/>
        <v>15.67633207576209</v>
      </c>
      <c r="G17" s="151">
        <f t="shared" si="2"/>
        <v>7</v>
      </c>
      <c r="H17" s="30"/>
      <c r="I17" s="1"/>
      <c r="J17" s="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" customHeight="1">
      <c r="A18" s="176" t="s">
        <v>18</v>
      </c>
      <c r="B18" s="177">
        <f>'KWH &amp; Rev 2015'!C69</f>
        <v>1395880</v>
      </c>
      <c r="C18" s="178">
        <f>'KWH &amp; Rev 2015'!C27</f>
        <v>10094690</v>
      </c>
      <c r="D18" s="178">
        <f>'KWH &amp; Rev 2015'!D27</f>
        <v>1614</v>
      </c>
      <c r="E18" s="179">
        <f t="shared" si="0"/>
        <v>6254.454770755886</v>
      </c>
      <c r="F18" s="180">
        <f t="shared" si="1"/>
        <v>13.827863956198755</v>
      </c>
      <c r="G18" s="175">
        <f t="shared" si="2"/>
        <v>4</v>
      </c>
      <c r="H18" s="30"/>
      <c r="I18" s="1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5" customHeight="1">
      <c r="A19" s="176" t="s">
        <v>19</v>
      </c>
      <c r="B19" s="177">
        <f>'KWH &amp; Rev 2015'!C70</f>
        <v>528179</v>
      </c>
      <c r="C19" s="178">
        <f>'KWH &amp; Rev 2015'!C28</f>
        <v>4080894</v>
      </c>
      <c r="D19" s="178">
        <f>'KWH &amp; Rev 2015'!D28</f>
        <v>582</v>
      </c>
      <c r="E19" s="179">
        <f t="shared" si="0"/>
        <v>7011.845360824742</v>
      </c>
      <c r="F19" s="180">
        <f t="shared" si="1"/>
        <v>12.942727745440092</v>
      </c>
      <c r="G19" s="175">
        <f t="shared" si="2"/>
        <v>2</v>
      </c>
      <c r="H19" s="30"/>
      <c r="I19" s="1"/>
      <c r="J19" s="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5" customHeight="1">
      <c r="A20" s="147" t="s">
        <v>20</v>
      </c>
      <c r="B20" s="148">
        <f>'KWH &amp; Rev 2015'!C71</f>
        <v>4000381</v>
      </c>
      <c r="C20" s="142">
        <f>'KWH &amp; Rev 2015'!C29</f>
        <v>22649767</v>
      </c>
      <c r="D20" s="142">
        <f>'KWH &amp; Rev 2015'!D29</f>
        <v>3316</v>
      </c>
      <c r="E20" s="149">
        <f t="shared" si="0"/>
        <v>6830.448431845597</v>
      </c>
      <c r="F20" s="150">
        <f t="shared" si="1"/>
        <v>17.661907956933952</v>
      </c>
      <c r="G20" s="151">
        <f t="shared" si="2"/>
        <v>13</v>
      </c>
      <c r="H20" s="30"/>
      <c r="I20" s="4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" customHeight="1">
      <c r="A21" s="176" t="s">
        <v>21</v>
      </c>
      <c r="B21" s="177">
        <f>'KWH &amp; Rev 2015'!C72</f>
        <v>3299324</v>
      </c>
      <c r="C21" s="178">
        <f>'KWH &amp; Rev 2015'!C30</f>
        <v>26253047</v>
      </c>
      <c r="D21" s="178">
        <f>'KWH &amp; Rev 2015'!D30</f>
        <v>3232</v>
      </c>
      <c r="E21" s="179">
        <f t="shared" si="0"/>
        <v>8122.848700495049</v>
      </c>
      <c r="F21" s="180">
        <f t="shared" si="1"/>
        <v>12.567394558048825</v>
      </c>
      <c r="G21" s="175">
        <f t="shared" si="2"/>
        <v>1</v>
      </c>
      <c r="H21" s="30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5" customHeight="1">
      <c r="A22" s="147" t="s">
        <v>22</v>
      </c>
      <c r="B22" s="148">
        <f>'KWH &amp; Rev 2015'!C73</f>
        <v>42471039</v>
      </c>
      <c r="C22" s="142">
        <f>'KWH &amp; Rev 2015'!C31</f>
        <v>220210053</v>
      </c>
      <c r="D22" s="142">
        <f>'KWH &amp; Rev 2015'!D31</f>
        <v>34224</v>
      </c>
      <c r="E22" s="149">
        <f t="shared" si="0"/>
        <v>6434.375087657784</v>
      </c>
      <c r="F22" s="150">
        <f t="shared" si="1"/>
        <v>19.286603141592266</v>
      </c>
      <c r="G22" s="151">
        <f t="shared" si="2"/>
        <v>16</v>
      </c>
      <c r="H22" s="30"/>
      <c r="I22" s="4"/>
      <c r="J22" s="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5" customHeight="1" thickBot="1">
      <c r="A23" s="152" t="s">
        <v>23</v>
      </c>
      <c r="B23" s="153">
        <f>'KWH &amp; Rev 2015'!C74</f>
        <v>12311081</v>
      </c>
      <c r="C23" s="154">
        <f>'KWH &amp; Rev 2015'!C32</f>
        <v>61298409</v>
      </c>
      <c r="D23" s="154">
        <f>'KWH &amp; Rev 2015'!D32</f>
        <v>10325</v>
      </c>
      <c r="E23" s="155">
        <f t="shared" si="0"/>
        <v>5936.89191283293</v>
      </c>
      <c r="F23" s="156">
        <f t="shared" si="1"/>
        <v>20.083850789667316</v>
      </c>
      <c r="G23" s="157">
        <f t="shared" si="2"/>
        <v>17</v>
      </c>
      <c r="H23" s="30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" customHeight="1" thickBot="1">
      <c r="A24" s="158" t="s">
        <v>24</v>
      </c>
      <c r="B24" s="159">
        <f>SUM(B7:B23)</f>
        <v>359458130.59</v>
      </c>
      <c r="C24" s="160">
        <f>SUM(C7:C23)</f>
        <v>2083340282</v>
      </c>
      <c r="D24" s="160">
        <f>SUM(D7:D23)</f>
        <v>311989</v>
      </c>
      <c r="E24" s="155">
        <f t="shared" si="0"/>
        <v>6677.6081272096135</v>
      </c>
      <c r="F24" s="156">
        <f t="shared" si="1"/>
        <v>17.25393272024296</v>
      </c>
      <c r="G24" s="161"/>
      <c r="H24" s="3"/>
      <c r="I24" s="5"/>
      <c r="J24" s="6">
        <f>I24/276447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" customHeight="1">
      <c r="A25" s="118" t="str">
        <f>'KWH &amp; Rev 2015'!B91</f>
        <v>Sources:   The 2015 Annual Reports sent to the PSD from the responding utilities</v>
      </c>
      <c r="B25" s="119"/>
      <c r="C25" s="119"/>
      <c r="D25" s="119"/>
      <c r="E25" s="17"/>
      <c r="F25" s="17"/>
      <c r="G25" s="1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9.5" customHeight="1" thickBot="1">
      <c r="A26" s="182" t="s">
        <v>80</v>
      </c>
      <c r="B26" s="37"/>
      <c r="C26" s="37"/>
      <c r="D26" s="37"/>
      <c r="E26" s="37"/>
      <c r="F26" s="17"/>
      <c r="G26" s="1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9.5" customHeight="1">
      <c r="A27" s="93" t="s">
        <v>41</v>
      </c>
      <c r="B27" s="94"/>
      <c r="C27" s="94"/>
      <c r="D27" s="94"/>
      <c r="E27" s="95"/>
      <c r="F27" s="96"/>
      <c r="G27" s="9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9.5" customHeight="1">
      <c r="A28" s="98" t="s">
        <v>39</v>
      </c>
      <c r="B28" s="85"/>
      <c r="C28" s="85"/>
      <c r="D28" s="85"/>
      <c r="E28" s="99"/>
      <c r="F28" s="100"/>
      <c r="G28" s="10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" customHeight="1" thickBot="1">
      <c r="A29" s="102">
        <f>A5</f>
        <v>2015</v>
      </c>
      <c r="B29" s="103"/>
      <c r="C29" s="103"/>
      <c r="D29" s="103"/>
      <c r="E29" s="103"/>
      <c r="F29" s="103"/>
      <c r="G29" s="10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30" customHeight="1" thickBot="1">
      <c r="A30" s="81" t="s">
        <v>0</v>
      </c>
      <c r="B30" s="81" t="s">
        <v>25</v>
      </c>
      <c r="C30" s="81" t="s">
        <v>2</v>
      </c>
      <c r="D30" s="81" t="s">
        <v>26</v>
      </c>
      <c r="E30" s="82" t="s">
        <v>27</v>
      </c>
      <c r="F30" s="89" t="s">
        <v>28</v>
      </c>
      <c r="G30" s="81" t="s">
        <v>6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" customHeight="1">
      <c r="A31" s="140" t="s">
        <v>7</v>
      </c>
      <c r="B31" s="141">
        <f>'KWH &amp; Rev 2015'!D58</f>
        <v>487379</v>
      </c>
      <c r="C31" s="162">
        <f>'KWH &amp; Rev 2015'!E16</f>
        <v>2753528</v>
      </c>
      <c r="D31" s="142">
        <f>'KWH &amp; Rev 2015'!F16</f>
        <v>192</v>
      </c>
      <c r="E31" s="149">
        <f aca="true" t="shared" si="3" ref="E31:E48">C31/D31</f>
        <v>14341.291666666666</v>
      </c>
      <c r="F31" s="145">
        <f aca="true" t="shared" si="4" ref="F31:F48">(B31/C31)*100</f>
        <v>17.70016502465201</v>
      </c>
      <c r="G31" s="146">
        <f aca="true" t="shared" si="5" ref="G31:G47">RANK(F31,$F$31:$F$47,1)</f>
        <v>13</v>
      </c>
      <c r="H31" s="30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" customHeight="1">
      <c r="A32" s="176" t="s">
        <v>8</v>
      </c>
      <c r="B32" s="177">
        <f>'KWH &amp; Rev 2015'!D59</f>
        <v>30045972</v>
      </c>
      <c r="C32" s="181">
        <f>'KWH &amp; Rev 2015'!E17</f>
        <v>216032190</v>
      </c>
      <c r="D32" s="178">
        <f>'KWH &amp; Rev 2015'!F17</f>
        <v>3840</v>
      </c>
      <c r="E32" s="179">
        <f t="shared" si="3"/>
        <v>56258.3828125</v>
      </c>
      <c r="F32" s="180">
        <f t="shared" si="4"/>
        <v>13.908099529056294</v>
      </c>
      <c r="G32" s="175">
        <f t="shared" si="5"/>
        <v>2</v>
      </c>
      <c r="H32" s="30"/>
      <c r="I32" s="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" customHeight="1">
      <c r="A33" s="147" t="s">
        <v>9</v>
      </c>
      <c r="B33" s="148">
        <f>'KWH &amp; Rev 2015'!D60</f>
        <v>294859</v>
      </c>
      <c r="C33" s="163">
        <f>'KWH &amp; Rev 2015'!E18</f>
        <v>1817374</v>
      </c>
      <c r="D33" s="142">
        <f>'KWH &amp; Rev 2015'!F18</f>
        <v>138</v>
      </c>
      <c r="E33" s="149">
        <f t="shared" si="3"/>
        <v>13169.376811594202</v>
      </c>
      <c r="F33" s="150">
        <f t="shared" si="4"/>
        <v>16.224453524701023</v>
      </c>
      <c r="G33" s="151">
        <f t="shared" si="5"/>
        <v>10</v>
      </c>
      <c r="H33" s="30"/>
      <c r="I33" s="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" customHeight="1">
      <c r="A34" s="176" t="s">
        <v>10</v>
      </c>
      <c r="B34" s="177">
        <f>'KWH &amp; Rev 2015'!D61</f>
        <v>221562215</v>
      </c>
      <c r="C34" s="181">
        <f>'KWH &amp; Rev 2015'!E19</f>
        <v>1535148000</v>
      </c>
      <c r="D34" s="178">
        <f>'KWH &amp; Rev 2015'!F19</f>
        <v>39752</v>
      </c>
      <c r="E34" s="179">
        <f t="shared" si="3"/>
        <v>38618.13242101026</v>
      </c>
      <c r="F34" s="180">
        <f t="shared" si="4"/>
        <v>14.432628971278339</v>
      </c>
      <c r="G34" s="175">
        <f t="shared" si="5"/>
        <v>5</v>
      </c>
      <c r="H34" s="30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" customHeight="1">
      <c r="A35" s="147" t="s">
        <v>11</v>
      </c>
      <c r="B35" s="148">
        <f>'KWH &amp; Rev 2015'!D62</f>
        <v>898920</v>
      </c>
      <c r="C35" s="163">
        <f>'KWH &amp; Rev 2015'!E20</f>
        <v>4876507</v>
      </c>
      <c r="D35" s="142">
        <f>'KWH &amp; Rev 2015'!F20</f>
        <v>419</v>
      </c>
      <c r="E35" s="149">
        <f t="shared" si="3"/>
        <v>11638.4415274463</v>
      </c>
      <c r="F35" s="150">
        <f t="shared" si="4"/>
        <v>18.43368624304241</v>
      </c>
      <c r="G35" s="151">
        <f t="shared" si="5"/>
        <v>14</v>
      </c>
      <c r="H35" s="30"/>
      <c r="I35" s="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" customHeight="1">
      <c r="A36" s="147" t="s">
        <v>12</v>
      </c>
      <c r="B36" s="148">
        <f>'KWH &amp; Rev 2015'!D63</f>
        <v>490018</v>
      </c>
      <c r="C36" s="163">
        <f>'KWH &amp; Rev 2015'!E21</f>
        <v>2540887</v>
      </c>
      <c r="D36" s="142">
        <f>'KWH &amp; Rev 2015'!F21</f>
        <v>131</v>
      </c>
      <c r="E36" s="149">
        <f t="shared" si="3"/>
        <v>19396.08396946565</v>
      </c>
      <c r="F36" s="150">
        <f t="shared" si="4"/>
        <v>19.285312569980483</v>
      </c>
      <c r="G36" s="151">
        <f t="shared" si="5"/>
        <v>16</v>
      </c>
      <c r="H36" s="30"/>
      <c r="I36" s="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5" customHeight="1">
      <c r="A37" s="147" t="s">
        <v>13</v>
      </c>
      <c r="B37" s="148">
        <f>'KWH &amp; Rev 2015'!D64</f>
        <v>90639</v>
      </c>
      <c r="C37" s="163">
        <f>'KWH &amp; Rev 2015'!E22</f>
        <v>529449</v>
      </c>
      <c r="D37" s="142">
        <f>'KWH &amp; Rev 2015'!F22</f>
        <v>48</v>
      </c>
      <c r="E37" s="149">
        <f t="shared" si="3"/>
        <v>11030.1875</v>
      </c>
      <c r="F37" s="150">
        <f t="shared" si="4"/>
        <v>17.11949592878634</v>
      </c>
      <c r="G37" s="151">
        <f t="shared" si="5"/>
        <v>12</v>
      </c>
      <c r="H37" s="30"/>
      <c r="I37" s="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" customHeight="1">
      <c r="A38" s="147" t="s">
        <v>14</v>
      </c>
      <c r="B38" s="148">
        <f>'KWH &amp; Rev 2015'!D65</f>
        <v>202816.55</v>
      </c>
      <c r="C38" s="163">
        <f>'KWH &amp; Rev 2015'!E23</f>
        <v>1017479</v>
      </c>
      <c r="D38" s="142">
        <f>'KWH &amp; Rev 2015'!F23</f>
        <v>97</v>
      </c>
      <c r="E38" s="149">
        <f t="shared" si="3"/>
        <v>10489.474226804125</v>
      </c>
      <c r="F38" s="150">
        <f t="shared" si="4"/>
        <v>19.933241865434077</v>
      </c>
      <c r="G38" s="151">
        <f t="shared" si="5"/>
        <v>17</v>
      </c>
      <c r="H38" s="30"/>
      <c r="I38" s="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" customHeight="1">
      <c r="A39" s="147" t="s">
        <v>15</v>
      </c>
      <c r="B39" s="148">
        <f>'KWH &amp; Rev 2015'!D66</f>
        <v>2949798</v>
      </c>
      <c r="C39" s="163">
        <f>'KWH &amp; Rev 2015'!E24</f>
        <v>17523280</v>
      </c>
      <c r="D39" s="142">
        <f>'KWH &amp; Rev 2015'!F24</f>
        <v>650</v>
      </c>
      <c r="E39" s="149">
        <f t="shared" si="3"/>
        <v>26958.89230769231</v>
      </c>
      <c r="F39" s="150">
        <f t="shared" si="4"/>
        <v>16.833595080373083</v>
      </c>
      <c r="G39" s="151">
        <f t="shared" si="5"/>
        <v>11</v>
      </c>
      <c r="H39" s="30"/>
      <c r="I39" s="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" customHeight="1">
      <c r="A40" s="147" t="s">
        <v>16</v>
      </c>
      <c r="B40" s="148">
        <f>'KWH &amp; Rev 2015'!D67</f>
        <v>1765668</v>
      </c>
      <c r="C40" s="163">
        <f>'KWH &amp; Rev 2015'!E25</f>
        <v>11003573</v>
      </c>
      <c r="D40" s="142">
        <f>'KWH &amp; Rev 2015'!F25</f>
        <v>845</v>
      </c>
      <c r="E40" s="149">
        <f t="shared" si="3"/>
        <v>13021.979881656805</v>
      </c>
      <c r="F40" s="150">
        <f t="shared" si="4"/>
        <v>16.046315137819324</v>
      </c>
      <c r="G40" s="151">
        <f t="shared" si="5"/>
        <v>8</v>
      </c>
      <c r="H40" s="30"/>
      <c r="I40" s="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" customHeight="1">
      <c r="A41" s="147" t="s">
        <v>17</v>
      </c>
      <c r="B41" s="148">
        <f>'KWH &amp; Rev 2015'!D68</f>
        <v>3741295</v>
      </c>
      <c r="C41" s="163">
        <f>'KWH &amp; Rev 2015'!E26</f>
        <v>23912370</v>
      </c>
      <c r="D41" s="142">
        <f>'KWH &amp; Rev 2015'!F26</f>
        <v>595</v>
      </c>
      <c r="E41" s="149">
        <f t="shared" si="3"/>
        <v>40188.857142857145</v>
      </c>
      <c r="F41" s="150">
        <f t="shared" si="4"/>
        <v>15.645856098747219</v>
      </c>
      <c r="G41" s="151">
        <f t="shared" si="5"/>
        <v>7</v>
      </c>
      <c r="H41" s="30"/>
      <c r="I41" s="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" customHeight="1">
      <c r="A42" s="147" t="s">
        <v>18</v>
      </c>
      <c r="B42" s="148">
        <f>'KWH &amp; Rev 2015'!D69</f>
        <v>354628</v>
      </c>
      <c r="C42" s="163">
        <f>'KWH &amp; Rev 2015'!E27</f>
        <v>2409467</v>
      </c>
      <c r="D42" s="142">
        <f>'KWH &amp; Rev 2015'!F27</f>
        <v>176</v>
      </c>
      <c r="E42" s="149">
        <f t="shared" si="3"/>
        <v>13690.15340909091</v>
      </c>
      <c r="F42" s="150">
        <f t="shared" si="4"/>
        <v>14.718109855831186</v>
      </c>
      <c r="G42" s="151">
        <f t="shared" si="5"/>
        <v>6</v>
      </c>
      <c r="H42" s="30"/>
      <c r="I42" s="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" customHeight="1">
      <c r="A43" s="176" t="s">
        <v>19</v>
      </c>
      <c r="B43" s="177">
        <f>'KWH &amp; Rev 2015'!D70</f>
        <v>231469</v>
      </c>
      <c r="C43" s="181">
        <f>'KWH &amp; Rev 2015'!E28</f>
        <v>1644724</v>
      </c>
      <c r="D43" s="178">
        <f>'KWH &amp; Rev 2015'!F28</f>
        <v>65</v>
      </c>
      <c r="E43" s="179">
        <f t="shared" si="3"/>
        <v>25303.446153846155</v>
      </c>
      <c r="F43" s="180">
        <f t="shared" si="4"/>
        <v>14.073425085303064</v>
      </c>
      <c r="G43" s="175">
        <f t="shared" si="5"/>
        <v>4</v>
      </c>
      <c r="H43" s="30"/>
      <c r="I43" s="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5" customHeight="1">
      <c r="A44" s="176" t="s">
        <v>20</v>
      </c>
      <c r="B44" s="177">
        <f>'KWH &amp; Rev 2015'!D71</f>
        <v>5948404</v>
      </c>
      <c r="C44" s="181">
        <f>'KWH &amp; Rev 2015'!E29</f>
        <v>42709147</v>
      </c>
      <c r="D44" s="178">
        <f>'KWH &amp; Rev 2015'!F29</f>
        <v>782</v>
      </c>
      <c r="E44" s="179">
        <f t="shared" si="3"/>
        <v>54615.27749360614</v>
      </c>
      <c r="F44" s="180">
        <f t="shared" si="4"/>
        <v>13.927704994904252</v>
      </c>
      <c r="G44" s="175">
        <f t="shared" si="5"/>
        <v>3</v>
      </c>
      <c r="H44" s="30"/>
      <c r="I44" s="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>
      <c r="A45" s="176" t="s">
        <v>21</v>
      </c>
      <c r="B45" s="177">
        <f>'KWH &amp; Rev 2015'!D72</f>
        <v>3698548</v>
      </c>
      <c r="C45" s="181">
        <f>'KWH &amp; Rev 2015'!E30</f>
        <v>27522852</v>
      </c>
      <c r="D45" s="178">
        <f>'KWH &amp; Rev 2015'!F30</f>
        <v>423</v>
      </c>
      <c r="E45" s="179">
        <f t="shared" si="3"/>
        <v>65065.843971631206</v>
      </c>
      <c r="F45" s="180">
        <f t="shared" si="4"/>
        <v>13.43809863890559</v>
      </c>
      <c r="G45" s="175">
        <f t="shared" si="5"/>
        <v>1</v>
      </c>
      <c r="H45" s="30"/>
      <c r="I45" s="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>
      <c r="A46" s="147" t="s">
        <v>22</v>
      </c>
      <c r="B46" s="148">
        <f>'KWH &amp; Rev 2015'!D73</f>
        <v>17840435</v>
      </c>
      <c r="C46" s="163">
        <f>'KWH &amp; Rev 2015'!E31</f>
        <v>110181897</v>
      </c>
      <c r="D46" s="142">
        <f>'KWH &amp; Rev 2015'!F31</f>
        <v>3824</v>
      </c>
      <c r="E46" s="149">
        <f t="shared" si="3"/>
        <v>28813.257583682007</v>
      </c>
      <c r="F46" s="150">
        <f t="shared" si="4"/>
        <v>16.19180236114468</v>
      </c>
      <c r="G46" s="151">
        <f t="shared" si="5"/>
        <v>9</v>
      </c>
      <c r="H46" s="30"/>
      <c r="I46" s="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thickBot="1">
      <c r="A47" s="152" t="s">
        <v>23</v>
      </c>
      <c r="B47" s="153">
        <f>'KWH &amp; Rev 2015'!D74</f>
        <v>918100</v>
      </c>
      <c r="C47" s="164">
        <f>'KWH &amp; Rev 2015'!E32</f>
        <v>4815120</v>
      </c>
      <c r="D47" s="154">
        <f>'KWH &amp; Rev 2015'!F32</f>
        <v>559</v>
      </c>
      <c r="E47" s="155">
        <f t="shared" si="3"/>
        <v>8613.81037567084</v>
      </c>
      <c r="F47" s="156">
        <f t="shared" si="4"/>
        <v>19.067022213361245</v>
      </c>
      <c r="G47" s="157">
        <f t="shared" si="5"/>
        <v>15</v>
      </c>
      <c r="H47" s="3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thickBot="1">
      <c r="A48" s="158" t="s">
        <v>24</v>
      </c>
      <c r="B48" s="159">
        <f>SUM(B31:B47)</f>
        <v>291521163.55</v>
      </c>
      <c r="C48" s="165">
        <f>SUM(C31:C47)</f>
        <v>2006437844</v>
      </c>
      <c r="D48" s="160">
        <f>SUM(D31:D47)</f>
        <v>52536</v>
      </c>
      <c r="E48" s="155">
        <f t="shared" si="3"/>
        <v>38191.67511801431</v>
      </c>
      <c r="F48" s="156">
        <f t="shared" si="4"/>
        <v>14.529289527794612</v>
      </c>
      <c r="G48" s="15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>
      <c r="A49" s="186" t="s">
        <v>80</v>
      </c>
      <c r="B49" s="187"/>
      <c r="C49" s="187" t="s">
        <v>29</v>
      </c>
      <c r="D49" s="187"/>
      <c r="E49" s="188"/>
      <c r="F49" s="189"/>
      <c r="G49" s="18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9.5" customHeight="1">
      <c r="A50" s="183">
        <f ca="1">NOW()</f>
        <v>42627.58724247685</v>
      </c>
      <c r="C50" s="37"/>
      <c r="D50" s="37"/>
      <c r="E50" s="37"/>
      <c r="F50" s="184"/>
      <c r="G50" s="185" t="s">
        <v>76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9.5" customHeight="1">
      <c r="A51" s="98" t="s">
        <v>38</v>
      </c>
      <c r="B51" s="80"/>
      <c r="C51" s="80"/>
      <c r="D51" s="80"/>
      <c r="E51" s="80"/>
      <c r="F51" s="80"/>
      <c r="G51" s="106"/>
      <c r="H51" s="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9.5" customHeight="1">
      <c r="A52" s="98" t="s">
        <v>40</v>
      </c>
      <c r="B52" s="80"/>
      <c r="C52" s="80"/>
      <c r="D52" s="80"/>
      <c r="E52" s="80"/>
      <c r="F52" s="80"/>
      <c r="G52" s="106"/>
      <c r="H52" s="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6.5" thickBot="1">
      <c r="A53" s="102">
        <f>A5</f>
        <v>2015</v>
      </c>
      <c r="B53" s="103"/>
      <c r="C53" s="103"/>
      <c r="D53" s="103"/>
      <c r="E53" s="103"/>
      <c r="F53" s="103"/>
      <c r="G53" s="105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30" customHeight="1">
      <c r="A54" s="86" t="s">
        <v>0</v>
      </c>
      <c r="B54" s="86" t="s">
        <v>30</v>
      </c>
      <c r="C54" s="86" t="s">
        <v>2</v>
      </c>
      <c r="D54" s="86" t="s">
        <v>31</v>
      </c>
      <c r="E54" s="87" t="s">
        <v>32</v>
      </c>
      <c r="F54" s="88" t="s">
        <v>33</v>
      </c>
      <c r="G54" s="86" t="s">
        <v>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5" customHeight="1">
      <c r="A55" s="147" t="s">
        <v>7</v>
      </c>
      <c r="B55" s="148">
        <f>'KWH &amp; Rev 2015'!E58</f>
        <v>0</v>
      </c>
      <c r="C55" s="142">
        <f>'KWH &amp; Rev 2015'!G16</f>
        <v>0</v>
      </c>
      <c r="D55" s="142">
        <f>'KWH &amp; Rev 2015'!H16</f>
        <v>0</v>
      </c>
      <c r="E55" s="166" t="s">
        <v>36</v>
      </c>
      <c r="F55" s="166"/>
      <c r="G55" s="151" t="str">
        <f aca="true" t="shared" si="6" ref="G55:G71">IF(D55&gt;0,RANK(F55,$F$55:$F$71,-1),"No Ind. Sales")</f>
        <v>No Ind. Sales</v>
      </c>
      <c r="H55" s="3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5" customHeight="1">
      <c r="A56" s="176" t="s">
        <v>8</v>
      </c>
      <c r="B56" s="177">
        <f>'KWH &amp; Rev 2015'!E59</f>
        <v>4646928</v>
      </c>
      <c r="C56" s="178">
        <f>'KWH &amp; Rev 2015'!G17</f>
        <v>41880715</v>
      </c>
      <c r="D56" s="178">
        <f>'KWH &amp; Rev 2015'!H17</f>
        <v>2</v>
      </c>
      <c r="E56" s="179">
        <f aca="true" t="shared" si="7" ref="E56:E67">C56/D56</f>
        <v>20940357.5</v>
      </c>
      <c r="F56" s="180">
        <f aca="true" t="shared" si="8" ref="F56:F67">(B56/C56)*100</f>
        <v>11.095627187835738</v>
      </c>
      <c r="G56" s="175">
        <f t="shared" si="6"/>
        <v>3</v>
      </c>
      <c r="H56" s="2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5" customHeight="1">
      <c r="A57" s="176" t="s">
        <v>9</v>
      </c>
      <c r="B57" s="177">
        <f>'KWH &amp; Rev 2015'!E60</f>
        <v>1411192</v>
      </c>
      <c r="C57" s="178">
        <f>'KWH &amp; Rev 2015'!G18</f>
        <v>10198626</v>
      </c>
      <c r="D57" s="178">
        <f>'KWH &amp; Rev 2015'!H18</f>
        <v>23</v>
      </c>
      <c r="E57" s="179">
        <f t="shared" si="7"/>
        <v>443418.52173913043</v>
      </c>
      <c r="F57" s="180">
        <f t="shared" si="8"/>
        <v>13.837079622294219</v>
      </c>
      <c r="G57" s="175">
        <f t="shared" si="6"/>
        <v>5</v>
      </c>
      <c r="H57" s="3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5" customHeight="1">
      <c r="A58" s="176" t="s">
        <v>10</v>
      </c>
      <c r="B58" s="177">
        <f>'KWH &amp; Rev 2015'!E61</f>
        <v>116455626</v>
      </c>
      <c r="C58" s="178">
        <f>'KWH &amp; Rev 2015'!G19</f>
        <v>1167867000</v>
      </c>
      <c r="D58" s="178">
        <f>'KWH &amp; Rev 2015'!H19</f>
        <v>72</v>
      </c>
      <c r="E58" s="179">
        <f t="shared" si="7"/>
        <v>16220375</v>
      </c>
      <c r="F58" s="180">
        <f t="shared" si="8"/>
        <v>9.971651395235929</v>
      </c>
      <c r="G58" s="175">
        <f t="shared" si="6"/>
        <v>1</v>
      </c>
      <c r="H58" s="3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5" customHeight="1">
      <c r="A59" s="147" t="s">
        <v>11</v>
      </c>
      <c r="B59" s="148">
        <f>'KWH &amp; Rev 2015'!E62</f>
        <v>792078</v>
      </c>
      <c r="C59" s="142">
        <f>'KWH &amp; Rev 2015'!G20</f>
        <v>4563615</v>
      </c>
      <c r="D59" s="142">
        <f>'KWH &amp; Rev 2015'!H20</f>
        <v>28</v>
      </c>
      <c r="E59" s="149">
        <f t="shared" si="7"/>
        <v>162986.25</v>
      </c>
      <c r="F59" s="150">
        <f t="shared" si="8"/>
        <v>17.3563720866024</v>
      </c>
      <c r="G59" s="151">
        <f t="shared" si="6"/>
        <v>12</v>
      </c>
      <c r="H59" s="3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5" customHeight="1">
      <c r="A60" s="147" t="s">
        <v>12</v>
      </c>
      <c r="B60" s="148">
        <f>'KWH &amp; Rev 2015'!E63</f>
        <v>0</v>
      </c>
      <c r="C60" s="142">
        <f>'KWH &amp; Rev 2015'!G21</f>
        <v>0</v>
      </c>
      <c r="D60" s="142">
        <f>'KWH &amp; Rev 2015'!H21</f>
        <v>0</v>
      </c>
      <c r="E60" s="166" t="s">
        <v>36</v>
      </c>
      <c r="F60" s="166"/>
      <c r="G60" s="151" t="str">
        <f t="shared" si="6"/>
        <v>No Ind. Sales</v>
      </c>
      <c r="H60" s="3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5" customHeight="1">
      <c r="A61" s="147" t="s">
        <v>13</v>
      </c>
      <c r="B61" s="148">
        <f>'KWH &amp; Rev 2015'!E64</f>
        <v>155484</v>
      </c>
      <c r="C61" s="142">
        <f>'KWH &amp; Rev 2015'!G22</f>
        <v>858073</v>
      </c>
      <c r="D61" s="142">
        <f>'KWH &amp; Rev 2015'!H22</f>
        <v>4</v>
      </c>
      <c r="E61" s="149">
        <f t="shared" si="7"/>
        <v>214518.25</v>
      </c>
      <c r="F61" s="150">
        <f t="shared" si="8"/>
        <v>18.120136631731796</v>
      </c>
      <c r="G61" s="151">
        <f t="shared" si="6"/>
        <v>13</v>
      </c>
      <c r="H61" s="3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5" customHeight="1">
      <c r="A62" s="147" t="s">
        <v>14</v>
      </c>
      <c r="B62" s="148">
        <f>'KWH &amp; Rev 2015'!E65</f>
        <v>1064928.56</v>
      </c>
      <c r="C62" s="142">
        <f>'KWH &amp; Rev 2015'!G23</f>
        <v>6228704</v>
      </c>
      <c r="D62" s="142">
        <f>'KWH &amp; Rev 2015'!H23</f>
        <v>13</v>
      </c>
      <c r="E62" s="149">
        <f t="shared" si="7"/>
        <v>479131.07692307694</v>
      </c>
      <c r="F62" s="150">
        <f t="shared" si="8"/>
        <v>17.097112978879718</v>
      </c>
      <c r="G62" s="151">
        <f t="shared" si="6"/>
        <v>11</v>
      </c>
      <c r="H62" s="3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5" customHeight="1">
      <c r="A63" s="147" t="s">
        <v>15</v>
      </c>
      <c r="B63" s="148">
        <f>'KWH &amp; Rev 2015'!E66</f>
        <v>1915273</v>
      </c>
      <c r="C63" s="142">
        <f>'KWH &amp; Rev 2015'!G24</f>
        <v>11724280</v>
      </c>
      <c r="D63" s="142">
        <f>'KWH &amp; Rev 2015'!H24</f>
        <v>4</v>
      </c>
      <c r="E63" s="149">
        <f t="shared" si="7"/>
        <v>2931070</v>
      </c>
      <c r="F63" s="150">
        <f t="shared" si="8"/>
        <v>16.33595410549731</v>
      </c>
      <c r="G63" s="151">
        <f t="shared" si="6"/>
        <v>9</v>
      </c>
      <c r="H63" s="3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5" customHeight="1">
      <c r="A64" s="147" t="s">
        <v>16</v>
      </c>
      <c r="B64" s="148">
        <f>'KWH &amp; Rev 2015'!E67</f>
        <v>2760897</v>
      </c>
      <c r="C64" s="142">
        <f>'KWH &amp; Rev 2015'!G25</f>
        <v>18325706</v>
      </c>
      <c r="D64" s="142">
        <f>'KWH &amp; Rev 2015'!H25</f>
        <v>42</v>
      </c>
      <c r="E64" s="149">
        <f t="shared" si="7"/>
        <v>436326.3333333333</v>
      </c>
      <c r="F64" s="150">
        <f t="shared" si="8"/>
        <v>15.065706063384408</v>
      </c>
      <c r="G64" s="151">
        <f t="shared" si="6"/>
        <v>7</v>
      </c>
      <c r="H64" s="3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5" customHeight="1">
      <c r="A65" s="147" t="s">
        <v>17</v>
      </c>
      <c r="B65" s="148">
        <f>'KWH &amp; Rev 2015'!E68</f>
        <v>0</v>
      </c>
      <c r="C65" s="142">
        <f>'KWH &amp; Rev 2015'!G26</f>
        <v>0</v>
      </c>
      <c r="D65" s="142">
        <f>'KWH &amp; Rev 2015'!H26</f>
        <v>0</v>
      </c>
      <c r="E65" s="166" t="s">
        <v>36</v>
      </c>
      <c r="F65" s="166"/>
      <c r="G65" s="151" t="str">
        <f t="shared" si="6"/>
        <v>No Ind. Sales</v>
      </c>
      <c r="H65" s="3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5" customHeight="1">
      <c r="A66" s="176" t="s">
        <v>18</v>
      </c>
      <c r="B66" s="177">
        <f>'KWH &amp; Rev 2015'!E69</f>
        <v>1879922</v>
      </c>
      <c r="C66" s="178">
        <f>'KWH &amp; Rev 2015'!G27</f>
        <v>14691062</v>
      </c>
      <c r="D66" s="178">
        <f>'KWH &amp; Rev 2015'!H27</f>
        <v>16</v>
      </c>
      <c r="E66" s="179">
        <f t="shared" si="7"/>
        <v>918191.375</v>
      </c>
      <c r="F66" s="180">
        <f t="shared" si="8"/>
        <v>12.796365572482099</v>
      </c>
      <c r="G66" s="175">
        <f t="shared" si="6"/>
        <v>4</v>
      </c>
      <c r="H66" s="3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5" customHeight="1">
      <c r="A67" s="147" t="s">
        <v>19</v>
      </c>
      <c r="B67" s="148">
        <f>'KWH &amp; Rev 2015'!E70</f>
        <v>1034319</v>
      </c>
      <c r="C67" s="142">
        <f>'KWH &amp; Rev 2015'!G28</f>
        <v>6787400</v>
      </c>
      <c r="D67" s="142">
        <f>'KWH &amp; Rev 2015'!H28</f>
        <v>1</v>
      </c>
      <c r="E67" s="149">
        <f t="shared" si="7"/>
        <v>6787400</v>
      </c>
      <c r="F67" s="150">
        <f t="shared" si="8"/>
        <v>15.238810148215812</v>
      </c>
      <c r="G67" s="151">
        <f t="shared" si="6"/>
        <v>8</v>
      </c>
      <c r="H67" s="3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5" customHeight="1">
      <c r="A68" s="147" t="s">
        <v>20</v>
      </c>
      <c r="B68" s="204">
        <f>'KWH &amp; Rev 2015'!E71</f>
        <v>1417237</v>
      </c>
      <c r="C68" s="205">
        <f>'KWH &amp; Rev 2015'!G29</f>
        <v>8323200</v>
      </c>
      <c r="D68" s="205">
        <f>'KWH &amp; Rev 2015'!H29</f>
        <v>1</v>
      </c>
      <c r="E68" s="149">
        <f>C68/D68</f>
        <v>8323200</v>
      </c>
      <c r="F68" s="150">
        <f>(B68/C68)*100</f>
        <v>17.027549500192237</v>
      </c>
      <c r="G68" s="151">
        <f t="shared" si="6"/>
        <v>10</v>
      </c>
      <c r="H68" s="3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5" customHeight="1">
      <c r="A69" s="147" t="s">
        <v>21</v>
      </c>
      <c r="B69" s="148">
        <f>'KWH &amp; Rev 2015'!E72</f>
        <v>0</v>
      </c>
      <c r="C69" s="142">
        <f>'KWH &amp; Rev 2015'!G30</f>
        <v>0</v>
      </c>
      <c r="D69" s="142">
        <f>'KWH &amp; Rev 2015'!H30</f>
        <v>0</v>
      </c>
      <c r="E69" s="166" t="s">
        <v>36</v>
      </c>
      <c r="F69" s="150"/>
      <c r="G69" s="151" t="str">
        <f t="shared" si="6"/>
        <v>No Ind. Sales</v>
      </c>
      <c r="H69" s="3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5" customHeight="1">
      <c r="A70" s="176" t="s">
        <v>22</v>
      </c>
      <c r="B70" s="177">
        <f>'KWH &amp; Rev 2015'!E73</f>
        <v>10729262</v>
      </c>
      <c r="C70" s="178">
        <f>'KWH &amp; Rev 2015'!G31</f>
        <v>99248675</v>
      </c>
      <c r="D70" s="178">
        <f>'KWH &amp; Rev 2015'!H31</f>
        <v>13</v>
      </c>
      <c r="E70" s="179">
        <f>C70/D70</f>
        <v>7634513.461538462</v>
      </c>
      <c r="F70" s="180">
        <f>(B70/C70)*100</f>
        <v>10.810483867920654</v>
      </c>
      <c r="G70" s="175">
        <f t="shared" si="6"/>
        <v>2</v>
      </c>
      <c r="H70" s="3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5" customHeight="1" thickBot="1">
      <c r="A71" s="152" t="s">
        <v>23</v>
      </c>
      <c r="B71" s="214">
        <f>'KWH &amp; Rev 2015'!E74</f>
        <v>494322</v>
      </c>
      <c r="C71" s="215">
        <f>'KWH &amp; Rev 2015'!G32</f>
        <v>3548648</v>
      </c>
      <c r="D71" s="215">
        <f>'KWH &amp; Rev 2015'!H32</f>
        <v>11</v>
      </c>
      <c r="E71" s="155">
        <f>C71/D71</f>
        <v>322604.36363636365</v>
      </c>
      <c r="F71" s="156">
        <f>(B71/C71)*100</f>
        <v>13.929868502032322</v>
      </c>
      <c r="G71" s="157">
        <f t="shared" si="6"/>
        <v>6</v>
      </c>
      <c r="H71" s="3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5" customHeight="1" thickBot="1">
      <c r="A72" s="158" t="s">
        <v>24</v>
      </c>
      <c r="B72" s="159">
        <f>SUM(B55:B71)</f>
        <v>144757468.56</v>
      </c>
      <c r="C72" s="160">
        <f>SUM(C55:C71)</f>
        <v>1394245704</v>
      </c>
      <c r="D72" s="160">
        <f>SUM(D55:D71)</f>
        <v>230</v>
      </c>
      <c r="E72" s="155">
        <f>C72/D72</f>
        <v>6061937.843478261</v>
      </c>
      <c r="F72" s="156">
        <f>(B72/C72)*100</f>
        <v>10.38249342599373</v>
      </c>
      <c r="G72" s="15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5" customHeight="1">
      <c r="A73" s="118" t="str">
        <f>'KWH &amp; Rev 2015'!B91</f>
        <v>Sources:   The 2015 Annual Reports sent to the PSD from the responding utilities</v>
      </c>
      <c r="B73" s="17"/>
      <c r="C73" s="23"/>
      <c r="D73" s="23"/>
      <c r="E73" s="15"/>
      <c r="F73" s="16"/>
      <c r="G73" s="1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8">
      <c r="A74" s="182" t="s">
        <v>80</v>
      </c>
      <c r="B74" s="37"/>
      <c r="C74" s="37"/>
      <c r="D74" s="37"/>
      <c r="E74" s="37"/>
      <c r="F74" s="24"/>
      <c r="G74" s="24"/>
      <c r="H74" s="9"/>
      <c r="I74" s="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9.5" customHeight="1">
      <c r="A75" s="85" t="s">
        <v>41</v>
      </c>
      <c r="B75" s="85"/>
      <c r="C75" s="85"/>
      <c r="D75" s="85"/>
      <c r="E75" s="99"/>
      <c r="F75" s="100"/>
      <c r="G75" s="18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5" customHeight="1">
      <c r="A76" s="85" t="s">
        <v>42</v>
      </c>
      <c r="B76" s="85"/>
      <c r="C76" s="85"/>
      <c r="D76" s="85"/>
      <c r="E76" s="99"/>
      <c r="F76" s="100"/>
      <c r="G76" s="18"/>
      <c r="H76" s="3"/>
      <c r="I76" s="3"/>
      <c r="J76" s="8"/>
      <c r="K76" s="8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5" customHeight="1" thickBot="1">
      <c r="A77" s="108">
        <f>A5</f>
        <v>2015</v>
      </c>
      <c r="B77" s="103"/>
      <c r="C77" s="103"/>
      <c r="D77" s="103"/>
      <c r="E77" s="103"/>
      <c r="F77" s="103"/>
      <c r="G77" s="19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30" customHeight="1" thickBot="1">
      <c r="A78" s="167" t="s">
        <v>0</v>
      </c>
      <c r="B78" s="168" t="s">
        <v>34</v>
      </c>
      <c r="C78" s="168" t="s">
        <v>2</v>
      </c>
      <c r="D78" s="168" t="s">
        <v>35</v>
      </c>
      <c r="E78" s="169" t="s">
        <v>5</v>
      </c>
      <c r="F78" s="168" t="s">
        <v>6</v>
      </c>
      <c r="G78" s="1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5.75">
      <c r="A79" s="140" t="s">
        <v>7</v>
      </c>
      <c r="B79" s="141">
        <f>'KWH &amp; Rev 2015'!H58</f>
        <v>2434025</v>
      </c>
      <c r="C79" s="143">
        <f>'KWH &amp; Rev 2015'!K16</f>
        <v>13874258</v>
      </c>
      <c r="D79" s="143">
        <f>'KWH &amp; Rev 2015'!L16</f>
        <v>2112</v>
      </c>
      <c r="E79" s="145">
        <f aca="true" t="shared" si="9" ref="E79:E96">B79/C79*100</f>
        <v>17.54346070254712</v>
      </c>
      <c r="F79" s="146">
        <f aca="true" t="shared" si="10" ref="F79:F95">RANK(E79,$E$79:$E$95,1)</f>
        <v>13</v>
      </c>
      <c r="G79" s="3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5.75">
      <c r="A80" s="176" t="s">
        <v>8</v>
      </c>
      <c r="B80" s="177">
        <f>'KWH &amp; Rev 2015'!H59</f>
        <v>48362904</v>
      </c>
      <c r="C80" s="178">
        <f>'KWH &amp; Rev 2015'!K17</f>
        <v>344174489</v>
      </c>
      <c r="D80" s="178">
        <f>'KWH &amp; Rev 2015'!L17</f>
        <v>20605</v>
      </c>
      <c r="E80" s="180">
        <f t="shared" si="9"/>
        <v>14.05185612115487</v>
      </c>
      <c r="F80" s="175">
        <f t="shared" si="10"/>
        <v>3</v>
      </c>
      <c r="G80" s="3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5.75">
      <c r="A81" s="147" t="s">
        <v>9</v>
      </c>
      <c r="B81" s="148">
        <f>'KWH &amp; Rev 2015'!H60</f>
        <v>4100614</v>
      </c>
      <c r="C81" s="142">
        <f>'KWH &amp; Rev 2015'!K18</f>
        <v>26931925</v>
      </c>
      <c r="D81" s="142">
        <f>'KWH &amp; Rev 2015'!L18</f>
        <v>1727</v>
      </c>
      <c r="E81" s="150">
        <f t="shared" si="9"/>
        <v>15.225848133766895</v>
      </c>
      <c r="F81" s="151">
        <f t="shared" si="10"/>
        <v>6</v>
      </c>
      <c r="G81" s="3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5.75">
      <c r="A82" s="176" t="s">
        <v>10</v>
      </c>
      <c r="B82" s="177">
        <f>'KWH &amp; Rev 2015'!H61</f>
        <v>601457460</v>
      </c>
      <c r="C82" s="178">
        <f>'KWH &amp; Rev 2015'!K19</f>
        <v>4229975000</v>
      </c>
      <c r="D82" s="178">
        <f>'KWH &amp; Rev 2015'!L19</f>
        <v>260472</v>
      </c>
      <c r="E82" s="180">
        <f t="shared" si="9"/>
        <v>14.218936518537342</v>
      </c>
      <c r="F82" s="175">
        <f t="shared" si="10"/>
        <v>4</v>
      </c>
      <c r="G82" s="3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5.75">
      <c r="A83" s="147" t="s">
        <v>11</v>
      </c>
      <c r="B83" s="148">
        <f>'KWH &amp; Rev 2015'!H62</f>
        <v>5930238</v>
      </c>
      <c r="C83" s="142">
        <f>'KWH &amp; Rev 2015'!K20</f>
        <v>32934696</v>
      </c>
      <c r="D83" s="142">
        <f>'KWH &amp; Rev 2015'!L20</f>
        <v>4493</v>
      </c>
      <c r="E83" s="150">
        <f t="shared" si="9"/>
        <v>18.006050518881363</v>
      </c>
      <c r="F83" s="151">
        <f t="shared" si="10"/>
        <v>15</v>
      </c>
      <c r="G83" s="3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5.75">
      <c r="A84" s="147" t="s">
        <v>12</v>
      </c>
      <c r="B84" s="148">
        <f>'KWH &amp; Rev 2015'!H63</f>
        <v>2033138</v>
      </c>
      <c r="C84" s="142">
        <f>'KWH &amp; Rev 2015'!K21</f>
        <v>11078292</v>
      </c>
      <c r="D84" s="142">
        <f>'KWH &amp; Rev 2015'!L21</f>
        <v>1387</v>
      </c>
      <c r="E84" s="150">
        <f t="shared" si="9"/>
        <v>18.35244999860989</v>
      </c>
      <c r="F84" s="151">
        <f t="shared" si="10"/>
        <v>16</v>
      </c>
      <c r="G84" s="3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5.75">
      <c r="A85" s="147" t="s">
        <v>13</v>
      </c>
      <c r="B85" s="148">
        <f>'KWH &amp; Rev 2015'!H64</f>
        <v>843570</v>
      </c>
      <c r="C85" s="142">
        <f>'KWH &amp; Rev 2015'!K22</f>
        <v>4888381</v>
      </c>
      <c r="D85" s="142">
        <f>'KWH &amp; Rev 2015'!L22</f>
        <v>698</v>
      </c>
      <c r="E85" s="150">
        <f t="shared" si="9"/>
        <v>17.256633638008168</v>
      </c>
      <c r="F85" s="151">
        <f t="shared" si="10"/>
        <v>12</v>
      </c>
      <c r="G85" s="3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15.75">
      <c r="A86" s="147" t="s">
        <v>14</v>
      </c>
      <c r="B86" s="148">
        <f>'KWH &amp; Rev 2015'!H65</f>
        <v>2318923.54</v>
      </c>
      <c r="C86" s="142">
        <f>'KWH &amp; Rev 2015'!K23</f>
        <v>13206307</v>
      </c>
      <c r="D86" s="142">
        <f>'KWH &amp; Rev 2015'!L23</f>
        <v>943</v>
      </c>
      <c r="E86" s="150">
        <f t="shared" si="9"/>
        <v>17.55921273070511</v>
      </c>
      <c r="F86" s="151">
        <f t="shared" si="10"/>
        <v>14</v>
      </c>
      <c r="G86" s="3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5.75">
      <c r="A87" s="147" t="s">
        <v>15</v>
      </c>
      <c r="B87" s="148">
        <f>'KWH &amp; Rev 2015'!H66</f>
        <v>7227695</v>
      </c>
      <c r="C87" s="142">
        <f>'KWH &amp; Rev 2015'!K24</f>
        <v>46483843</v>
      </c>
      <c r="D87" s="142">
        <f>'KWH &amp; Rev 2015'!L24</f>
        <v>3637</v>
      </c>
      <c r="E87" s="150">
        <f t="shared" si="9"/>
        <v>15.54883274173351</v>
      </c>
      <c r="F87" s="151">
        <f t="shared" si="10"/>
        <v>8</v>
      </c>
      <c r="G87" s="3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5.75">
      <c r="A88" s="147" t="s">
        <v>16</v>
      </c>
      <c r="B88" s="148">
        <f>'KWH &amp; Rev 2015'!H67</f>
        <v>9542153</v>
      </c>
      <c r="C88" s="142">
        <f>'KWH &amp; Rev 2015'!K25</f>
        <v>61330575</v>
      </c>
      <c r="D88" s="142">
        <f>'KWH &amp; Rev 2015'!L25</f>
        <v>5742</v>
      </c>
      <c r="E88" s="150">
        <f t="shared" si="9"/>
        <v>15.558557864490915</v>
      </c>
      <c r="F88" s="151">
        <f t="shared" si="10"/>
        <v>9</v>
      </c>
      <c r="G88" s="3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5.75">
      <c r="A89" s="147" t="s">
        <v>17</v>
      </c>
      <c r="B89" s="148">
        <f>'KWH &amp; Rev 2015'!H68</f>
        <v>7085881</v>
      </c>
      <c r="C89" s="142">
        <f>'KWH &amp; Rev 2015'!K26</f>
        <v>45130156</v>
      </c>
      <c r="D89" s="142">
        <f>'KWH &amp; Rev 2015'!L26</f>
        <v>4012</v>
      </c>
      <c r="E89" s="150">
        <f t="shared" si="9"/>
        <v>15.700989378365987</v>
      </c>
      <c r="F89" s="151">
        <f t="shared" si="10"/>
        <v>10</v>
      </c>
      <c r="G89" s="3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5.75">
      <c r="A90" s="176" t="s">
        <v>18</v>
      </c>
      <c r="B90" s="177">
        <f>'KWH &amp; Rev 2015'!H69</f>
        <v>3915049</v>
      </c>
      <c r="C90" s="178">
        <f>'KWH &amp; Rev 2015'!K27</f>
        <v>29114161</v>
      </c>
      <c r="D90" s="178">
        <f>'KWH &amp; Rev 2015'!L27</f>
        <v>2210</v>
      </c>
      <c r="E90" s="180">
        <f t="shared" si="9"/>
        <v>13.447232774456388</v>
      </c>
      <c r="F90" s="175">
        <f t="shared" si="10"/>
        <v>2</v>
      </c>
      <c r="G90" s="3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5.75">
      <c r="A91" s="176" t="s">
        <v>19</v>
      </c>
      <c r="B91" s="177">
        <f>'KWH &amp; Rev 2015'!H70</f>
        <v>1872035</v>
      </c>
      <c r="C91" s="178">
        <f>'KWH &amp; Rev 2015'!K28</f>
        <v>13050035</v>
      </c>
      <c r="D91" s="178">
        <f>'KWH &amp; Rev 2015'!L28</f>
        <v>669</v>
      </c>
      <c r="E91" s="180">
        <f t="shared" si="9"/>
        <v>14.345057312106826</v>
      </c>
      <c r="F91" s="175">
        <f t="shared" si="10"/>
        <v>5</v>
      </c>
      <c r="G91" s="3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5.75">
      <c r="A92" s="147" t="s">
        <v>20</v>
      </c>
      <c r="B92" s="148">
        <f>'KWH &amp; Rev 2015'!H71</f>
        <v>11384545</v>
      </c>
      <c r="C92" s="142">
        <f>'KWH &amp; Rev 2015'!K29</f>
        <v>73703521</v>
      </c>
      <c r="D92" s="142">
        <f>'KWH &amp; Rev 2015'!L29</f>
        <v>4103</v>
      </c>
      <c r="E92" s="150">
        <f t="shared" si="9"/>
        <v>15.446405877949848</v>
      </c>
      <c r="F92" s="151">
        <f t="shared" si="10"/>
        <v>7</v>
      </c>
      <c r="G92" s="3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5.75">
      <c r="A93" s="176" t="s">
        <v>21</v>
      </c>
      <c r="B93" s="177">
        <f>'KWH &amp; Rev 2015'!H72</f>
        <v>7184230</v>
      </c>
      <c r="C93" s="178">
        <f>'KWH &amp; Rev 2015'!K30</f>
        <v>54970014</v>
      </c>
      <c r="D93" s="178">
        <f>'KWH &amp; Rev 2015'!L30</f>
        <v>3668</v>
      </c>
      <c r="E93" s="180">
        <f t="shared" si="9"/>
        <v>13.069361779678646</v>
      </c>
      <c r="F93" s="175">
        <f t="shared" si="10"/>
        <v>1</v>
      </c>
      <c r="G93" s="3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5.75">
      <c r="A94" s="147" t="s">
        <v>22</v>
      </c>
      <c r="B94" s="148">
        <f>'KWH &amp; Rev 2015'!H73</f>
        <v>73836307</v>
      </c>
      <c r="C94" s="142">
        <f>'KWH &amp; Rev 2015'!K31</f>
        <v>446283112</v>
      </c>
      <c r="D94" s="142">
        <f>'KWH &amp; Rev 2015'!L31</f>
        <v>38428</v>
      </c>
      <c r="E94" s="150">
        <f t="shared" si="9"/>
        <v>16.544723520705396</v>
      </c>
      <c r="F94" s="151">
        <f t="shared" si="10"/>
        <v>11</v>
      </c>
      <c r="G94" s="3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6.5" thickBot="1">
      <c r="A95" s="152" t="s">
        <v>23</v>
      </c>
      <c r="B95" s="153">
        <f>'KWH &amp; Rev 2015'!H74</f>
        <v>13735844</v>
      </c>
      <c r="C95" s="154">
        <f>'KWH &amp; Rev 2015'!K32</f>
        <v>69698998</v>
      </c>
      <c r="D95" s="154">
        <f>'KWH &amp; Rev 2015'!L32</f>
        <v>10895</v>
      </c>
      <c r="E95" s="156">
        <f t="shared" si="9"/>
        <v>19.707376568024692</v>
      </c>
      <c r="F95" s="157">
        <f t="shared" si="10"/>
        <v>17</v>
      </c>
      <c r="G95" s="3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6.5" thickBot="1">
      <c r="A96" s="158" t="s">
        <v>24</v>
      </c>
      <c r="B96" s="159">
        <f>SUM(B79:B95)</f>
        <v>803264611.54</v>
      </c>
      <c r="C96" s="160">
        <f>SUM(C79:C95)</f>
        <v>5516827763</v>
      </c>
      <c r="D96" s="160">
        <f>SUM(D79:D95)</f>
        <v>365801</v>
      </c>
      <c r="E96" s="170">
        <f t="shared" si="9"/>
        <v>14.56026263729488</v>
      </c>
      <c r="F96" s="171"/>
      <c r="G96" s="1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5.75" thickBot="1">
      <c r="A97" s="114" t="str">
        <f>'KWH &amp; Rev 2015'!B91</f>
        <v>Sources:   The 2015 Annual Reports sent to the PSD from the responding utilities</v>
      </c>
      <c r="B97" s="115"/>
      <c r="C97" s="116"/>
      <c r="D97" s="117"/>
      <c r="E97" s="107"/>
      <c r="F97" s="90"/>
      <c r="G97" s="1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5">
      <c r="A98" s="182" t="s">
        <v>80</v>
      </c>
      <c r="B98" s="23"/>
      <c r="C98" s="23"/>
      <c r="D98" s="23"/>
      <c r="E98" s="15"/>
      <c r="F98" s="16"/>
      <c r="G98" s="1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5">
      <c r="A99" s="197"/>
      <c r="B99" s="197"/>
      <c r="C99" s="198"/>
      <c r="D99" s="199"/>
      <c r="E99" s="200"/>
      <c r="F99" s="16"/>
      <c r="G99" s="1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5">
      <c r="A100" s="20"/>
      <c r="B100" s="20"/>
      <c r="C100" s="20"/>
      <c r="D100" s="20"/>
      <c r="E100" s="21"/>
      <c r="F100" s="22"/>
      <c r="G100" s="2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5">
      <c r="A101" s="20"/>
      <c r="B101" s="25"/>
      <c r="C101" s="26"/>
      <c r="D101" s="21"/>
      <c r="E101" s="22"/>
      <c r="F101" s="20"/>
      <c r="G101" s="2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7" ht="12.75">
      <c r="A102" s="27"/>
      <c r="B102" s="27"/>
      <c r="C102" s="27"/>
      <c r="D102" s="27"/>
      <c r="E102" s="27"/>
      <c r="F102" s="27"/>
      <c r="G102" s="27"/>
    </row>
    <row r="103" spans="1:7" ht="12.75">
      <c r="A103" s="27"/>
      <c r="B103" s="27"/>
      <c r="C103" s="27"/>
      <c r="D103" s="27"/>
      <c r="E103" s="27"/>
      <c r="F103" s="27"/>
      <c r="G103" s="27"/>
    </row>
    <row r="104" spans="1:7" ht="12.75">
      <c r="A104" s="27"/>
      <c r="B104" s="27"/>
      <c r="C104" s="27"/>
      <c r="D104" s="27"/>
      <c r="E104" s="27"/>
      <c r="F104" s="27"/>
      <c r="G104" s="27"/>
    </row>
    <row r="105" spans="1:7" ht="12.75">
      <c r="A105" s="27"/>
      <c r="B105" s="27"/>
      <c r="C105" s="27"/>
      <c r="D105" s="27"/>
      <c r="E105" s="27"/>
      <c r="F105" s="27"/>
      <c r="G105" s="27"/>
    </row>
    <row r="106" spans="1:7" ht="12.75">
      <c r="A106" s="27"/>
      <c r="B106" s="27"/>
      <c r="C106" s="27"/>
      <c r="D106" s="27"/>
      <c r="E106" s="27"/>
      <c r="F106" s="27"/>
      <c r="G106" s="27"/>
    </row>
    <row r="107" spans="1:7" ht="12.75">
      <c r="A107" s="27"/>
      <c r="B107" s="27"/>
      <c r="C107" s="27"/>
      <c r="D107" s="27"/>
      <c r="E107" s="27"/>
      <c r="F107" s="27"/>
      <c r="G107" s="27"/>
    </row>
    <row r="108" spans="1:7" ht="12.75">
      <c r="A108" s="27"/>
      <c r="B108" s="27"/>
      <c r="C108" s="27"/>
      <c r="D108" s="27"/>
      <c r="E108" s="27"/>
      <c r="F108" s="27"/>
      <c r="G108" s="27"/>
    </row>
    <row r="109" spans="1:7" ht="12.75">
      <c r="A109" s="27"/>
      <c r="B109" s="27"/>
      <c r="C109" s="27"/>
      <c r="D109" s="27"/>
      <c r="E109" s="27"/>
      <c r="F109" s="27"/>
      <c r="G109" s="27"/>
    </row>
    <row r="110" spans="1:7" ht="12.75">
      <c r="A110" s="27"/>
      <c r="B110" s="27"/>
      <c r="C110" s="27"/>
      <c r="D110" s="27"/>
      <c r="E110" s="27"/>
      <c r="F110" s="27"/>
      <c r="G110" s="27"/>
    </row>
    <row r="111" spans="1:7" ht="12.75">
      <c r="A111" s="27"/>
      <c r="B111" s="27"/>
      <c r="C111" s="27"/>
      <c r="D111" s="27"/>
      <c r="E111" s="27"/>
      <c r="F111" s="27"/>
      <c r="G111" s="27"/>
    </row>
    <row r="112" spans="1:7" ht="12.75">
      <c r="A112" s="27"/>
      <c r="B112" s="27"/>
      <c r="C112" s="27"/>
      <c r="D112" s="27"/>
      <c r="E112" s="27"/>
      <c r="F112" s="27"/>
      <c r="G112" s="27"/>
    </row>
    <row r="113" spans="1:7" ht="12.75">
      <c r="A113" s="27"/>
      <c r="B113" s="27"/>
      <c r="C113" s="27"/>
      <c r="D113" s="27"/>
      <c r="E113" s="27"/>
      <c r="F113" s="27"/>
      <c r="G113" s="27"/>
    </row>
    <row r="114" spans="1:7" ht="12.75">
      <c r="A114" s="27"/>
      <c r="B114" s="27"/>
      <c r="C114" s="27"/>
      <c r="D114" s="27"/>
      <c r="E114" s="27"/>
      <c r="F114" s="27"/>
      <c r="G114" s="27"/>
    </row>
    <row r="115" spans="1:7" ht="12.75">
      <c r="A115" s="27"/>
      <c r="B115" s="27"/>
      <c r="C115" s="27"/>
      <c r="D115" s="27"/>
      <c r="E115" s="27"/>
      <c r="F115" s="27"/>
      <c r="G115" s="27"/>
    </row>
    <row r="116" spans="1:7" ht="12.75">
      <c r="A116" s="28"/>
      <c r="B116" s="28"/>
      <c r="C116" s="28"/>
      <c r="D116" s="28"/>
      <c r="E116" s="28"/>
      <c r="F116" s="28"/>
      <c r="G116" s="28"/>
    </row>
    <row r="117" spans="1:7" ht="12.75">
      <c r="A117" s="28"/>
      <c r="B117" s="28"/>
      <c r="C117" s="28"/>
      <c r="D117" s="28"/>
      <c r="E117" s="28"/>
      <c r="F117" s="28"/>
      <c r="G117" s="28"/>
    </row>
    <row r="118" spans="1:7" ht="12.75">
      <c r="A118" s="28"/>
      <c r="B118" s="28"/>
      <c r="C118" s="28"/>
      <c r="D118" s="28"/>
      <c r="E118" s="28"/>
      <c r="F118" s="28"/>
      <c r="G118" s="28"/>
    </row>
    <row r="119" spans="1:7" ht="12.75">
      <c r="A119" s="28"/>
      <c r="B119" s="28"/>
      <c r="C119" s="28"/>
      <c r="D119" s="28"/>
      <c r="E119" s="28"/>
      <c r="F119" s="28"/>
      <c r="G119" s="28"/>
    </row>
    <row r="120" spans="1:7" ht="12.75">
      <c r="A120" s="28"/>
      <c r="B120" s="28"/>
      <c r="C120" s="28"/>
      <c r="D120" s="28"/>
      <c r="E120" s="28"/>
      <c r="F120" s="28"/>
      <c r="G120" s="28"/>
    </row>
    <row r="121" spans="1:7" ht="12.75">
      <c r="A121" s="28"/>
      <c r="B121" s="28"/>
      <c r="C121" s="28"/>
      <c r="D121" s="28"/>
      <c r="E121" s="28"/>
      <c r="F121" s="28"/>
      <c r="G121" s="28"/>
    </row>
    <row r="122" spans="1:7" ht="12.75">
      <c r="A122" s="28"/>
      <c r="B122" s="28"/>
      <c r="C122" s="28"/>
      <c r="D122" s="28"/>
      <c r="E122" s="28"/>
      <c r="F122" s="28"/>
      <c r="G122" s="28"/>
    </row>
    <row r="123" spans="1:7" ht="12.75">
      <c r="A123" s="28"/>
      <c r="B123" s="28"/>
      <c r="C123" s="28"/>
      <c r="D123" s="28"/>
      <c r="E123" s="28"/>
      <c r="F123" s="28"/>
      <c r="G123" s="28"/>
    </row>
    <row r="124" spans="1:7" ht="12.75">
      <c r="A124" s="28"/>
      <c r="B124" s="28"/>
      <c r="C124" s="28"/>
      <c r="D124" s="28"/>
      <c r="E124" s="28"/>
      <c r="F124" s="28"/>
      <c r="G124" s="28"/>
    </row>
    <row r="125" spans="1:7" ht="12.75">
      <c r="A125" s="28"/>
      <c r="B125" s="28"/>
      <c r="C125" s="28"/>
      <c r="D125" s="28"/>
      <c r="E125" s="28"/>
      <c r="F125" s="28"/>
      <c r="G125" s="28"/>
    </row>
    <row r="126" spans="1:7" ht="12.75">
      <c r="A126" s="28"/>
      <c r="B126" s="28"/>
      <c r="C126" s="28"/>
      <c r="D126" s="28"/>
      <c r="E126" s="28"/>
      <c r="F126" s="28"/>
      <c r="G126" s="28"/>
    </row>
    <row r="127" spans="1:7" ht="12.75">
      <c r="A127" s="28"/>
      <c r="B127" s="28"/>
      <c r="C127" s="28"/>
      <c r="D127" s="28"/>
      <c r="E127" s="28"/>
      <c r="F127" s="28"/>
      <c r="G127" s="28"/>
    </row>
    <row r="128" spans="1:7" ht="12.75">
      <c r="A128" s="28"/>
      <c r="B128" s="28"/>
      <c r="C128" s="28"/>
      <c r="D128" s="28"/>
      <c r="E128" s="28"/>
      <c r="F128" s="28"/>
      <c r="G128" s="28"/>
    </row>
  </sheetData>
  <sheetProtection/>
  <printOptions gridLines="1"/>
  <pageMargins left="1.25" right="1" top="0.3" bottom="0.25" header="0.5" footer="0.5"/>
  <pageSetup blackAndWhite="1" horizontalDpi="600" verticalDpi="600" orientation="portrait" scale="64" r:id="rId2"/>
  <rowBreaks count="2" manualBreakCount="2">
    <brk id="49" max="255" man="1"/>
    <brk id="9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 Kundrath</dc:creator>
  <cp:keywords/>
  <dc:description/>
  <cp:lastModifiedBy>Ziegler, Tod</cp:lastModifiedBy>
  <cp:lastPrinted>2015-06-15T14:12:45Z</cp:lastPrinted>
  <dcterms:created xsi:type="dcterms:W3CDTF">2005-01-03T15:34:36Z</dcterms:created>
  <dcterms:modified xsi:type="dcterms:W3CDTF">2016-09-14T18:07:04Z</dcterms:modified>
  <cp:category/>
  <cp:version/>
  <cp:contentType/>
  <cp:contentStatus/>
</cp:coreProperties>
</file>