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checkCompatibility="1"/>
  <mc:AlternateContent xmlns:mc="http://schemas.openxmlformats.org/markup-compatibility/2006">
    <mc:Choice Requires="x15">
      <x15ac:absPath xmlns:x15ac="http://schemas.microsoft.com/office/spreadsheetml/2010/11/ac" url="https://vermontgov.sharepoint.com/teams/PSD-PERDTeam/Shared Documents/Act 174/2022 Updates/Data Tools/"/>
    </mc:Choice>
  </mc:AlternateContent>
  <xr:revisionPtr revIDLastSave="1200" documentId="8_{B9735731-9F2C-49BD-8761-0180F5897FA8}" xr6:coauthVersionLast="47" xr6:coauthVersionMax="47" xr10:uidLastSave="{9F816CCE-E0EA-4B96-9E3B-ABC900549562}"/>
  <bookViews>
    <workbookView xWindow="-28920" yWindow="-120" windowWidth="29040" windowHeight="15840" tabRatio="838" xr2:uid="{00000000-000D-0000-FFFF-FFFF00000000}"/>
  </bookViews>
  <sheets>
    <sheet name="Instructions" sheetId="192" r:id="rId1"/>
    <sheet name="LEAP Scenario" sheetId="171" r:id="rId2"/>
    <sheet name="1.Current Trans" sheetId="185" r:id="rId3"/>
    <sheet name="1.Current Heat" sheetId="186" r:id="rId4"/>
    <sheet name="2.Heat Targets" sheetId="188" r:id="rId5"/>
    <sheet name="2.Trans Targets" sheetId="189" r:id="rId6"/>
    <sheet name="Exchange Example" sheetId="193" r:id="rId7"/>
  </sheets>
  <definedNames>
    <definedName name="COP">2.5</definedName>
    <definedName name="fossilBtu">(0.95*120400)+(0.05*137570)</definedName>
    <definedName name="VTpopulation2013">627129</definedName>
    <definedName name="VTpopulation2014">626767</definedName>
    <definedName name="VTpopulation2015">626042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186" l="1"/>
  <c r="E86" i="188" l="1"/>
  <c r="D86" i="188"/>
  <c r="C86" i="188"/>
  <c r="O9" i="193"/>
  <c r="E43" i="188"/>
  <c r="D43" i="188"/>
  <c r="C43" i="188"/>
  <c r="B43" i="188"/>
  <c r="E39" i="188"/>
  <c r="D39" i="188"/>
  <c r="C39" i="188"/>
  <c r="B39" i="188"/>
  <c r="F59" i="171"/>
  <c r="E59" i="171"/>
  <c r="D59" i="171"/>
  <c r="C59" i="171"/>
  <c r="B4" i="185" l="1"/>
  <c r="E26" i="189" l="1"/>
  <c r="E24" i="189"/>
  <c r="E25" i="189" s="1"/>
  <c r="D24" i="189"/>
  <c r="D25" i="189" s="1"/>
  <c r="C24" i="189"/>
  <c r="C25" i="189" s="1"/>
  <c r="B24" i="189"/>
  <c r="B25" i="189" s="1"/>
  <c r="B21" i="189"/>
  <c r="C21" i="189"/>
  <c r="D21" i="189"/>
  <c r="E21" i="189"/>
  <c r="E20" i="189"/>
  <c r="D20" i="189"/>
  <c r="C20" i="189"/>
  <c r="B20" i="189"/>
  <c r="E18" i="189"/>
  <c r="D18" i="189"/>
  <c r="C18" i="189"/>
  <c r="B18" i="189"/>
  <c r="C23" i="189" l="1"/>
  <c r="D23" i="189"/>
  <c r="E23" i="189"/>
  <c r="B19" i="189"/>
  <c r="E91" i="188" l="1"/>
  <c r="C91" i="188"/>
  <c r="B91" i="188"/>
  <c r="D91" i="188"/>
  <c r="E87" i="188"/>
  <c r="E88" i="188" s="1"/>
  <c r="D87" i="188"/>
  <c r="D88" i="188" s="1"/>
  <c r="C87" i="188"/>
  <c r="C88" i="188" s="1"/>
  <c r="B87" i="188"/>
  <c r="B88" i="188" s="1"/>
  <c r="E83" i="188"/>
  <c r="D83" i="188"/>
  <c r="C83" i="188"/>
  <c r="B83" i="188"/>
  <c r="E79" i="188"/>
  <c r="D79" i="188"/>
  <c r="D80" i="188" s="1"/>
  <c r="C79" i="188"/>
  <c r="C80" i="188" s="1"/>
  <c r="B79" i="188"/>
  <c r="B80" i="188" s="1"/>
  <c r="E71" i="188"/>
  <c r="D71" i="188"/>
  <c r="C71" i="188"/>
  <c r="B71" i="188"/>
  <c r="E67" i="188"/>
  <c r="E68" i="188" s="1"/>
  <c r="D67" i="188"/>
  <c r="D68" i="188" s="1"/>
  <c r="C67" i="188"/>
  <c r="C68" i="188" s="1"/>
  <c r="B67" i="188"/>
  <c r="E65" i="188"/>
  <c r="E66" i="188" s="1"/>
  <c r="D65" i="188"/>
  <c r="C65" i="188"/>
  <c r="B64" i="188"/>
  <c r="E64" i="188"/>
  <c r="D64" i="188"/>
  <c r="C64" i="188"/>
  <c r="E61" i="188"/>
  <c r="D61" i="188"/>
  <c r="C61" i="188"/>
  <c r="B61" i="188"/>
  <c r="E57" i="188"/>
  <c r="D57" i="188"/>
  <c r="D58" i="188" s="1"/>
  <c r="C57" i="188"/>
  <c r="C58" i="188" s="1"/>
  <c r="B57" i="188"/>
  <c r="B58" i="188" s="1"/>
  <c r="E44" i="188"/>
  <c r="E45" i="188" s="1"/>
  <c r="E46" i="188" s="1"/>
  <c r="D44" i="188"/>
  <c r="C44" i="188"/>
  <c r="B44" i="188"/>
  <c r="B45" i="188" s="1"/>
  <c r="E40" i="188"/>
  <c r="E41" i="188" s="1"/>
  <c r="D40" i="188"/>
  <c r="C40" i="188"/>
  <c r="B40" i="188"/>
  <c r="B41" i="188" s="1"/>
  <c r="E31" i="188"/>
  <c r="E34" i="188" s="1"/>
  <c r="E30" i="188"/>
  <c r="E33" i="188" s="1"/>
  <c r="D31" i="188"/>
  <c r="D34" i="188" s="1"/>
  <c r="D30" i="188"/>
  <c r="D33" i="188" s="1"/>
  <c r="C31" i="188"/>
  <c r="C34" i="188" s="1"/>
  <c r="C30" i="188"/>
  <c r="C33" i="188" s="1"/>
  <c r="E27" i="188"/>
  <c r="D27" i="188"/>
  <c r="C27" i="188"/>
  <c r="B27" i="188"/>
  <c r="E26" i="188"/>
  <c r="D26" i="188"/>
  <c r="C26" i="188"/>
  <c r="B26" i="188"/>
  <c r="E25" i="188"/>
  <c r="D25" i="188"/>
  <c r="C25" i="188"/>
  <c r="B25" i="188"/>
  <c r="E24" i="188"/>
  <c r="D24" i="188"/>
  <c r="C24" i="188"/>
  <c r="B24" i="188"/>
  <c r="E42" i="188" l="1"/>
  <c r="E47" i="188"/>
  <c r="E28" i="188"/>
  <c r="E80" i="188"/>
  <c r="B68" i="188"/>
  <c r="C45" i="188"/>
  <c r="D45" i="188" s="1"/>
  <c r="E58" i="188"/>
  <c r="C41" i="188"/>
  <c r="B28" i="188"/>
  <c r="B32" i="188"/>
  <c r="B34" i="188" s="1"/>
  <c r="I17" i="186"/>
  <c r="K31" i="186"/>
  <c r="K17" i="186"/>
  <c r="B14" i="186"/>
  <c r="B11" i="185"/>
  <c r="P7" i="193" l="1"/>
  <c r="Q7" i="193"/>
  <c r="R7" i="193"/>
  <c r="O7" i="193"/>
  <c r="P6" i="193"/>
  <c r="Q6" i="193"/>
  <c r="R6" i="193"/>
  <c r="O6" i="193"/>
  <c r="O34" i="193"/>
  <c r="T35" i="193"/>
  <c r="T36" i="193"/>
  <c r="T37" i="193"/>
  <c r="T38" i="193"/>
  <c r="T39" i="193"/>
  <c r="T40" i="193"/>
  <c r="T41" i="193"/>
  <c r="T42" i="193"/>
  <c r="T43" i="193"/>
  <c r="T44" i="193"/>
  <c r="T45" i="193"/>
  <c r="T46" i="193"/>
  <c r="T47" i="193"/>
  <c r="T34" i="193"/>
  <c r="T24" i="193"/>
  <c r="R22" i="193"/>
  <c r="Q22" i="193"/>
  <c r="P22" i="193"/>
  <c r="O22" i="193"/>
  <c r="B29" i="188"/>
  <c r="B30" i="188" s="1"/>
  <c r="B33" i="188" s="1"/>
  <c r="J33" i="193"/>
  <c r="K33" i="193"/>
  <c r="L33" i="193"/>
  <c r="I33" i="193"/>
  <c r="T29" i="193"/>
  <c r="T28" i="193"/>
  <c r="T27" i="193"/>
  <c r="T26" i="193"/>
  <c r="T25" i="193"/>
  <c r="T23" i="193"/>
  <c r="T22" i="193"/>
  <c r="T21" i="193"/>
  <c r="B50" i="188"/>
  <c r="O50" i="188" s="1"/>
  <c r="P15" i="193" l="1"/>
  <c r="P39" i="193" s="1"/>
  <c r="Q15" i="193"/>
  <c r="Q39" i="193" s="1"/>
  <c r="R15" i="193"/>
  <c r="R39" i="193" s="1"/>
  <c r="O15" i="193"/>
  <c r="O39" i="193" s="1"/>
  <c r="O40" i="193" s="1"/>
  <c r="P13" i="193"/>
  <c r="Q13" i="193"/>
  <c r="R13" i="193"/>
  <c r="O13" i="193"/>
  <c r="P9" i="193"/>
  <c r="Q9" i="193"/>
  <c r="R9" i="193"/>
  <c r="I20" i="193"/>
  <c r="J20" i="193"/>
  <c r="K20" i="193"/>
  <c r="L20" i="193"/>
  <c r="I26" i="193"/>
  <c r="O26" i="193" s="1"/>
  <c r="J26" i="193"/>
  <c r="K26" i="193"/>
  <c r="L26" i="193"/>
  <c r="J28" i="193"/>
  <c r="K28" i="193"/>
  <c r="L28" i="193"/>
  <c r="P28" i="193"/>
  <c r="Q28" i="193"/>
  <c r="R28" i="193"/>
  <c r="F16" i="193"/>
  <c r="R21" i="193" s="1"/>
  <c r="E16" i="193"/>
  <c r="Q21" i="193" s="1"/>
  <c r="D16" i="193"/>
  <c r="P21" i="193" s="1"/>
  <c r="C16" i="193"/>
  <c r="O21" i="193" s="1"/>
  <c r="L16" i="193"/>
  <c r="K16" i="193"/>
  <c r="J16" i="193"/>
  <c r="I16" i="193"/>
  <c r="R14" i="193"/>
  <c r="Q14" i="193"/>
  <c r="P14" i="193"/>
  <c r="O14" i="193"/>
  <c r="R12" i="193"/>
  <c r="Q12" i="193"/>
  <c r="P12" i="193"/>
  <c r="P45" i="193" s="1"/>
  <c r="O12" i="193"/>
  <c r="R11" i="193"/>
  <c r="Q11" i="193"/>
  <c r="Q35" i="193" s="1"/>
  <c r="Q36" i="193" s="1"/>
  <c r="P11" i="193"/>
  <c r="P35" i="193" s="1"/>
  <c r="P36" i="193" s="1"/>
  <c r="O11" i="193"/>
  <c r="O35" i="193" s="1"/>
  <c r="R10" i="193"/>
  <c r="Q10" i="193"/>
  <c r="P10" i="193"/>
  <c r="O10" i="193"/>
  <c r="O8" i="193"/>
  <c r="P8" i="193"/>
  <c r="Q8" i="193"/>
  <c r="R8" i="193"/>
  <c r="R45" i="193" l="1"/>
  <c r="Q45" i="193"/>
  <c r="R35" i="193"/>
  <c r="R36" i="193" s="1"/>
  <c r="O24" i="193"/>
  <c r="O42" i="193"/>
  <c r="O43" i="193" s="1"/>
  <c r="R42" i="193"/>
  <c r="R24" i="193"/>
  <c r="O36" i="193"/>
  <c r="O37" i="193"/>
  <c r="O45" i="193"/>
  <c r="O46" i="193" s="1"/>
  <c r="Q24" i="193"/>
  <c r="Q42" i="193"/>
  <c r="P42" i="193"/>
  <c r="P24" i="193"/>
  <c r="Q16" i="193"/>
  <c r="Q23" i="193" s="1"/>
  <c r="P16" i="193"/>
  <c r="P23" i="193" s="1"/>
  <c r="O16" i="193"/>
  <c r="O23" i="193" s="1"/>
  <c r="R16" i="193"/>
  <c r="R23" i="193" s="1"/>
  <c r="E19" i="189"/>
  <c r="O25" i="193" l="1"/>
  <c r="O27" i="193" s="1"/>
  <c r="Q25" i="193"/>
  <c r="Q27" i="193" s="1"/>
  <c r="Q29" i="193" s="1"/>
  <c r="Q34" i="193" s="1"/>
  <c r="R25" i="193"/>
  <c r="R27" i="193" s="1"/>
  <c r="R29" i="193" s="1"/>
  <c r="R34" i="193" s="1"/>
  <c r="P25" i="193"/>
  <c r="P27" i="193" s="1"/>
  <c r="P29" i="193" s="1"/>
  <c r="P34" i="193" s="1"/>
  <c r="J24" i="193"/>
  <c r="K24" i="193"/>
  <c r="L24" i="193"/>
  <c r="I24" i="193"/>
  <c r="J22" i="193"/>
  <c r="K22" i="193"/>
  <c r="L22" i="193"/>
  <c r="I22" i="193"/>
  <c r="R43" i="193" l="1"/>
  <c r="R44" i="193" s="1"/>
  <c r="R37" i="193"/>
  <c r="R38" i="193" s="1"/>
  <c r="R40" i="193"/>
  <c r="R41" i="193" s="1"/>
  <c r="R46" i="193"/>
  <c r="R47" i="193" s="1"/>
  <c r="Q46" i="193"/>
  <c r="Q47" i="193" s="1"/>
  <c r="Q37" i="193"/>
  <c r="Q38" i="193" s="1"/>
  <c r="Q40" i="193"/>
  <c r="Q41" i="193" s="1"/>
  <c r="Q43" i="193"/>
  <c r="Q44" i="193" s="1"/>
  <c r="P46" i="193"/>
  <c r="P47" i="193" s="1"/>
  <c r="P37" i="193"/>
  <c r="P38" i="193" s="1"/>
  <c r="P43" i="193"/>
  <c r="P44" i="193" s="1"/>
  <c r="P40" i="193"/>
  <c r="P41" i="193" s="1"/>
  <c r="J42" i="193" l="1"/>
  <c r="K42" i="193"/>
  <c r="L42" i="193"/>
  <c r="J45" i="193"/>
  <c r="K45" i="193"/>
  <c r="L45" i="193"/>
  <c r="O32" i="188"/>
  <c r="B14" i="185"/>
  <c r="I45" i="193" l="1"/>
  <c r="K36" i="193"/>
  <c r="K35" i="193"/>
  <c r="J35" i="193"/>
  <c r="J36" i="193"/>
  <c r="I36" i="193"/>
  <c r="I35" i="193"/>
  <c r="I42" i="193"/>
  <c r="L35" i="193"/>
  <c r="L36" i="193"/>
  <c r="O28" i="193"/>
  <c r="I28" i="193"/>
  <c r="B22" i="189"/>
  <c r="J39" i="193"/>
  <c r="K39" i="193"/>
  <c r="L39" i="193"/>
  <c r="I39" i="193"/>
  <c r="B56" i="188"/>
  <c r="B69" i="188" s="1"/>
  <c r="B70" i="188" s="1"/>
  <c r="O22" i="189" l="1"/>
  <c r="B23" i="189"/>
  <c r="I43" i="193"/>
  <c r="C56" i="188"/>
  <c r="B62" i="188"/>
  <c r="B59" i="188"/>
  <c r="B72" i="188"/>
  <c r="I46" i="193" s="1"/>
  <c r="B46" i="188"/>
  <c r="B42" i="188"/>
  <c r="O29" i="193"/>
  <c r="O41" i="193"/>
  <c r="O47" i="193"/>
  <c r="O38" i="193"/>
  <c r="O44" i="193"/>
  <c r="I34" i="193"/>
  <c r="I44" i="193"/>
  <c r="C19" i="189"/>
  <c r="J21" i="193"/>
  <c r="K21" i="193"/>
  <c r="L21" i="193"/>
  <c r="J23" i="193"/>
  <c r="K23" i="193"/>
  <c r="I23" i="193"/>
  <c r="J31" i="186"/>
  <c r="D19" i="189" l="1"/>
  <c r="C59" i="188"/>
  <c r="C69" i="188"/>
  <c r="C70" i="188" s="1"/>
  <c r="B47" i="188"/>
  <c r="I21" i="193"/>
  <c r="B63" i="188"/>
  <c r="I41" i="193" s="1"/>
  <c r="I40" i="193"/>
  <c r="B60" i="188"/>
  <c r="I38" i="193" s="1"/>
  <c r="I37" i="193"/>
  <c r="B73" i="188"/>
  <c r="I47" i="193" s="1"/>
  <c r="C42" i="188"/>
  <c r="D28" i="188"/>
  <c r="C28" i="188"/>
  <c r="B10" i="186"/>
  <c r="K18" i="186"/>
  <c r="G30" i="186"/>
  <c r="G29" i="186"/>
  <c r="G28" i="186"/>
  <c r="G27" i="186"/>
  <c r="G26" i="186"/>
  <c r="G25" i="186"/>
  <c r="G24" i="186"/>
  <c r="G23" i="186"/>
  <c r="G22" i="186"/>
  <c r="G21" i="186"/>
  <c r="G20" i="186"/>
  <c r="G19" i="186"/>
  <c r="G18" i="186"/>
  <c r="G17" i="186"/>
  <c r="B26" i="185"/>
  <c r="B28" i="185" s="1"/>
  <c r="B13" i="185"/>
  <c r="C46" i="188" l="1"/>
  <c r="C47" i="188" s="1"/>
  <c r="D41" i="188"/>
  <c r="D42" i="188" s="1"/>
  <c r="J25" i="193"/>
  <c r="K25" i="193"/>
  <c r="I25" i="193"/>
  <c r="B15" i="185"/>
  <c r="B16" i="185"/>
  <c r="B18" i="185" s="1"/>
  <c r="K27" i="186"/>
  <c r="K21" i="186"/>
  <c r="H20" i="186"/>
  <c r="I20" i="186" s="1"/>
  <c r="H24" i="186"/>
  <c r="I24" i="186" s="1"/>
  <c r="H28" i="186"/>
  <c r="I28" i="186" s="1"/>
  <c r="K25" i="186"/>
  <c r="K20" i="186"/>
  <c r="H18" i="186"/>
  <c r="I18" i="186" s="1"/>
  <c r="H21" i="186"/>
  <c r="I21" i="186" s="1"/>
  <c r="H25" i="186"/>
  <c r="I25" i="186" s="1"/>
  <c r="H29" i="186"/>
  <c r="I29" i="186" s="1"/>
  <c r="K29" i="186"/>
  <c r="K24" i="186"/>
  <c r="K19" i="186"/>
  <c r="K28" i="186"/>
  <c r="K23" i="186"/>
  <c r="H27" i="186"/>
  <c r="I27" i="186" s="1"/>
  <c r="H23" i="186"/>
  <c r="I23" i="186" s="1"/>
  <c r="H19" i="186"/>
  <c r="I19" i="186" s="1"/>
  <c r="H30" i="186"/>
  <c r="I30" i="186" s="1"/>
  <c r="H26" i="186"/>
  <c r="I26" i="186" s="1"/>
  <c r="H22" i="186"/>
  <c r="I22" i="186" s="1"/>
  <c r="K30" i="186"/>
  <c r="K26" i="186"/>
  <c r="K22" i="186"/>
  <c r="D46" i="188" l="1"/>
  <c r="L23" i="193"/>
  <c r="K27" i="193"/>
  <c r="I29" i="193"/>
  <c r="I27" i="193"/>
  <c r="J27" i="193"/>
  <c r="B19" i="185"/>
  <c r="B15" i="186"/>
  <c r="B33" i="186" s="1"/>
  <c r="B4" i="186" l="1"/>
  <c r="B78" i="188"/>
  <c r="B89" i="188" s="1"/>
  <c r="B90" i="188" s="1"/>
  <c r="B48" i="188"/>
  <c r="E49" i="188" s="1"/>
  <c r="E51" i="188" s="1"/>
  <c r="B26" i="189"/>
  <c r="D47" i="188"/>
  <c r="J29" i="193"/>
  <c r="D56" i="188"/>
  <c r="D69" i="188" s="1"/>
  <c r="D70" i="188" s="1"/>
  <c r="K29" i="193"/>
  <c r="L25" i="193"/>
  <c r="B81" i="188" l="1"/>
  <c r="B82" i="188" s="1"/>
  <c r="C49" i="188"/>
  <c r="C51" i="188" s="1"/>
  <c r="C78" i="188" s="1"/>
  <c r="C89" i="188" s="1"/>
  <c r="C90" i="188" s="1"/>
  <c r="B49" i="188"/>
  <c r="B51" i="188" s="1"/>
  <c r="D49" i="188"/>
  <c r="D51" i="188" s="1"/>
  <c r="D78" i="188" s="1"/>
  <c r="D89" i="188" s="1"/>
  <c r="D90" i="188" s="1"/>
  <c r="B92" i="188"/>
  <c r="B93" i="188" s="1"/>
  <c r="B84" i="188"/>
  <c r="B85" i="188" s="1"/>
  <c r="E78" i="188"/>
  <c r="E89" i="188" s="1"/>
  <c r="E90" i="188" s="1"/>
  <c r="C26" i="189"/>
  <c r="D26" i="189" s="1"/>
  <c r="K34" i="193"/>
  <c r="K43" i="193"/>
  <c r="J43" i="193"/>
  <c r="J34" i="193"/>
  <c r="D59" i="188"/>
  <c r="D72" i="188"/>
  <c r="D62" i="188"/>
  <c r="L27" i="193"/>
  <c r="C72" i="188"/>
  <c r="C62" i="188"/>
  <c r="E81" i="188" l="1"/>
  <c r="E82" i="188" s="1"/>
  <c r="E84" i="188"/>
  <c r="E85" i="188" s="1"/>
  <c r="C84" i="188"/>
  <c r="C85" i="188" s="1"/>
  <c r="D84" i="188"/>
  <c r="D85" i="188" s="1"/>
  <c r="C92" i="188"/>
  <c r="C93" i="188" s="1"/>
  <c r="E92" i="188"/>
  <c r="E93" i="188" s="1"/>
  <c r="D81" i="188"/>
  <c r="D82" i="188" s="1"/>
  <c r="D66" i="188"/>
  <c r="K44" i="193" s="1"/>
  <c r="C81" i="188"/>
  <c r="C82" i="188" s="1"/>
  <c r="D92" i="188"/>
  <c r="D93" i="188" s="1"/>
  <c r="D63" i="188"/>
  <c r="K41" i="193" s="1"/>
  <c r="K40" i="193"/>
  <c r="D60" i="188"/>
  <c r="K38" i="193" s="1"/>
  <c r="K37" i="193"/>
  <c r="D73" i="188"/>
  <c r="K47" i="193" s="1"/>
  <c r="K46" i="193"/>
  <c r="C60" i="188"/>
  <c r="J38" i="193" s="1"/>
  <c r="J37" i="193"/>
  <c r="C63" i="188"/>
  <c r="J41" i="193" s="1"/>
  <c r="J40" i="193"/>
  <c r="C73" i="188"/>
  <c r="J47" i="193" s="1"/>
  <c r="J46" i="193"/>
  <c r="C66" i="188"/>
  <c r="J44" i="193" s="1"/>
  <c r="E56" i="188"/>
  <c r="L29" i="193"/>
  <c r="E59" i="188" l="1"/>
  <c r="E60" i="188" s="1"/>
  <c r="E69" i="188"/>
  <c r="E70" i="188" s="1"/>
  <c r="L43" i="193"/>
  <c r="L34" i="193"/>
  <c r="E62" i="188"/>
  <c r="E72" i="188"/>
  <c r="L44" i="193" l="1"/>
  <c r="L38" i="193"/>
  <c r="L37" i="193"/>
  <c r="E73" i="188"/>
  <c r="L47" i="193" s="1"/>
  <c r="L46" i="193"/>
  <c r="E63" i="188"/>
  <c r="L41" i="193" s="1"/>
  <c r="L40" i="19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McIlvennie, Claire</author>
    <author>Woodward, John</author>
  </authors>
  <commentList>
    <comment ref="J16" authorId="0" shapeId="0" xr:uid="{3FE8646D-2E9D-48BB-981A-BAD1EEA293A4}">
      <text>
        <r>
          <rPr>
            <b/>
            <sz val="9"/>
            <color indexed="81"/>
            <rFont val="Tahoma"/>
            <family val="2"/>
          </rPr>
          <t>McIlvennie, Claire:</t>
        </r>
        <r>
          <rPr>
            <sz val="9"/>
            <color indexed="81"/>
            <rFont val="Tahoma"/>
            <family val="2"/>
          </rPr>
          <t xml:space="preserve">
</t>
        </r>
        <r>
          <rPr>
            <i/>
            <sz val="9"/>
            <color indexed="81"/>
            <rFont val="Tahoma"/>
            <family val="2"/>
          </rPr>
          <t xml:space="preserve">Updated: </t>
        </r>
        <r>
          <rPr>
            <sz val="9"/>
            <color indexed="81"/>
            <rFont val="Tahoma"/>
            <family val="2"/>
          </rPr>
          <t>This should be copied in from the Municipal_Consumptio n_Template "Current Heat (Region)" Tab, cells E21:34</t>
        </r>
      </text>
    </comment>
    <comment ref="H31" authorId="1" shapeId="0" xr:uid="{00000000-0006-0000-0300-000001000000}">
      <text>
        <r>
          <rPr>
            <sz val="9"/>
            <color indexed="81"/>
            <rFont val="Tahoma"/>
            <family val="2"/>
          </rPr>
          <t xml:space="preserve">
</t>
        </r>
        <r>
          <rPr>
            <i/>
            <sz val="9"/>
            <color indexed="81"/>
            <rFont val="Tahoma"/>
            <family val="2"/>
          </rPr>
          <t xml:space="preserve">Updated: </t>
        </r>
        <r>
          <rPr>
            <sz val="9"/>
            <color indexed="81"/>
            <rFont val="Tahoma"/>
            <family val="2"/>
          </rPr>
          <t xml:space="preserve">This is the approximate total heat energy consumption of the Commercial sector as a whole in Vermont, in millions of Btu. Based on EIA data for Vermont, average of 2018-2020 commercial thermal.
</t>
        </r>
      </text>
    </comment>
  </commentList>
</comments>
</file>

<file path=xl/sharedStrings.xml><?xml version="1.0" encoding="utf-8"?>
<sst xmlns="http://schemas.openxmlformats.org/spreadsheetml/2006/main" count="372" uniqueCount="232">
  <si>
    <t>Branches</t>
  </si>
  <si>
    <t>Biodistillates</t>
  </si>
  <si>
    <t>-</t>
  </si>
  <si>
    <t>Cord Wood</t>
  </si>
  <si>
    <t>Electric Resistance</t>
  </si>
  <si>
    <t>Heat Pump</t>
  </si>
  <si>
    <t>Heat Pump Water Heater</t>
  </si>
  <si>
    <t>Kerosene</t>
  </si>
  <si>
    <t>LPG</t>
  </si>
  <si>
    <t>Natural Gas</t>
  </si>
  <si>
    <t>Oil</t>
  </si>
  <si>
    <t>Wood pellets</t>
  </si>
  <si>
    <t>Total</t>
  </si>
  <si>
    <t>Residual Fuel Oil</t>
  </si>
  <si>
    <t>Biodiesel</t>
  </si>
  <si>
    <t>CNG</t>
  </si>
  <si>
    <t>Diesel</t>
  </si>
  <si>
    <t>Gasoline</t>
  </si>
  <si>
    <t>Ethanol</t>
  </si>
  <si>
    <t>Electricity</t>
  </si>
  <si>
    <t xml:space="preserve"> 1) Reference Scenario Total Regional Residential Heating Consumption Thousand MMBTUs</t>
  </si>
  <si>
    <t xml:space="preserve"> 2) 90x50 Scenario Total Regional Residential Heating Consumption Thousand MMBTUs</t>
  </si>
  <si>
    <t>This formula converts the inputs above into an estimate of the number of gallons of fossil fuel consumed annualy in the area for LDV transportation</t>
  </si>
  <si>
    <t>51. Information</t>
  </si>
  <si>
    <t>81. Other services, except public administration</t>
  </si>
  <si>
    <t>42. Wholesale trade</t>
  </si>
  <si>
    <t>44-45. Retail trade</t>
  </si>
  <si>
    <t>48-49. Transportation and warehousing</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</si>
  <si>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</si>
  <si>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</si>
  <si>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</si>
  <si>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</si>
  <si>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</si>
  <si>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</si>
  <si>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</si>
  <si>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</si>
  <si>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</si>
  <si>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Estimated  Consumption</t>
  </si>
  <si>
    <t>NAICS Code</t>
  </si>
  <si>
    <t>Estimating current light-duty vehicle (LDV) transportation energy consumption in an area</t>
  </si>
  <si>
    <t>This formula converts the number of fossil fuel gallons computed above into its equivalent amount of Btu, in millions</t>
  </si>
  <si>
    <t>This is the number of Btu in a gallon of ethanol</t>
  </si>
  <si>
    <t>This formula converts the number of ethanol gallons computed above into its equivalent amount of Btu, in millions</t>
  </si>
  <si>
    <t>Internal Combustion Engine (ICE) Transportation</t>
  </si>
  <si>
    <t>This formula computes an estimate of the the number of kWh consumed annually by EVs in the area from the values inputed  above</t>
  </si>
  <si>
    <t>This formula converts the volume of kWh computed above into its equivalent amount of Btu, in millions</t>
  </si>
  <si>
    <t>Electric Powered Transportation (EV)</t>
  </si>
  <si>
    <t>Residential building heat energy consumption</t>
  </si>
  <si>
    <t>Commercial building heat energy consumption</t>
  </si>
  <si>
    <t xml:space="preserve">Estimating current non-industrial building (Residential and Commercial) heat energy consumption in an area </t>
  </si>
  <si>
    <t>Avg number of Empl.</t>
  </si>
  <si>
    <t>Number of Empl. in State</t>
  </si>
  <si>
    <t xml:space="preserve">Number of Bldgs. in State </t>
  </si>
  <si>
    <t>Enter number of Bldgs in area</t>
  </si>
  <si>
    <t xml:space="preserve">Share of area Bldgs. </t>
  </si>
  <si>
    <t>Estimated Average  Consumption</t>
  </si>
  <si>
    <t>This is the estimated average commercial heating load, in millions of Btu, based on the values inputed into the table</t>
  </si>
  <si>
    <t xml:space="preserve">This is an adjustment made to compensate for the superior efficiency of heat pump technology compared to combustion based heating technology. </t>
  </si>
  <si>
    <t xml:space="preserve">Btu reduction in Heat Pump electricity consumption through weatherization can be matched with </t>
  </si>
  <si>
    <t>Developing targets for weatherization and fuel-switching for non-industrial buildings in an area</t>
  </si>
  <si>
    <t>Developing fuel-switching targets for Light-Duty Vehicle (LDV) transportation in an area</t>
  </si>
  <si>
    <t>Exhange rates for making adjustments to Tables 2 and 4</t>
  </si>
  <si>
    <t>Exhange rates for making adjustments to Table 6</t>
  </si>
  <si>
    <t>Btu addition in biofuel-powered transportation</t>
  </si>
  <si>
    <t>Btu addition in biofuel-powered transportation should be matched with</t>
  </si>
  <si>
    <t xml:space="preserve">Btu reduction in electric-powered transportation should be matched with </t>
  </si>
  <si>
    <t xml:space="preserve">Btu reduction in electric-powered transportation </t>
  </si>
  <si>
    <t>This is a projection of the average area residential heating load, in millions of Btu, computed based on values inputted above and in the "1.Current Heat" tab</t>
  </si>
  <si>
    <t xml:space="preserve">Btu reduction in consumption of combustible fuel through weatherization can be matched with </t>
  </si>
  <si>
    <t>Interpreting the scale of residential weatherization, post-adjustment</t>
  </si>
  <si>
    <t>Interpreting the scale of residential weatherization, pre-adjustment</t>
  </si>
  <si>
    <t>Interpreting the scale of Residential weatherization in the LEAP scenario</t>
  </si>
  <si>
    <t>Interpreting the scale of Commercial weatherization in the LEAP scenario</t>
  </si>
  <si>
    <t>Enter an estimate of the typical amount of energy saved through a Commercial weatherization investment, in millions of Btu. Historically, savings of 20 to 30 per cent are typical.</t>
  </si>
  <si>
    <t>Interpreting the scale of Residential fuel-switching in the LEAP scenario</t>
  </si>
  <si>
    <t>Interpreting the scale of Commercial fuel-switching in the LEAP scenario</t>
  </si>
  <si>
    <t>This is a projection of the average area  business heating load, in millions of Btu, computed based on values inputted above and in the "1.Current Heat" tab</t>
  </si>
  <si>
    <t>Total heat energy saved through weatherization of Commercial buildings</t>
  </si>
  <si>
    <t>Exhanging more weatherization for less fuel switching</t>
  </si>
  <si>
    <t>Exchanging consumption of one renewable fuel for another</t>
  </si>
  <si>
    <t>Interpreting the scale of LDV fuel-switching in the LEAP scenario</t>
  </si>
  <si>
    <t>weatherization</t>
  </si>
  <si>
    <t>fuel-switching</t>
  </si>
  <si>
    <t>electric efficiency</t>
  </si>
  <si>
    <t>100,000 MMBtu of additinoal weatherization savings is matched with a 40,000 MMBtu reduction in consumption of Heat Pump electricity</t>
  </si>
  <si>
    <t>100,000 MMBtu of additional weatherization savings is matched below with a 90,000 MMBtu reduction in consumption of Wood heat energy</t>
  </si>
  <si>
    <t>Interpreting the scale of Residential fuel-switching, pre-adjustment</t>
  </si>
  <si>
    <t>Interpreting the scale of Residential fuel-switching, post-adjustment</t>
  </si>
  <si>
    <t>Reduced 90,000 MMBtu in exchange for the above 100,000 MMBtu of additional weatherization savings for Residences using Natural Gas</t>
  </si>
  <si>
    <t xml:space="preserve">Btu reduction in consumption of Wood heat can be matched with a </t>
  </si>
  <si>
    <t>Btu reduction in consumption of Heat Pump electricity can be matched with a</t>
  </si>
  <si>
    <t>Btu addition in consumption of Heat Pump electricity, and vice versa</t>
  </si>
  <si>
    <t>Btu reduction in consumption of biofuel, and vice versa</t>
  </si>
  <si>
    <t>Btu addition in consumption of Biofuel heat, and vice versa</t>
  </si>
  <si>
    <t>Btu increase in consumption of Wood or Biofuel heat consumption, and vice versa</t>
  </si>
  <si>
    <t>Btu reduction in fuel switching toward Heat Pump electricity, and vice versa</t>
  </si>
  <si>
    <t xml:space="preserve">Btu reduction in consumption of either Wood or Biofuel heat can be matched with a </t>
  </si>
  <si>
    <t>Exchanging one combustible renewable fuel for another</t>
  </si>
  <si>
    <t>Exchanging consumption of combustible renewable fuels for electricity</t>
  </si>
  <si>
    <t>This is the number of Btu in a gallon of fossil fuel, computed as a weighted average of the individual heat contents of gasoline (95%) and diesel (5%).</t>
  </si>
  <si>
    <t>This is the number of Btu in a kWh of electricity at the point of use a.k.a site energy. Note that all electricity numbers in the LEAP scenario are reported as site energy.</t>
  </si>
  <si>
    <t>Below are a series of calculations done using the LEAP scenario data which can be used to put those model results into perspective and give Planners a sense of the appropriateness of the LEAP scenario trajectories for their area. Should Planners find that the LEAP scenario, as given to them by VEIC, depicts an inappropriate trajectory for their area, they may make adjustments to the model results using the following exchange rates. For an illustration of how to make such adjustments see the tab labeled "Exchange Example."</t>
  </si>
  <si>
    <t>This is an adjustment that must be made to account for the superior efficiency of heat pump technology compared to combustion based heating technology. It assumes moderate increases in equipment efficiency</t>
  </si>
  <si>
    <t>Below are a series of calculations on the LEAP scenario data which can be used to put those model results into perspective and give Planners a sense of the appropriateness of the LEAP scenario trajectories for their area. Should Planners find that the LEAP scenario, as given to them by VEIC, depicts an inappropriate trajectory for their area, they may make adjustments to the model results using the following exchange rates. For an illustration of how to make such adjustments see the tab labeled "Exchange Example."</t>
  </si>
  <si>
    <t>This is a projection of the average annual energy consumption of an EV, in millions of Btu. It assumes the current average number of VMT (as entered in "1.Current Trans") and a gradual increase in EV fuel economy from 3 kwh per mile to 4 kWh per mile by 2050.</t>
  </si>
  <si>
    <t>This is an adjustment made to compensate for the superior efficiency of heat pump technology compared to combustion based heating technology. It assumes moderate increases in equipment efficiency over time i.e. coefficient of performance</t>
  </si>
  <si>
    <t>10,000 MMBtu of additional weatherization savings is matched with 9,000 MMBtu reduction in consumption of Biofuel heat energy. 500,000 MMBtu added in exchange for 500,000 MMBtu reduction in consumption of Wood heat energy</t>
  </si>
  <si>
    <t>Reduced by 500,000 MMBtu in exchange for 500,000 MMBtu increase in consumption of Biofuel heat energy added above</t>
  </si>
  <si>
    <r>
      <t xml:space="preserve">Enter an estimate of the </t>
    </r>
    <r>
      <rPr>
        <b/>
        <sz val="11"/>
        <color theme="1"/>
        <rFont val="Calibri"/>
        <family val="2"/>
        <scheme val="minor"/>
      </rPr>
      <t>average fuel economy of fossil fuel burning LDV fleet in the region</t>
    </r>
    <r>
      <rPr>
        <sz val="11"/>
        <color theme="1"/>
        <rFont val="Calibri"/>
        <family val="2"/>
        <scheme val="minor"/>
      </rPr>
      <t xml:space="preserve">, in miles per gallon (MPG).  Your entry should reflect the  variation between  estimates for individual municipalities that were developed through the Municipal_Consmption_Template. This can be done, for example, by taking a weighted average of  each municipal-specific estimate of average MPG (as entered in the Municipal_Consumption_Template), where the weights are given by each municipality's share of estimated regional LDV transportation energy consumption. </t>
    </r>
  </si>
  <si>
    <r>
      <t xml:space="preserve">Enter an estimate of the </t>
    </r>
    <r>
      <rPr>
        <b/>
        <sz val="11"/>
        <color theme="1"/>
        <rFont val="Calibri"/>
        <family val="2"/>
        <scheme val="minor"/>
      </rPr>
      <t>average annual number of miles travelled by an LDV in the region</t>
    </r>
    <r>
      <rPr>
        <sz val="11"/>
        <color theme="1"/>
        <rFont val="Calibri"/>
        <family val="2"/>
        <scheme val="minor"/>
      </rPr>
      <t xml:space="preserve">. Your entry should reflect the  variation between  estimates for individual municipalities that were developed through the Municipal_Consmption_Template. This can be done, for example, by taking a weighted average of  each municipal-specific estimate of average annual miles travelled (as entered in the Municipal_Consumption_Template), where the weights are given by each municipality's share of estimated regional LDV transportation energy consumption. </t>
    </r>
  </si>
  <si>
    <r>
      <t>Enter an estimate of the volumetric</t>
    </r>
    <r>
      <rPr>
        <b/>
        <sz val="11"/>
        <color theme="1"/>
        <rFont val="Calibri"/>
        <family val="2"/>
        <scheme val="minor"/>
      </rPr>
      <t xml:space="preserve"> percentage of ethanol blended into area fuel supplies "at the pump" in the region.</t>
    </r>
    <r>
      <rPr>
        <sz val="11"/>
        <color theme="1"/>
        <rFont val="Calibri"/>
        <family val="2"/>
        <scheme val="minor"/>
      </rPr>
      <t xml:space="preserve">  Your entry should reflect the  variation between  estimates for individual municipalities that were developed through the Municipal_Consmption_Template. This can be done, for example, by taking a weighted average of  each municipal-specific estimate of average MPG (as entered in the Municipal_Consumption_Template), where the weights are given by each municipality's share of estimated regional LDV transportation energy consumption. </t>
    </r>
  </si>
  <si>
    <r>
      <t xml:space="preserve">This formula computes an estimate of the </t>
    </r>
    <r>
      <rPr>
        <b/>
        <sz val="11"/>
        <color theme="1"/>
        <rFont val="Calibri"/>
        <family val="2"/>
        <scheme val="minor"/>
      </rPr>
      <t>number of gallons of fossil fuel consumed annually in the region</t>
    </r>
    <r>
      <rPr>
        <sz val="11"/>
        <color theme="1"/>
        <rFont val="Calibri"/>
        <family val="2"/>
        <scheme val="minor"/>
      </rPr>
      <t xml:space="preserve"> from the values inputted above. </t>
    </r>
  </si>
  <si>
    <r>
      <t xml:space="preserve">This formula computes an estimate of the </t>
    </r>
    <r>
      <rPr>
        <b/>
        <sz val="11"/>
        <color theme="1"/>
        <rFont val="Calibri"/>
        <family val="2"/>
        <scheme val="minor"/>
      </rPr>
      <t>number of gallons of ethanol consumed annually in the region</t>
    </r>
    <r>
      <rPr>
        <sz val="11"/>
        <color theme="1"/>
        <rFont val="Calibri"/>
        <family val="2"/>
        <scheme val="minor"/>
      </rPr>
      <t xml:space="preserve"> from the values inputted above. </t>
    </r>
  </si>
  <si>
    <r>
      <t>This is the estimated</t>
    </r>
    <r>
      <rPr>
        <b/>
        <sz val="11"/>
        <color theme="1"/>
        <rFont val="Calibri"/>
        <family val="2"/>
        <scheme val="minor"/>
      </rPr>
      <t xml:space="preserve"> total annual energy consumption of ICE vehicles in the region</t>
    </r>
    <r>
      <rPr>
        <sz val="11"/>
        <color theme="1"/>
        <rFont val="Calibri"/>
        <family val="2"/>
        <scheme val="minor"/>
      </rPr>
      <t>, in millions of Btu</t>
    </r>
  </si>
  <si>
    <t xml:space="preserve">Enter an estimate of the number of Electric Vehicles in the area. Your entry should be the sum total of the individual municipal estimates of EV counts developed through the Municipal_Consmption_Template. </t>
  </si>
  <si>
    <r>
      <t xml:space="preserve">Enter an estimate of the </t>
    </r>
    <r>
      <rPr>
        <b/>
        <sz val="11"/>
        <color theme="1"/>
        <rFont val="Calibri"/>
        <family val="2"/>
        <scheme val="minor"/>
      </rPr>
      <t>average annual number of miles travelled by EVs in the regino</t>
    </r>
    <r>
      <rPr>
        <sz val="11"/>
        <color theme="1"/>
        <rFont val="Calibri"/>
        <family val="2"/>
        <scheme val="minor"/>
      </rPr>
      <t xml:space="preserve">. Your entry should reflect the  variation between  estimates for individual municipalities that were developed through the Municipal_Consmption_Template. This can be done, for example, by taking a weighted average of  each municipal-specific estimate of average annual miles travelled (as entered in the Municipal_Consumption_Template), where the weights are given by each municipality's share of estimated regional LDV transportation energy consumption. </t>
    </r>
  </si>
  <si>
    <r>
      <t xml:space="preserve">This is the approximate </t>
    </r>
    <r>
      <rPr>
        <b/>
        <sz val="11"/>
        <color theme="1"/>
        <rFont val="Calibri"/>
        <family val="2"/>
        <scheme val="minor"/>
      </rPr>
      <t>average fuel economy of electric vehicles today</t>
    </r>
    <r>
      <rPr>
        <sz val="11"/>
        <color theme="1"/>
        <rFont val="Calibri"/>
        <family val="2"/>
        <scheme val="minor"/>
      </rPr>
      <t>, in miles per kWh</t>
    </r>
  </si>
  <si>
    <r>
      <t xml:space="preserve">Enter an estimate of the </t>
    </r>
    <r>
      <rPr>
        <b/>
        <sz val="11"/>
        <color theme="1"/>
        <rFont val="Calibri"/>
        <family val="2"/>
        <scheme val="minor"/>
      </rPr>
      <t xml:space="preserve">number of fossil-fuel burning LDV in the region. </t>
    </r>
    <r>
      <rPr>
        <sz val="11"/>
        <color theme="1"/>
        <rFont val="Calibri"/>
        <family val="2"/>
        <scheme val="minor"/>
      </rPr>
      <t>Your entry should be the sum total of the</t>
    </r>
    <r>
      <rPr>
        <sz val="11"/>
        <rFont val="Calibri"/>
        <family val="2"/>
        <scheme val="minor"/>
      </rPr>
      <t xml:space="preserve"> individual municipal estimates of fossil-fuel burning LDV counts developed through the Municipal_Consmption_Template. </t>
    </r>
  </si>
  <si>
    <r>
      <t xml:space="preserve">This is the estimated </t>
    </r>
    <r>
      <rPr>
        <b/>
        <sz val="11"/>
        <color theme="1"/>
        <rFont val="Calibri"/>
        <family val="2"/>
        <scheme val="minor"/>
      </rPr>
      <t>total annual energy consumption amount for light-duty passenger transportation purposes</t>
    </r>
    <r>
      <rPr>
        <sz val="11"/>
        <color theme="1"/>
        <rFont val="Calibri"/>
        <family val="2"/>
        <scheme val="minor"/>
      </rPr>
      <t>, in millions of Btu. It is produced from the calculation steps below which depend on the assumptions inputted into each of the colored cells.</t>
    </r>
    <r>
      <rPr>
        <sz val="11"/>
        <color rgb="FFFF0000"/>
        <rFont val="Calibri"/>
        <family val="2"/>
        <scheme val="minor"/>
      </rPr>
      <t xml:space="preserve"> </t>
    </r>
  </si>
  <si>
    <r>
      <t xml:space="preserve">This is the estimated </t>
    </r>
    <r>
      <rPr>
        <b/>
        <sz val="11"/>
        <color theme="1"/>
        <rFont val="Calibri"/>
        <family val="2"/>
        <scheme val="minor"/>
      </rPr>
      <t>total annual energy heat consumption for Residential and Commercial buildings in the region</t>
    </r>
    <r>
      <rPr>
        <sz val="11"/>
        <color theme="1"/>
        <rFont val="Calibri"/>
        <family val="2"/>
        <scheme val="minor"/>
      </rPr>
      <t>, in millions of Btu. It is produced from the calculation steps below which depend on the assumptions inputted into each of the colored cells</t>
    </r>
  </si>
  <si>
    <r>
      <t xml:space="preserve">Enter an estimate of the </t>
    </r>
    <r>
      <rPr>
        <b/>
        <sz val="11"/>
        <color theme="1"/>
        <rFont val="Calibri"/>
        <family val="2"/>
        <scheme val="minor"/>
      </rPr>
      <t>total number of residential buildings in the region</t>
    </r>
    <r>
      <rPr>
        <sz val="11"/>
        <color theme="1"/>
        <rFont val="Calibri"/>
        <family val="2"/>
        <scheme val="minor"/>
      </rPr>
      <t xml:space="preserve">. Your entry should be the sum total of the individual municipal estimates of residence counts developed through the Municipal_Consmption_Template. </t>
    </r>
  </si>
  <si>
    <r>
      <t xml:space="preserve">Enter an estimate of the </t>
    </r>
    <r>
      <rPr>
        <b/>
        <sz val="11"/>
        <color theme="1"/>
        <rFont val="Calibri"/>
        <family val="2"/>
        <scheme val="minor"/>
      </rPr>
      <t>average annual heating load residences in the region</t>
    </r>
    <r>
      <rPr>
        <sz val="11"/>
        <color theme="1"/>
        <rFont val="Calibri"/>
        <family val="2"/>
        <scheme val="minor"/>
      </rPr>
      <t xml:space="preserve">, in millions of Btu (for space and water heating combined). Your entry should reflect the  variation between  estimates for individual municipalities that were developed through the Municipal_Consmption_Template. This can be done, for example, by taking a weighted average of  each municipal-specific estimate of average annual heating load (as entered in the Municipal_Consumption_Template), where the weights are given by each municipality's share of estimated total regional residential building heat energy consumption. </t>
    </r>
  </si>
  <si>
    <r>
      <t xml:space="preserve">This is the estimated </t>
    </r>
    <r>
      <rPr>
        <b/>
        <sz val="11"/>
        <color theme="1"/>
        <rFont val="Calibri"/>
        <family val="2"/>
        <scheme val="minor"/>
      </rPr>
      <t>total heat energy consumption of Residential buildings</t>
    </r>
    <r>
      <rPr>
        <sz val="11"/>
        <color theme="1"/>
        <rFont val="Calibri"/>
        <family val="2"/>
        <scheme val="minor"/>
      </rPr>
      <t xml:space="preserve"> in the area, in millions of Btu</t>
    </r>
  </si>
  <si>
    <r>
      <t>Enter the t</t>
    </r>
    <r>
      <rPr>
        <b/>
        <sz val="11"/>
        <color theme="1"/>
        <rFont val="Calibri"/>
        <family val="2"/>
        <scheme val="minor"/>
      </rPr>
      <t>otal number of commercial buildings in the region.</t>
    </r>
    <r>
      <rPr>
        <sz val="11"/>
        <color theme="1"/>
        <rFont val="Calibri"/>
        <family val="2"/>
        <scheme val="minor"/>
      </rPr>
      <t xml:space="preserve"> Your entry should be the sum total of the individual municipal estimates of residence counts developed through the Municipal_Consmption_Template. </t>
    </r>
  </si>
  <si>
    <r>
      <t xml:space="preserve">This is the estimated </t>
    </r>
    <r>
      <rPr>
        <b/>
        <sz val="11"/>
        <color theme="1"/>
        <rFont val="Calibri"/>
        <family val="2"/>
        <scheme val="minor"/>
      </rPr>
      <t>total heat energy consumption of Commercial buildings in the region</t>
    </r>
    <r>
      <rPr>
        <sz val="11"/>
        <color theme="1"/>
        <rFont val="Calibri"/>
        <family val="2"/>
        <scheme val="minor"/>
      </rPr>
      <t>, in millions of Btu</t>
    </r>
  </si>
  <si>
    <r>
      <t>This is an estimate the</t>
    </r>
    <r>
      <rPr>
        <b/>
        <sz val="11"/>
        <color theme="1"/>
        <rFont val="Calibri"/>
        <family val="2"/>
        <scheme val="minor"/>
      </rPr>
      <t xml:space="preserve"> average annual heating load of commercial establishments in the region</t>
    </r>
    <r>
      <rPr>
        <sz val="11"/>
        <color theme="1"/>
        <rFont val="Calibri"/>
        <family val="2"/>
        <scheme val="minor"/>
      </rPr>
      <t xml:space="preserve">, in millions of Btu (space and water heating loads combined). It is calculated from the entries in the table below, which should be filled out with the sum totals of the individual municipal estimates of commercial building counts (in each category) developed through the Municipal_Consmption_Template. </t>
    </r>
  </si>
  <si>
    <t xml:space="preserve">Cells that calculate key outputs are formatted like this: </t>
  </si>
  <si>
    <t>hunting</t>
  </si>
  <si>
    <t>good</t>
  </si>
  <si>
    <t xml:space="preserve">All cells requiring user inputs are formatted like this: </t>
  </si>
  <si>
    <t xml:space="preserve">To use this workbook, Planners should first enter the necessary assumptions into the input cells in the tabs labled, "1.Current Trans," and "1.Current Heat." </t>
  </si>
  <si>
    <t>Fuel</t>
  </si>
  <si>
    <t>HP</t>
  </si>
  <si>
    <t>HPWH</t>
  </si>
  <si>
    <t>Wood</t>
  </si>
  <si>
    <t>Propane</t>
  </si>
  <si>
    <t>Wood Pellets</t>
  </si>
  <si>
    <t>Heating Oil</t>
  </si>
  <si>
    <t>Biogas</t>
  </si>
  <si>
    <t>Scenario</t>
  </si>
  <si>
    <t>Baseline Scenario</t>
  </si>
  <si>
    <t>CAP Mitigation</t>
  </si>
  <si>
    <t xml:space="preserve">Enter an estimate of the typical amount of heat energy that will be saved through future Residential weatherization or thermal efficiency investments, in millions of Btu. Historically, savings of 20 to 30 per cent are typical.   </t>
  </si>
  <si>
    <t>Solar</t>
  </si>
  <si>
    <t>Heat</t>
  </si>
  <si>
    <r>
      <t xml:space="preserve">This is a Department estimate based on the LEAP modeling results of the portion of Commercial electricity consumption attributable to Heat Pumps in the </t>
    </r>
    <r>
      <rPr>
        <b/>
        <sz val="10"/>
        <color theme="1"/>
        <rFont val="Calibri"/>
        <family val="2"/>
        <scheme val="minor"/>
      </rPr>
      <t>Business-as-Usual Scenario</t>
    </r>
    <r>
      <rPr>
        <sz val="10"/>
        <color theme="1"/>
        <rFont val="Calibri"/>
        <family val="2"/>
        <scheme val="minor"/>
      </rPr>
      <t xml:space="preserve">, in millions of Btu. It assumes that the heat pump share of electricity consumption rises to 6% by 2050. </t>
    </r>
  </si>
  <si>
    <r>
      <t xml:space="preserve">This is a Department estimate based on the LEAP modeling results of the portion of Commercial electricity consumption attributable to Heat Pumps in the </t>
    </r>
    <r>
      <rPr>
        <b/>
        <sz val="10"/>
        <color theme="1"/>
        <rFont val="Calibri"/>
        <family val="2"/>
        <scheme val="minor"/>
      </rPr>
      <t>CAP Central Mitigation Scenario</t>
    </r>
    <r>
      <rPr>
        <sz val="10"/>
        <color theme="1"/>
        <rFont val="Calibri"/>
        <family val="2"/>
        <scheme val="minor"/>
      </rPr>
      <t xml:space="preserve">, in millions of Btu. It assumes that the heat pump share of electricity consumption rises to 28% by 2050. </t>
    </r>
  </si>
  <si>
    <r>
      <t xml:space="preserve">This formula computes an estimate the number of residences using biofuel-blended heat energy in the </t>
    </r>
    <r>
      <rPr>
        <b/>
        <sz val="10"/>
        <color theme="1"/>
        <rFont val="Calibri"/>
        <family val="2"/>
        <scheme val="minor"/>
      </rPr>
      <t>CAP Central Mitigation Scenarion</t>
    </r>
    <r>
      <rPr>
        <sz val="10"/>
        <color theme="1"/>
        <rFont val="Calibri"/>
        <family val="2"/>
        <scheme val="minor"/>
      </rPr>
      <t xml:space="preserve"> based on values inputted in the "1.Current Heat" tab.</t>
    </r>
  </si>
  <si>
    <r>
      <t>This formula computes the estimated share of area residences using biofuel blends in the</t>
    </r>
    <r>
      <rPr>
        <b/>
        <sz val="10"/>
        <color theme="1"/>
        <rFont val="Calibri"/>
        <family val="2"/>
        <scheme val="minor"/>
      </rPr>
      <t xml:space="preserve"> CAP Central Mitigation Scenario</t>
    </r>
    <r>
      <rPr>
        <sz val="10"/>
        <color theme="1"/>
        <rFont val="Calibri"/>
        <family val="2"/>
        <scheme val="minor"/>
      </rPr>
      <t xml:space="preserve"> based on values inputted above and in the "1.Current Heat" tab. If Planners find that this percentage is too high or low for the area, adjustments can be made to Table 2 using the exchange rates above. See the "Heat Exchange" tab for an example of how to make such adjustments. </t>
    </r>
  </si>
  <si>
    <r>
      <t xml:space="preserve">1) Baseline Statewide </t>
    </r>
    <r>
      <rPr>
        <b/>
        <sz val="11"/>
        <color theme="1"/>
        <rFont val="Calibri"/>
        <family val="2"/>
        <scheme val="minor"/>
      </rPr>
      <t>Residential</t>
    </r>
    <r>
      <rPr>
        <sz val="11"/>
        <color theme="1"/>
        <rFont val="Calibri"/>
        <family val="2"/>
        <scheme val="minor"/>
      </rPr>
      <t xml:space="preserve"> Thermal Energy Demand
(Thousand MMBTUs)</t>
    </r>
  </si>
  <si>
    <r>
      <t xml:space="preserve">2) CAP Mitigation Statewide </t>
    </r>
    <r>
      <rPr>
        <b/>
        <sz val="11"/>
        <color theme="1"/>
        <rFont val="Calibri"/>
        <family val="2"/>
        <scheme val="minor"/>
      </rPr>
      <t>Residential</t>
    </r>
    <r>
      <rPr>
        <sz val="11"/>
        <color theme="1"/>
        <rFont val="Calibri"/>
        <family val="2"/>
        <scheme val="minor"/>
      </rPr>
      <t xml:space="preserve"> Thermal Energy Demand (Thousand MMBTUs)</t>
    </r>
  </si>
  <si>
    <r>
      <t>3) Statewide</t>
    </r>
    <r>
      <rPr>
        <b/>
        <sz val="11"/>
        <color theme="1"/>
        <rFont val="Calibri"/>
        <family val="2"/>
        <scheme val="minor"/>
      </rPr>
      <t xml:space="preserve"> Residential </t>
    </r>
    <r>
      <rPr>
        <sz val="11"/>
        <color theme="1"/>
        <rFont val="Calibri"/>
        <family val="2"/>
        <scheme val="minor"/>
      </rPr>
      <t>New Retrofits
(Number of Housing Units)</t>
    </r>
  </si>
  <si>
    <r>
      <t xml:space="preserve">Total heat energy consumed by Residential buildings in the </t>
    </r>
    <r>
      <rPr>
        <b/>
        <sz val="10"/>
        <color theme="1"/>
        <rFont val="Calibri"/>
        <family val="2"/>
        <scheme val="minor"/>
      </rPr>
      <t>Business-As-Usual Scenario</t>
    </r>
    <r>
      <rPr>
        <sz val="10"/>
        <color theme="1"/>
        <rFont val="Calibri"/>
        <family val="2"/>
        <scheme val="minor"/>
      </rPr>
      <t>, in millions of Btu (taken from Table 1)</t>
    </r>
  </si>
  <si>
    <r>
      <t xml:space="preserve">Total heat energy consumed by Residential buildings in </t>
    </r>
    <r>
      <rPr>
        <b/>
        <sz val="10"/>
        <color theme="1"/>
        <rFont val="Calibri"/>
        <family val="2"/>
        <scheme val="minor"/>
      </rPr>
      <t>CAP Central Mitigation Scenario</t>
    </r>
    <r>
      <rPr>
        <sz val="10"/>
        <color theme="1"/>
        <rFont val="Calibri"/>
        <family val="2"/>
        <scheme val="minor"/>
      </rPr>
      <t>, in millions of Btu (taken from Table 2)</t>
    </r>
  </si>
  <si>
    <r>
      <t xml:space="preserve">Total heat energy saved in the </t>
    </r>
    <r>
      <rPr>
        <b/>
        <sz val="10"/>
        <color theme="1"/>
        <rFont val="Calibri"/>
        <family val="2"/>
        <scheme val="minor"/>
      </rPr>
      <t xml:space="preserve">CAP Central Mitigation Scenario </t>
    </r>
    <r>
      <rPr>
        <sz val="10"/>
        <color theme="1"/>
        <rFont val="Calibri"/>
        <family val="2"/>
        <scheme val="minor"/>
      </rPr>
      <t>through weatherization or other thermal efficiency improviements of Residential buildings, in millions of Btu</t>
    </r>
  </si>
  <si>
    <r>
      <t xml:space="preserve">This formula  shows the number of residential retrofits (weatherizations) expected in the </t>
    </r>
    <r>
      <rPr>
        <b/>
        <sz val="10"/>
        <color theme="1"/>
        <rFont val="Calibri"/>
        <family val="2"/>
        <scheme val="minor"/>
      </rPr>
      <t>Business-As-Usual Scenario</t>
    </r>
    <r>
      <rPr>
        <sz val="10"/>
        <color theme="1"/>
        <rFont val="Calibri"/>
        <family val="2"/>
        <scheme val="minor"/>
      </rPr>
      <t xml:space="preserve"> based on assumptions in the LEAP Vermont Pathways Model (table 3)</t>
    </r>
  </si>
  <si>
    <r>
      <t xml:space="preserve">This formula  shows the number of residential retrofits (weatherizations) expected in the </t>
    </r>
    <r>
      <rPr>
        <b/>
        <sz val="10"/>
        <color theme="1"/>
        <rFont val="Calibri"/>
        <family val="2"/>
        <scheme val="minor"/>
      </rPr>
      <t>CAP Central Mitigation Scenario</t>
    </r>
    <r>
      <rPr>
        <sz val="10"/>
        <color theme="1"/>
        <rFont val="Calibri"/>
        <family val="2"/>
        <scheme val="minor"/>
      </rPr>
      <t xml:space="preserve"> based on assumptions in the LEAP Vermont Pathways Model (table 3)</t>
    </r>
  </si>
  <si>
    <t>Enter a projection of the number of future residences in the area by each year. Note, estimate for 2015 pulled in automatically from the "Current Heat" tab, estimates for 2025, 2035, and 2050 will need to be manually added.</t>
  </si>
  <si>
    <r>
      <t xml:space="preserve">This formula computes a projection of the number of area businesses weatherized in the </t>
    </r>
    <r>
      <rPr>
        <b/>
        <sz val="10"/>
        <color theme="1"/>
        <rFont val="Calibri"/>
        <family val="2"/>
        <scheme val="minor"/>
      </rPr>
      <t xml:space="preserve">CAP Central Mitigation Scenario </t>
    </r>
    <r>
      <rPr>
        <sz val="10"/>
        <color theme="1"/>
        <rFont val="Calibri"/>
        <family val="2"/>
        <scheme val="minor"/>
      </rPr>
      <t xml:space="preserve">relative to the </t>
    </r>
    <r>
      <rPr>
        <b/>
        <sz val="10"/>
        <color theme="1"/>
        <rFont val="Calibri"/>
        <family val="2"/>
        <scheme val="minor"/>
      </rPr>
      <t>Business-as-Usual</t>
    </r>
    <r>
      <rPr>
        <sz val="10"/>
        <color theme="1"/>
        <rFont val="Calibri"/>
        <family val="2"/>
        <scheme val="minor"/>
      </rPr>
      <t xml:space="preserve">, based on the value inputed above. It will be higher or lower depending on the assumption of "typical" weatherization savings. </t>
    </r>
  </si>
  <si>
    <r>
      <t xml:space="preserve">This formula computes the biofuel share of biofuel-blended heat consumed by Residences in the </t>
    </r>
    <r>
      <rPr>
        <b/>
        <sz val="10"/>
        <color theme="1"/>
        <rFont val="Calibri"/>
        <family val="2"/>
        <scheme val="minor"/>
      </rPr>
      <t xml:space="preserve">CAP Central Mitigation Scenario, </t>
    </r>
    <r>
      <rPr>
        <sz val="10"/>
        <color theme="1"/>
        <rFont val="Calibri"/>
        <family val="2"/>
        <scheme val="minor"/>
      </rPr>
      <t>illustrating that in the Central Mitigation Scenario building heating oil reaches 100 % biodiesel (B100) by 2040.</t>
    </r>
  </si>
  <si>
    <r>
      <t xml:space="preserve">Total wood heat (cord wood + wood pellets) energy consumed by area residences in </t>
    </r>
    <r>
      <rPr>
        <b/>
        <sz val="10"/>
        <color theme="1"/>
        <rFont val="Calibri"/>
        <family val="2"/>
        <scheme val="minor"/>
      </rPr>
      <t>CAP Central Mitigation Scenario</t>
    </r>
    <r>
      <rPr>
        <sz val="10"/>
        <color theme="1"/>
        <rFont val="Calibri"/>
        <family val="2"/>
        <scheme val="minor"/>
      </rPr>
      <t>, in millions of Btu (taken from Table 2)</t>
    </r>
  </si>
  <si>
    <r>
      <t xml:space="preserve">This formula computes an estimate of the number of area residences using Wood heat energy in the </t>
    </r>
    <r>
      <rPr>
        <b/>
        <sz val="10"/>
        <color theme="1"/>
        <rFont val="Calibri"/>
        <family val="2"/>
        <scheme val="minor"/>
      </rPr>
      <t>CAP Central Mitigation Scenario</t>
    </r>
    <r>
      <rPr>
        <sz val="10"/>
        <color theme="1"/>
        <rFont val="Calibri"/>
        <family val="2"/>
        <scheme val="minor"/>
      </rPr>
      <t xml:space="preserve"> based on values inputted above and in the "1.Current Heat" tab.</t>
    </r>
  </si>
  <si>
    <r>
      <t xml:space="preserve">This formula computes the estimated share of area residences using Wood heat in the </t>
    </r>
    <r>
      <rPr>
        <b/>
        <sz val="10"/>
        <color theme="1"/>
        <rFont val="Calibri"/>
        <family val="2"/>
        <scheme val="minor"/>
      </rPr>
      <t>CAP Central Mitigation Scenario</t>
    </r>
    <r>
      <rPr>
        <sz val="10"/>
        <color theme="1"/>
        <rFont val="Calibri"/>
        <family val="2"/>
        <scheme val="minor"/>
      </rPr>
      <t>, based on values inputted in the "1.Current Heat" tab.</t>
    </r>
  </si>
  <si>
    <t>Technology</t>
  </si>
  <si>
    <t>ASHP 2 Head</t>
  </si>
  <si>
    <t>ASHP Central</t>
  </si>
  <si>
    <t>ASHP HE</t>
  </si>
  <si>
    <t>GSHP HE</t>
  </si>
  <si>
    <t xml:space="preserve"> </t>
  </si>
  <si>
    <r>
      <t xml:space="preserve">This formula computes an estimate the number of area residences using Heat Pumps in the </t>
    </r>
    <r>
      <rPr>
        <b/>
        <sz val="10"/>
        <color theme="1"/>
        <rFont val="Calibri"/>
        <family val="2"/>
        <scheme val="minor"/>
      </rPr>
      <t xml:space="preserve">CAP Central Mitigation Scenario </t>
    </r>
    <r>
      <rPr>
        <sz val="10"/>
        <color theme="1"/>
        <rFont val="Calibri"/>
        <family val="2"/>
        <scheme val="minor"/>
      </rPr>
      <t>based on the assumption made in the LEAP modeling that there are approximately 1.3 heat pumps / residence (table 6). Since the original LEAP modeling, this ration has increased moderately. Values are omitted for 2015 since the LEAP model projected heat pump adoption from 2020 onwards.</t>
    </r>
  </si>
  <si>
    <r>
      <t>This formula computes the estimated share of area residences using Heat Pumps in the</t>
    </r>
    <r>
      <rPr>
        <b/>
        <sz val="10"/>
        <color theme="1"/>
        <rFont val="Calibri"/>
        <family val="2"/>
        <scheme val="minor"/>
      </rPr>
      <t xml:space="preserve"> CAP Central Mitigation Scenario</t>
    </r>
    <r>
      <rPr>
        <sz val="10"/>
        <color theme="1"/>
        <rFont val="Calibri"/>
        <family val="2"/>
        <scheme val="minor"/>
      </rPr>
      <t xml:space="preserve"> based on values inputted above and in the "1.Current Heat" tab.</t>
    </r>
  </si>
  <si>
    <r>
      <t xml:space="preserve">Total biogas-blended (renewable natural gas &amp; natural gas) heat energy consumed by Residences in </t>
    </r>
    <r>
      <rPr>
        <b/>
        <sz val="10"/>
        <color theme="1"/>
        <rFont val="Calibri"/>
        <family val="2"/>
        <scheme val="minor"/>
      </rPr>
      <t>CAP Central Mitigation Scenario</t>
    </r>
    <r>
      <rPr>
        <sz val="10"/>
        <color theme="1"/>
        <rFont val="Calibri"/>
        <family val="2"/>
        <scheme val="minor"/>
      </rPr>
      <t xml:space="preserve">, in millions of Btu (table 2). </t>
    </r>
  </si>
  <si>
    <r>
      <t xml:space="preserve">Total biofuel-blended (biodiesel &amp; heating oil) heat energy consumed by Residences in </t>
    </r>
    <r>
      <rPr>
        <b/>
        <sz val="10"/>
        <color theme="1"/>
        <rFont val="Calibri"/>
        <family val="2"/>
        <scheme val="minor"/>
      </rPr>
      <t>CAP Central Mitigation Scenario</t>
    </r>
    <r>
      <rPr>
        <sz val="10"/>
        <color theme="1"/>
        <rFont val="Calibri"/>
        <family val="2"/>
        <scheme val="minor"/>
      </rPr>
      <t>, in millions of Btu (table 2).</t>
    </r>
  </si>
  <si>
    <r>
      <t xml:space="preserve">This formula computes the biogas share of biogas-blended heat consumed by Residences in the </t>
    </r>
    <r>
      <rPr>
        <b/>
        <sz val="10"/>
        <color theme="1"/>
        <rFont val="Calibri"/>
        <family val="2"/>
        <scheme val="minor"/>
      </rPr>
      <t xml:space="preserve">CAP Central Mitigation Scenario, </t>
    </r>
    <r>
      <rPr>
        <sz val="10"/>
        <color theme="1"/>
        <rFont val="Calibri"/>
        <family val="2"/>
        <scheme val="minor"/>
      </rPr>
      <t>illustrating that in the Central Mitigation Scenario building heating oil reaches 100 % biodiesel (B100) by 2040.</t>
    </r>
  </si>
  <si>
    <r>
      <t xml:space="preserve">Total non-blended fossil heat (propane) energy consumed by Residences in </t>
    </r>
    <r>
      <rPr>
        <b/>
        <sz val="10"/>
        <color theme="1"/>
        <rFont val="Calibri"/>
        <family val="2"/>
        <scheme val="minor"/>
      </rPr>
      <t>CAP Central Mitigation Scenario</t>
    </r>
    <r>
      <rPr>
        <sz val="10"/>
        <color theme="1"/>
        <rFont val="Calibri"/>
        <family val="2"/>
        <scheme val="minor"/>
      </rPr>
      <t>, in millions of Btu (taken from Table 2)</t>
    </r>
  </si>
  <si>
    <r>
      <t xml:space="preserve">This formula computes the estimates number of area residences using fossil heat in the </t>
    </r>
    <r>
      <rPr>
        <b/>
        <sz val="10"/>
        <color theme="1"/>
        <rFont val="Calibri"/>
        <family val="2"/>
        <scheme val="minor"/>
      </rPr>
      <t xml:space="preserve">CAP Central Mitigation Scenario </t>
    </r>
    <r>
      <rPr>
        <sz val="10"/>
        <color theme="1"/>
        <rFont val="Calibri"/>
        <family val="2"/>
        <scheme val="minor"/>
      </rPr>
      <t>based on values inputted in the "1.Current Heat" tab.</t>
    </r>
  </si>
  <si>
    <r>
      <t xml:space="preserve">This formula computes the estimated share of area residences using fossil heat in the </t>
    </r>
    <r>
      <rPr>
        <b/>
        <sz val="10"/>
        <color theme="1"/>
        <rFont val="Calibri"/>
        <family val="2"/>
        <scheme val="minor"/>
      </rPr>
      <t>CAP Central Mitigation Scenario</t>
    </r>
    <r>
      <rPr>
        <sz val="10"/>
        <color theme="1"/>
        <rFont val="Calibri"/>
        <family val="2"/>
        <scheme val="minor"/>
      </rPr>
      <t xml:space="preserve"> based on values inputted above and in the "1.Current Heat" tab.</t>
    </r>
  </si>
  <si>
    <r>
      <t xml:space="preserve">This formula computes the biogas share of biogas-blended heat consumed by Commercial buildings in the </t>
    </r>
    <r>
      <rPr>
        <b/>
        <sz val="10"/>
        <color theme="1"/>
        <rFont val="Calibri"/>
        <family val="2"/>
        <scheme val="minor"/>
      </rPr>
      <t>CAP Central Mitigation Scenario</t>
    </r>
    <r>
      <rPr>
        <sz val="10"/>
        <color theme="1"/>
        <rFont val="Calibri"/>
        <family val="2"/>
        <scheme val="minor"/>
      </rPr>
      <t>.</t>
    </r>
  </si>
  <si>
    <r>
      <t xml:space="preserve">This formula computes an estimate the number of businesses using biogas-blended heat energy in the </t>
    </r>
    <r>
      <rPr>
        <b/>
        <sz val="10"/>
        <color theme="1"/>
        <rFont val="Calibri"/>
        <family val="2"/>
        <scheme val="minor"/>
      </rPr>
      <t>CAP Central Mitigation Scenario</t>
    </r>
    <r>
      <rPr>
        <sz val="10"/>
        <color theme="1"/>
        <rFont val="Calibri"/>
        <family val="2"/>
        <scheme val="minor"/>
      </rPr>
      <t xml:space="preserve"> based on values inputted in the "1.Current Heat" tab.</t>
    </r>
  </si>
  <si>
    <r>
      <t xml:space="preserve">This formula computes the estimates number of area businesses using fossil heat in the </t>
    </r>
    <r>
      <rPr>
        <b/>
        <sz val="10"/>
        <color theme="1"/>
        <rFont val="Calibri"/>
        <family val="2"/>
        <scheme val="minor"/>
      </rPr>
      <t>CAP Central Mitigation Scenario</t>
    </r>
    <r>
      <rPr>
        <sz val="10"/>
        <color theme="1"/>
        <rFont val="Calibri"/>
        <family val="2"/>
        <scheme val="minor"/>
      </rPr>
      <t xml:space="preserve"> based on values inputted in the "1.Current Heat" tab.</t>
    </r>
  </si>
  <si>
    <r>
      <t xml:space="preserve">This formula computes the estimated share of area businesses using fossil heat in the </t>
    </r>
    <r>
      <rPr>
        <b/>
        <sz val="10"/>
        <color theme="1"/>
        <rFont val="Calibri"/>
        <family val="2"/>
        <scheme val="minor"/>
      </rPr>
      <t>CAP Central Mitigation Scenario</t>
    </r>
    <r>
      <rPr>
        <sz val="10"/>
        <color theme="1"/>
        <rFont val="Calibri"/>
        <family val="2"/>
        <scheme val="minor"/>
      </rPr>
      <t xml:space="preserve"> based on values inputted above and in the "1.Current Heat" tab.</t>
    </r>
  </si>
  <si>
    <r>
      <t xml:space="preserve">This shows the LEAP estimate for number of area battery electric LDV (passenger cars and light trucks)  in the </t>
    </r>
    <r>
      <rPr>
        <b/>
        <sz val="10"/>
        <color theme="1"/>
        <rFont val="Calibri"/>
        <family val="2"/>
        <scheme val="minor"/>
      </rPr>
      <t>CAP Central Mitigation Scenario</t>
    </r>
  </si>
  <si>
    <r>
      <t xml:space="preserve">This shows the LEAP estimate for number of area plug-in hybrid electric (PHEV) LDV (passenger cars and light trucks)  in the </t>
    </r>
    <r>
      <rPr>
        <b/>
        <sz val="10"/>
        <color theme="1"/>
        <rFont val="Calibri"/>
        <family val="2"/>
        <scheme val="minor"/>
      </rPr>
      <t>CAP Central Mitigation Scenario</t>
    </r>
  </si>
  <si>
    <t>Vehicle Type</t>
  </si>
  <si>
    <t>Battery Electric</t>
  </si>
  <si>
    <t>Plug In Hybrid</t>
  </si>
  <si>
    <r>
      <t xml:space="preserve">This formula computes the share of area LDVs powered fully or partially by electricity in the </t>
    </r>
    <r>
      <rPr>
        <b/>
        <sz val="10"/>
        <color theme="1"/>
        <rFont val="Calibri"/>
        <family val="2"/>
        <scheme val="minor"/>
      </rPr>
      <t>CAP Central  Mitigation Scenario</t>
    </r>
    <r>
      <rPr>
        <sz val="10"/>
        <color theme="1"/>
        <rFont val="Calibri"/>
        <family val="2"/>
        <scheme val="minor"/>
      </rPr>
      <t xml:space="preserve">, based on the projection entered above and user inputs in the "1.Current Trans" tab. If Planners find that this percentage of EVs is inappropriate for the area, adjustments can be made to the </t>
    </r>
    <r>
      <rPr>
        <b/>
        <sz val="10"/>
        <color theme="1"/>
        <rFont val="Calibri"/>
        <family val="2"/>
        <scheme val="minor"/>
      </rPr>
      <t>CAP Central Mitigation Scenario</t>
    </r>
    <r>
      <rPr>
        <sz val="10"/>
        <color theme="1"/>
        <rFont val="Calibri"/>
        <family val="2"/>
        <scheme val="minor"/>
      </rPr>
      <t xml:space="preserve"> results using the exchange rates above.</t>
    </r>
  </si>
  <si>
    <r>
      <t xml:space="preserve">Enter a projection of the total number of future LDVs in the area by each year. This should be consistent with projections of population and households. </t>
    </r>
    <r>
      <rPr>
        <b/>
        <sz val="10"/>
        <color theme="1"/>
        <rFont val="Calibri"/>
        <family val="2"/>
        <scheme val="minor"/>
      </rPr>
      <t>Note:</t>
    </r>
    <r>
      <rPr>
        <sz val="10"/>
        <color theme="1"/>
        <rFont val="Calibri"/>
        <family val="2"/>
        <scheme val="minor"/>
      </rPr>
      <t xml:space="preserve"> Cell B22 pulls directly from the "1.Current Trans" tab, projections for 2025, 2035, and 2050 must be manually adjusted.</t>
    </r>
  </si>
  <si>
    <r>
      <t xml:space="preserve">This formula computes the biofuel share of biofuel-blended LDV transportation energy consumed  in the </t>
    </r>
    <r>
      <rPr>
        <b/>
        <sz val="10"/>
        <color theme="1"/>
        <rFont val="Calibri"/>
        <family val="2"/>
        <scheme val="minor"/>
      </rPr>
      <t>CAP Central Mitigation Scenario</t>
    </r>
    <r>
      <rPr>
        <sz val="10"/>
        <color theme="1"/>
        <rFont val="Calibri"/>
        <family val="2"/>
        <scheme val="minor"/>
      </rPr>
      <t>.</t>
    </r>
  </si>
  <si>
    <t>This is a projection of the average annual non-electric energy consumption of LDVs using biofuel blends, in millions of Btu.  It assumes the current average number of VMT (as entered in "1.Current Trans") and a gradual increase in fuel economy to 40 MPG by 2050.</t>
  </si>
  <si>
    <r>
      <t xml:space="preserve">This workbook is designed to translate the aggregated energy consumption estimates developed through use of the </t>
    </r>
    <r>
      <rPr>
        <i/>
        <sz val="14"/>
        <color theme="1"/>
        <rFont val="Calibri"/>
        <family val="2"/>
        <scheme val="minor"/>
      </rPr>
      <t xml:space="preserve">Municipal_Consumption_Template </t>
    </r>
    <r>
      <rPr>
        <sz val="14"/>
        <color theme="1"/>
        <rFont val="Calibri"/>
        <family val="2"/>
        <scheme val="minor"/>
      </rPr>
      <t xml:space="preserve">into regional targets for: </t>
    </r>
  </si>
  <si>
    <t xml:space="preserve"> 9) Central CAP Mitigation Scenario vs Business As Usual Residential Non-Thermal Electric Consumption, Thousand MWh</t>
  </si>
  <si>
    <r>
      <t xml:space="preserve">4) CAP Mitigation Statewide </t>
    </r>
    <r>
      <rPr>
        <b/>
        <sz val="11"/>
        <color theme="1"/>
        <rFont val="Calibri"/>
        <family val="2"/>
        <scheme val="minor"/>
      </rPr>
      <t>Residential</t>
    </r>
    <r>
      <rPr>
        <sz val="11"/>
        <color theme="1"/>
        <rFont val="Calibri"/>
        <family val="2"/>
        <scheme val="minor"/>
      </rPr>
      <t xml:space="preserve">  New Cold Climate Heat Pumps
(Number of New Units)</t>
    </r>
  </si>
  <si>
    <r>
      <t xml:space="preserve">5) Baseline Total Statewide </t>
    </r>
    <r>
      <rPr>
        <b/>
        <sz val="11"/>
        <color theme="1"/>
        <rFont val="Calibri"/>
        <family val="2"/>
        <scheme val="minor"/>
      </rPr>
      <t>Commercial</t>
    </r>
    <r>
      <rPr>
        <sz val="11"/>
        <color theme="1"/>
        <rFont val="Calibri"/>
        <family val="2"/>
        <scheme val="minor"/>
      </rPr>
      <t xml:space="preserve"> Sector Final Energy Demand
(Thousand MMBTUs)</t>
    </r>
  </si>
  <si>
    <r>
      <t xml:space="preserve">6) CAP Mitigation Total Statewide </t>
    </r>
    <r>
      <rPr>
        <b/>
        <sz val="11"/>
        <color theme="1"/>
        <rFont val="Calibri"/>
        <family val="2"/>
        <scheme val="minor"/>
      </rPr>
      <t>Commercial</t>
    </r>
    <r>
      <rPr>
        <sz val="11"/>
        <color theme="1"/>
        <rFont val="Calibri"/>
        <family val="2"/>
        <scheme val="minor"/>
      </rPr>
      <t xml:space="preserve"> Sector Final Energy Demand (Thousand MMBTUs)</t>
    </r>
  </si>
  <si>
    <r>
      <t xml:space="preserve">7) Baseline Total Statewide </t>
    </r>
    <r>
      <rPr>
        <b/>
        <sz val="11"/>
        <color theme="1"/>
        <rFont val="Calibri"/>
        <family val="2"/>
        <scheme val="minor"/>
      </rPr>
      <t>Residential</t>
    </r>
    <r>
      <rPr>
        <sz val="11"/>
        <color theme="1"/>
        <rFont val="Calibri"/>
        <family val="2"/>
        <scheme val="minor"/>
      </rPr>
      <t xml:space="preserve"> Sector Final Energy Demand
(Thousand MMBTUs)</t>
    </r>
  </si>
  <si>
    <r>
      <t xml:space="preserve">8) CAP Mitigation Total Statewide </t>
    </r>
    <r>
      <rPr>
        <b/>
        <sz val="11"/>
        <color theme="1"/>
        <rFont val="Calibri"/>
        <family val="2"/>
        <scheme val="minor"/>
      </rPr>
      <t>Residential</t>
    </r>
    <r>
      <rPr>
        <sz val="11"/>
        <color theme="1"/>
        <rFont val="Calibri"/>
        <family val="2"/>
        <scheme val="minor"/>
      </rPr>
      <t xml:space="preserve"> Sector Final Energy Demand (Thousand MMBTUs)</t>
    </r>
  </si>
  <si>
    <r>
      <t>9) Baseline  Total Statewide</t>
    </r>
    <r>
      <rPr>
        <b/>
        <sz val="11"/>
        <color theme="1"/>
        <rFont val="Calibri"/>
        <family val="2"/>
        <scheme val="minor"/>
      </rPr>
      <t xml:space="preserve"> Passenger Car </t>
    </r>
    <r>
      <rPr>
        <sz val="11"/>
        <color theme="1"/>
        <rFont val="Calibri"/>
        <family val="2"/>
        <scheme val="minor"/>
      </rPr>
      <t>Final Energy Demand
(Thousand MMBTUs)</t>
    </r>
  </si>
  <si>
    <r>
      <t xml:space="preserve">10) CAP Mitigation Total Statewide </t>
    </r>
    <r>
      <rPr>
        <b/>
        <sz val="11"/>
        <color theme="1"/>
        <rFont val="Calibri"/>
        <family val="2"/>
        <scheme val="minor"/>
      </rPr>
      <t>Passenger Car</t>
    </r>
    <r>
      <rPr>
        <sz val="11"/>
        <color theme="1"/>
        <rFont val="Calibri"/>
        <family val="2"/>
        <scheme val="minor"/>
      </rPr>
      <t xml:space="preserve"> Final Energy Demand (Thousand MMBTUs)</t>
    </r>
  </si>
  <si>
    <r>
      <t>11) Baseline Total Statewide</t>
    </r>
    <r>
      <rPr>
        <b/>
        <sz val="11"/>
        <color theme="1"/>
        <rFont val="Calibri"/>
        <family val="2"/>
        <scheme val="minor"/>
      </rPr>
      <t xml:space="preserve"> Light Truck</t>
    </r>
    <r>
      <rPr>
        <sz val="11"/>
        <color theme="1"/>
        <rFont val="Calibri"/>
        <family val="2"/>
        <scheme val="minor"/>
      </rPr>
      <t xml:space="preserve"> Final Energy Demand
(Thousand MMBTUs)</t>
    </r>
  </si>
  <si>
    <r>
      <t xml:space="preserve">12) CAP Mitigation Total Statewide </t>
    </r>
    <r>
      <rPr>
        <b/>
        <sz val="11"/>
        <color theme="1"/>
        <rFont val="Calibri"/>
        <family val="2"/>
        <scheme val="minor"/>
      </rPr>
      <t>Light Truck</t>
    </r>
    <r>
      <rPr>
        <sz val="11"/>
        <color theme="1"/>
        <rFont val="Calibri"/>
        <family val="2"/>
        <scheme val="minor"/>
      </rPr>
      <t xml:space="preserve"> Final Energy Demand (Thousand MMBTUs)</t>
    </r>
  </si>
  <si>
    <r>
      <t>13) Baseline Statewide</t>
    </r>
    <r>
      <rPr>
        <b/>
        <sz val="11"/>
        <color theme="1"/>
        <rFont val="Calibri"/>
        <family val="2"/>
        <scheme val="minor"/>
      </rPr>
      <t xml:space="preserve"> Passenger Car EV and PHEV Stock</t>
    </r>
    <r>
      <rPr>
        <sz val="11"/>
        <color theme="1"/>
        <rFont val="Calibri"/>
        <family val="2"/>
        <scheme val="minor"/>
      </rPr>
      <t xml:space="preserve">
(Number of Vehicles)</t>
    </r>
  </si>
  <si>
    <r>
      <t>14) CAP Mitigation Statewide</t>
    </r>
    <r>
      <rPr>
        <b/>
        <sz val="11"/>
        <color theme="1"/>
        <rFont val="Calibri"/>
        <family val="2"/>
        <scheme val="minor"/>
      </rPr>
      <t xml:space="preserve"> Passenger Car EV and PHEV Stock</t>
    </r>
    <r>
      <rPr>
        <sz val="11"/>
        <color theme="1"/>
        <rFont val="Calibri"/>
        <family val="2"/>
        <scheme val="minor"/>
      </rPr>
      <t xml:space="preserve">
(Number of Vehicles)</t>
    </r>
  </si>
  <si>
    <r>
      <t>15) Baseline Statewide</t>
    </r>
    <r>
      <rPr>
        <b/>
        <sz val="11"/>
        <color theme="1"/>
        <rFont val="Calibri"/>
        <family val="2"/>
        <scheme val="minor"/>
      </rPr>
      <t xml:space="preserve"> Light Duty Truck EV and PHEV Stock</t>
    </r>
    <r>
      <rPr>
        <sz val="11"/>
        <color theme="1"/>
        <rFont val="Calibri"/>
        <family val="2"/>
        <scheme val="minor"/>
      </rPr>
      <t xml:space="preserve">
(Number of Vehicles)</t>
    </r>
  </si>
  <si>
    <r>
      <t>16) CAP Mitigation Statewide</t>
    </r>
    <r>
      <rPr>
        <b/>
        <sz val="11"/>
        <color theme="1"/>
        <rFont val="Calibri"/>
        <family val="2"/>
        <scheme val="minor"/>
      </rPr>
      <t xml:space="preserve"> Light Duty Truck EV and PHEV Stock</t>
    </r>
    <r>
      <rPr>
        <sz val="11"/>
        <color theme="1"/>
        <rFont val="Calibri"/>
        <family val="2"/>
        <scheme val="minor"/>
      </rPr>
      <t xml:space="preserve">
(Number of Vehicles)</t>
    </r>
  </si>
  <si>
    <r>
      <rPr>
        <b/>
        <sz val="11"/>
        <color theme="1"/>
        <rFont val="Calibri"/>
        <family val="2"/>
        <scheme val="minor"/>
      </rPr>
      <t>NOTE</t>
    </r>
    <r>
      <rPr>
        <sz val="11"/>
        <color theme="1"/>
        <rFont val="Calibri"/>
        <family val="2"/>
        <scheme val="minor"/>
      </rPr>
      <t>: Pulled Data from Tables Above - Do Not Copy Over</t>
    </r>
  </si>
  <si>
    <r>
      <t xml:space="preserve">This formula computes the estimated percentage of area residences weatherized by each yearin the </t>
    </r>
    <r>
      <rPr>
        <b/>
        <sz val="10"/>
        <color theme="1"/>
        <rFont val="Calibri"/>
        <family val="2"/>
        <scheme val="minor"/>
      </rPr>
      <t>Business-As-Usual Scenario</t>
    </r>
    <r>
      <rPr>
        <sz val="10"/>
        <color theme="1"/>
        <rFont val="Calibri"/>
        <family val="2"/>
        <scheme val="minor"/>
      </rPr>
      <t xml:space="preserve"> based on the values inputed above and on the "1.Current Heat" tab.  If Planners would like to increase the percentage of weatherized residences, adjustments can be made to Table 1 and Table 3 using the exchange rates above. See the "Exchange Example" tab for an example of how to make such adjustments. </t>
    </r>
  </si>
  <si>
    <r>
      <t xml:space="preserve">This formula computes the estimated percentage of area residences weatherized by each yearin the </t>
    </r>
    <r>
      <rPr>
        <b/>
        <sz val="10"/>
        <color theme="1"/>
        <rFont val="Calibri"/>
        <family val="2"/>
        <scheme val="minor"/>
      </rPr>
      <t>CAP Central Mitigation Scenario</t>
    </r>
    <r>
      <rPr>
        <sz val="10"/>
        <color theme="1"/>
        <rFont val="Calibri"/>
        <family val="2"/>
        <scheme val="minor"/>
      </rPr>
      <t xml:space="preserve"> based on the values inputed above and on the "1.Current Heat" tab.  If Planners would like to increase the percentage of weatherized residences, adjustments can be made to Table 2 and Table 3 using the exchange rates above. See the "Exchange Example" tab for an example of how to make such adjustments. </t>
    </r>
  </si>
  <si>
    <r>
      <t xml:space="preserve">Total non-electric energy consumed by Commercial buildings in </t>
    </r>
    <r>
      <rPr>
        <b/>
        <sz val="10"/>
        <color theme="1"/>
        <rFont val="Calibri"/>
        <family val="2"/>
        <scheme val="minor"/>
      </rPr>
      <t>Business-as-Usual Scenario</t>
    </r>
    <r>
      <rPr>
        <sz val="10"/>
        <color theme="1"/>
        <rFont val="Calibri"/>
        <family val="2"/>
        <scheme val="minor"/>
      </rPr>
      <t>, in millions of Btu (table 5)</t>
    </r>
  </si>
  <si>
    <r>
      <t xml:space="preserve">Total consumption of electricity by Commercial building in </t>
    </r>
    <r>
      <rPr>
        <b/>
        <sz val="10"/>
        <color theme="1"/>
        <rFont val="Calibri"/>
        <family val="2"/>
        <scheme val="minor"/>
      </rPr>
      <t>Business-as-Usual Scenario</t>
    </r>
    <r>
      <rPr>
        <sz val="10"/>
        <color theme="1"/>
        <rFont val="Calibri"/>
        <family val="2"/>
        <scheme val="minor"/>
      </rPr>
      <t>, in millions of Btu (table 5)</t>
    </r>
  </si>
  <si>
    <r>
      <t xml:space="preserve">Total non-electric energy consumed by commercial buildings in  </t>
    </r>
    <r>
      <rPr>
        <b/>
        <sz val="10"/>
        <color theme="1"/>
        <rFont val="Calibri"/>
        <family val="2"/>
        <scheme val="minor"/>
      </rPr>
      <t>CAP Central Mitigation Scenario</t>
    </r>
    <r>
      <rPr>
        <sz val="10"/>
        <color theme="1"/>
        <rFont val="Calibri"/>
        <family val="2"/>
        <scheme val="minor"/>
      </rPr>
      <t>, in millions of Btu (table 6)</t>
    </r>
  </si>
  <si>
    <r>
      <t xml:space="preserve">Total consumption of electricity by Commercial building in </t>
    </r>
    <r>
      <rPr>
        <b/>
        <sz val="10"/>
        <color theme="1"/>
        <rFont val="Calibri"/>
        <family val="2"/>
        <scheme val="minor"/>
      </rPr>
      <t>CAP Central Mitigation Scenario</t>
    </r>
    <r>
      <rPr>
        <sz val="10"/>
        <color theme="1"/>
        <rFont val="Calibri"/>
        <family val="2"/>
        <scheme val="minor"/>
      </rPr>
      <t>, in millions of Btu (table 6)</t>
    </r>
  </si>
  <si>
    <r>
      <t xml:space="preserve">This formula computes the estimated share of area businesses weatherized by each year in the </t>
    </r>
    <r>
      <rPr>
        <b/>
        <sz val="10"/>
        <color theme="1"/>
        <rFont val="Calibri"/>
        <family val="2"/>
        <scheme val="minor"/>
      </rPr>
      <t>CAP Central Mitigation Scenario</t>
    </r>
    <r>
      <rPr>
        <sz val="10"/>
        <color theme="1"/>
        <rFont val="Calibri"/>
        <family val="2"/>
        <scheme val="minor"/>
      </rPr>
      <t xml:space="preserve">above and beyond those weatherized in the Business-As-Usual Scenario based on the values inputed above.  If Planners would like to increase the percentage of weatherized businesses,  adjustments can be made to Table6 using the exchange rates above. See the "Exchange Example" tab for an example of how to make such adjustments. </t>
    </r>
  </si>
  <si>
    <r>
      <t xml:space="preserve">Total heat pump energy consumed by area residences in </t>
    </r>
    <r>
      <rPr>
        <b/>
        <sz val="10"/>
        <color theme="1"/>
        <rFont val="Calibri"/>
        <family val="2"/>
        <scheme val="minor"/>
      </rPr>
      <t>CAP Central Mitigation Scenario</t>
    </r>
    <r>
      <rPr>
        <sz val="10"/>
        <color theme="1"/>
        <rFont val="Calibri"/>
        <family val="2"/>
        <scheme val="minor"/>
      </rPr>
      <t>, in millions of Btu (taken from Table 2)</t>
    </r>
  </si>
  <si>
    <t>These region-wide targets can in turn be disaggregated into municipal-level targets based on each municipality's share of current energy consumption. Alternatively, regional planners could replicated the methodology used by the Department to regionalize the statewide LEAP data, using the data / factors described on the "Dissagregation Assumptions" tab of the LEAP Regionalization Results workbook.</t>
  </si>
  <si>
    <t xml:space="preserve">These assumptions will flow through to the calculations on the tabs labelled, "2. Trans Targets," "2.Heat Targets, and "2.Electric Targets." These 3 worksheets will guide Planners through an interpretation of  the LEAP scenario data given to them by VEIC. For this, Planners will need to copy and paste their region-specific LEAP scenario results into tables on the tab labled "LEAP Scenario." This will over-write the State level results that are currently being referenced by the formulas in these worksheets.  </t>
  </si>
  <si>
    <r>
      <t xml:space="preserve">Total biofuel-blended heat energy consumed by Businesses in </t>
    </r>
    <r>
      <rPr>
        <b/>
        <sz val="10"/>
        <color theme="1"/>
        <rFont val="Calibri"/>
        <family val="2"/>
        <scheme val="minor"/>
      </rPr>
      <t>CAP Central Mitigation Scenario</t>
    </r>
    <r>
      <rPr>
        <sz val="10"/>
        <color theme="1"/>
        <rFont val="Calibri"/>
        <family val="2"/>
        <scheme val="minor"/>
      </rPr>
      <t>, in millions of Btu (taken from Table 6)</t>
    </r>
  </si>
  <si>
    <r>
      <t xml:space="preserve">This formula computes the biofuel share of biofuel-blended heat consumed by Commercial buildings in the </t>
    </r>
    <r>
      <rPr>
        <b/>
        <sz val="10"/>
        <color theme="1"/>
        <rFont val="Calibri"/>
        <family val="2"/>
        <scheme val="minor"/>
      </rPr>
      <t>CAP Central Mitigation Scenario.</t>
    </r>
  </si>
  <si>
    <r>
      <t xml:space="preserve">This formula computes an estimate the number of businesses using biofuel-blended heat energy in the </t>
    </r>
    <r>
      <rPr>
        <b/>
        <sz val="10"/>
        <color theme="1"/>
        <rFont val="Calibri"/>
        <family val="2"/>
        <scheme val="minor"/>
      </rPr>
      <t>CAP Central Mitigation Scenario</t>
    </r>
    <r>
      <rPr>
        <sz val="10"/>
        <color theme="1"/>
        <rFont val="Calibri"/>
        <family val="2"/>
        <scheme val="minor"/>
      </rPr>
      <t xml:space="preserve"> based on values inputted in the "1.Current Heat" tab.</t>
    </r>
  </si>
  <si>
    <r>
      <t xml:space="preserve">This formula computes the estimated share of area businesses using biofuel blends in the </t>
    </r>
    <r>
      <rPr>
        <b/>
        <sz val="10"/>
        <color theme="1"/>
        <rFont val="Calibri"/>
        <family val="2"/>
        <scheme val="minor"/>
      </rPr>
      <t xml:space="preserve">CAP Central Mitigation Scenario </t>
    </r>
    <r>
      <rPr>
        <sz val="10"/>
        <color theme="1"/>
        <rFont val="Calibri"/>
        <family val="2"/>
        <scheme val="minor"/>
      </rPr>
      <t xml:space="preserve">based on values inputted above and in the "1.Current Heat" tab. If Planners find that this percentage is too high or low for the area, adjustments can be made to Table 6 using the exchange rates above. See the "Exchange Example" tab for an example of how to make such adjustments. </t>
    </r>
  </si>
  <si>
    <r>
      <t xml:space="preserve">Total wood heat energy consumed by area businesses in </t>
    </r>
    <r>
      <rPr>
        <b/>
        <sz val="10"/>
        <color theme="1"/>
        <rFont val="Calibri"/>
        <family val="2"/>
        <scheme val="minor"/>
      </rPr>
      <t>CAP Central Mitigation Scenario</t>
    </r>
    <r>
      <rPr>
        <sz val="10"/>
        <color theme="1"/>
        <rFont val="Calibri"/>
        <family val="2"/>
        <scheme val="minor"/>
      </rPr>
      <t>, in millions of Btu (taken from Table 6)</t>
    </r>
  </si>
  <si>
    <r>
      <t xml:space="preserve">This formula computes an estimate of the number of area businesses using Wood heat energy in the </t>
    </r>
    <r>
      <rPr>
        <b/>
        <sz val="10"/>
        <color theme="1"/>
        <rFont val="Calibri"/>
        <family val="2"/>
        <scheme val="minor"/>
      </rPr>
      <t>CAP Central Mitigation Scenario</t>
    </r>
    <r>
      <rPr>
        <sz val="10"/>
        <color theme="1"/>
        <rFont val="Calibri"/>
        <family val="2"/>
        <scheme val="minor"/>
      </rPr>
      <t xml:space="preserve"> based on values inputted above and in the "1.Current Heat" tab.</t>
    </r>
  </si>
  <si>
    <r>
      <t xml:space="preserve">This formula computes the estimated share of area businesses using Wood heat  in the </t>
    </r>
    <r>
      <rPr>
        <b/>
        <sz val="10"/>
        <color theme="1"/>
        <rFont val="Calibri"/>
        <family val="2"/>
        <scheme val="minor"/>
      </rPr>
      <t>CAP Central Mitigation Scenario</t>
    </r>
    <r>
      <rPr>
        <sz val="10"/>
        <color theme="1"/>
        <rFont val="Calibri"/>
        <family val="2"/>
        <scheme val="minor"/>
      </rPr>
      <t>, based on values inputted in the "1.Current Heat" tab.</t>
    </r>
  </si>
  <si>
    <r>
      <t xml:space="preserve">CAP Mitigation Statewide </t>
    </r>
    <r>
      <rPr>
        <b/>
        <sz val="11"/>
        <color theme="1"/>
        <rFont val="Calibri"/>
        <family val="2"/>
        <scheme val="minor"/>
      </rPr>
      <t>Commercial</t>
    </r>
    <r>
      <rPr>
        <sz val="11"/>
        <color theme="1"/>
        <rFont val="Calibri"/>
        <family val="2"/>
        <scheme val="minor"/>
      </rPr>
      <t xml:space="preserve"> New Cold Climate Heat Pumps</t>
    </r>
  </si>
  <si>
    <t>New CCHP</t>
  </si>
  <si>
    <t>Enter a projection of the number of future commercial buildings in the area by each year. Note, estimate for 2015 pulled in automatically from the "Current Heat" tab, estimates for 2025, 2035, and 2050 will need to be manually added.</t>
  </si>
  <si>
    <r>
      <t xml:space="preserve">Estimate of new heat pump units in Commercial buildings in the </t>
    </r>
    <r>
      <rPr>
        <b/>
        <sz val="10"/>
        <color theme="1"/>
        <rFont val="Calibri"/>
        <family val="2"/>
        <scheme val="minor"/>
      </rPr>
      <t xml:space="preserve">CAP Central Mitigation Scenario. </t>
    </r>
    <r>
      <rPr>
        <sz val="10"/>
        <color theme="1"/>
        <rFont val="Calibri"/>
        <family val="2"/>
        <scheme val="minor"/>
      </rPr>
      <t>In this scenario, heat pumps are assumed to heat 80% of commercial floorspace by 2040. The number of heat pumps needed per building will vary considerably based on commercial building floorspace. In the model, SEI assumed one representative device would heat 512 square feet of commercial floorspace.</t>
    </r>
  </si>
  <si>
    <r>
      <t xml:space="preserve">Total biogas-blended heat energy consumed by Businesses in </t>
    </r>
    <r>
      <rPr>
        <b/>
        <sz val="10"/>
        <color theme="1"/>
        <rFont val="Calibri"/>
        <family val="2"/>
        <scheme val="minor"/>
      </rPr>
      <t xml:space="preserve">CAP Central Mitigation Scenario </t>
    </r>
    <r>
      <rPr>
        <sz val="10"/>
        <color theme="1"/>
        <rFont val="Calibri"/>
        <family val="2"/>
        <scheme val="minor"/>
      </rPr>
      <t>in millions of Btu (taken from Table 6)</t>
    </r>
  </si>
  <si>
    <r>
      <t xml:space="preserve">This formula computes the estimated share of area businesses using biogas blends in the </t>
    </r>
    <r>
      <rPr>
        <b/>
        <sz val="10"/>
        <color theme="1"/>
        <rFont val="Calibri"/>
        <family val="2"/>
        <scheme val="minor"/>
      </rPr>
      <t>CAP Central Mitigation Scenario</t>
    </r>
    <r>
      <rPr>
        <sz val="10"/>
        <color theme="1"/>
        <rFont val="Calibri"/>
        <family val="2"/>
        <scheme val="minor"/>
      </rPr>
      <t xml:space="preserve"> based on values inputted above and in the "1.Current Heat" tab. If Planners find that this percentage is too high or low for the area, adjustments can be made to Table 6 using the exchange rates above. See the "Exchange Example" tab for an example of how to make such adjustments. </t>
    </r>
  </si>
  <si>
    <r>
      <t xml:space="preserve">Total non-blended fossil heat (propane, gaoline) energy consumed by area businesses in </t>
    </r>
    <r>
      <rPr>
        <b/>
        <sz val="10"/>
        <color theme="1"/>
        <rFont val="Calibri"/>
        <family val="2"/>
        <scheme val="minor"/>
      </rPr>
      <t>CAP Central Mitigation Scenario</t>
    </r>
    <r>
      <rPr>
        <sz val="10"/>
        <color theme="1"/>
        <rFont val="Calibri"/>
        <family val="2"/>
        <scheme val="minor"/>
      </rPr>
      <t>, in millions of Btu (taken from Table 6)</t>
    </r>
  </si>
  <si>
    <r>
      <t xml:space="preserve">Total electricity consumed for LDV transportation (passenger cars and light trucks) in </t>
    </r>
    <r>
      <rPr>
        <b/>
        <sz val="10"/>
        <color theme="1"/>
        <rFont val="Calibri"/>
        <family val="2"/>
        <scheme val="minor"/>
      </rPr>
      <t>CAP Central Mitigation Scenario</t>
    </r>
    <r>
      <rPr>
        <sz val="10"/>
        <color theme="1"/>
        <rFont val="Calibri"/>
        <family val="2"/>
        <scheme val="minor"/>
      </rPr>
      <t>, in millions of Btu (taken from Table 10 and 12).</t>
    </r>
  </si>
  <si>
    <r>
      <t xml:space="preserve">Total biofuel-blended energy consumed for LDV transportation in </t>
    </r>
    <r>
      <rPr>
        <b/>
        <sz val="10"/>
        <color theme="1"/>
        <rFont val="Calibri"/>
        <family val="2"/>
        <scheme val="minor"/>
      </rPr>
      <t>CAP Central Mitigation</t>
    </r>
    <r>
      <rPr>
        <sz val="10"/>
        <color theme="1"/>
        <rFont val="Calibri"/>
        <family val="2"/>
        <scheme val="minor"/>
      </rPr>
      <t xml:space="preserve"> </t>
    </r>
    <r>
      <rPr>
        <b/>
        <sz val="10"/>
        <color theme="1"/>
        <rFont val="Calibri"/>
        <family val="2"/>
        <scheme val="minor"/>
      </rPr>
      <t>Scenario</t>
    </r>
    <r>
      <rPr>
        <sz val="10"/>
        <color theme="1"/>
        <rFont val="Calibri"/>
        <family val="2"/>
        <scheme val="minor"/>
      </rPr>
      <t xml:space="preserve">, in millions of Btu (taken from Table 10 and 12). </t>
    </r>
    <r>
      <rPr>
        <u/>
        <sz val="10"/>
        <color theme="1"/>
        <rFont val="Calibri"/>
        <family val="2"/>
        <scheme val="minor"/>
      </rPr>
      <t xml:space="preserve">Note: </t>
    </r>
    <r>
      <rPr>
        <sz val="10"/>
        <color theme="1"/>
        <rFont val="Calibri"/>
        <family val="2"/>
        <scheme val="minor"/>
      </rPr>
      <t>This does not include the electricity used by PHEV.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</si>
</sst>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7" formatCode="_(* #,##0_);_(* \(#,##0\);_(* &quot;-&quot;??_);_(@_)"/>
    <numFmt numFmtId="168" formatCode="_ * #,##0_ ;_ * \-#,##0_ ;_ * &quot;&quot;\-&quot;&quot;??_ ;_ @_ "/>
  </numFmts>
  <fonts count="32"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8"/>
      <name val="Arial"/>
      <family val="2"/>
    </font>
    <font>
      <sz val="9"/>
      <name val="Arial"/>
      <family val="2"/>
    </font>
    <font>
      <sz val="10"/>
      <color theme="1"/>
      <name val="Calibri"/>
      <family val="2"/>
      <scheme val="minor"/>
    </font>
    <font>
      <sz val="11"/>
      <color rgb="FF3F3F76"/>
      <name val="Calibri"/>
      <family val="2"/>
      <scheme val="minor"/>
    </font>
    <font>
      <b/>
      <sz val="11"/>
      <color rgb="FF3F3F3F"/>
      <name val="Calibri"/>
      <family val="2"/>
      <scheme val="minor"/>
    </font>
    <font>
      <sz val="11"/>
      <name val="Calibri"/>
      <family val="2"/>
      <scheme val="minor"/>
    </font>
    <font>
      <sz val="9"/>
      <color indexed="81"/>
      <name val="Tahoma"/>
      <family val="2"/>
    </font>
    <font>
      <sz val="10"/>
      <name val="Arial"/>
      <family val="2"/>
    </font>
    <font>
      <sz val="10"/>
      <color rgb="FF3F3F76"/>
      <name val="Calibri"/>
      <family val="2"/>
      <scheme val="minor"/>
    </font>
    <font>
      <b/>
      <sz val="10"/>
      <color rgb="FF3F3F3F"/>
      <name val="Calibri"/>
      <family val="2"/>
      <scheme val="minor"/>
    </font>
    <font>
      <u/>
      <sz val="14"/>
      <color theme="1"/>
      <name val="Calibri"/>
      <family val="2"/>
      <scheme val="minor"/>
    </font>
    <font>
      <b/>
      <u/>
      <sz val="16"/>
      <color theme="1"/>
      <name val="Calibri"/>
      <family val="2"/>
      <scheme val="minor"/>
    </font>
    <font>
      <b/>
      <u/>
      <sz val="11"/>
      <color theme="1"/>
      <name val="Calibri"/>
      <family val="2"/>
      <scheme val="minor"/>
    </font>
    <font>
      <u/>
      <sz val="12"/>
      <color theme="1"/>
      <name val="Calibri"/>
      <family val="2"/>
      <scheme val="minor"/>
    </font>
    <font>
      <b/>
      <i/>
      <sz val="11"/>
      <color rgb="FF0070C0"/>
      <name val="Calibri"/>
      <family val="2"/>
      <scheme val="minor"/>
    </font>
    <font>
      <i/>
      <sz val="12"/>
      <color theme="1"/>
      <name val="Calibri"/>
      <family val="2"/>
      <scheme val="minor"/>
    </font>
    <font>
      <i/>
      <sz val="11"/>
      <color rgb="FF0070C0"/>
      <name val="Calibri"/>
      <family val="2"/>
      <scheme val="minor"/>
    </font>
    <font>
      <sz val="11"/>
      <color rgb="FFFF0000"/>
      <name val="Calibri"/>
      <family val="2"/>
      <scheme val="minor"/>
    </font>
    <font>
      <i/>
      <sz val="11"/>
      <color theme="1"/>
      <name val="Calibri"/>
      <family val="2"/>
      <scheme val="minor"/>
    </font>
    <font>
      <b/>
      <sz val="9"/>
      <color indexed="81"/>
      <name val="Tahoma"/>
      <family val="2"/>
    </font>
    <font>
      <b/>
      <sz val="10"/>
      <color theme="1"/>
      <name val="Calibri"/>
      <family val="2"/>
      <scheme val="minor"/>
    </font>
    <font>
      <u/>
      <sz val="10"/>
      <color theme="1"/>
      <name val="Calibri"/>
      <family val="2"/>
      <scheme val="minor"/>
    </font>
    <font>
      <sz val="14"/>
      <color theme="1"/>
      <name val="Calibri"/>
      <family val="2"/>
      <scheme val="minor"/>
    </font>
    <font>
      <i/>
      <sz val="14"/>
      <color theme="1"/>
      <name val="Calibri"/>
      <family val="2"/>
      <scheme val="minor"/>
    </font>
    <font>
      <sz val="14"/>
      <name val="Calibri"/>
      <family val="2"/>
      <scheme val="minor"/>
    </font>
    <font>
      <sz val="14"/>
      <color rgb="FF3F3F76"/>
      <name val="Calibri"/>
      <family val="2"/>
      <scheme val="minor"/>
    </font>
    <font>
      <b/>
      <sz val="14"/>
      <color rgb="FF3F3F3F"/>
      <name val="Calibri"/>
      <family val="2"/>
      <scheme val="minor"/>
    </font>
    <font>
      <i/>
      <sz val="9"/>
      <color indexed="81"/>
      <name val="Tahoma"/>
      <family val="2"/>
    </font>
  </fonts>
  <fills count="11">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rgb="FFFFCC99"/>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CCCCCE"/>
        <bgColor indexed="64"/>
      </patternFill>
    </fill>
    <fill>
      <patternFill patternType="solid">
        <fgColor theme="6" tint="0.39997558519241921"/>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7F7F7F"/>
      </left>
      <right style="thin">
        <color rgb="FF7F7F7F"/>
      </right>
      <top style="thin">
        <color indexed="64"/>
      </top>
      <bottom style="thin">
        <color rgb="FF7F7F7F"/>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style="thin">
        <color rgb="FF3F3F3F"/>
      </left>
      <right/>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7F7F7F"/>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rgb="FF3F3F3F"/>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rgb="FF7F7F7F"/>
      </right>
      <top/>
      <bottom/>
      <diagonal/>
    </border>
    <border>
      <left style="thin">
        <color rgb="FF7F7F7F"/>
      </left>
      <right style="thin">
        <color rgb="FF7F7F7F"/>
      </right>
      <top/>
      <bottom/>
      <diagonal/>
    </border>
    <border>
      <left style="thin">
        <color rgb="FF7F7F7F"/>
      </left>
      <right style="thin">
        <color indexed="64"/>
      </right>
      <top/>
      <bottom/>
      <diagonal/>
    </border>
  </borders>
  <cellStyleXfs count="6">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2" borderId="13" applyNumberFormat="0" applyAlignment="0" applyProtection="0"/>
    <xf numFmtId="0" fontId="8" fillId="3" borderId="14" applyNumberFormat="0" applyAlignment="0" applyProtection="0"/>
    <xf numFmtId="0" fontId="2" fillId="4" borderId="15" applyNumberFormat="0" applyFont="0" applyAlignment="0" applyProtection="0"/>
  </cellStyleXfs>
  <cellXfs count="295">
    <xf numFmtId="0" fontId="0" fillId="0" borderId="0" xfId="0"/>
    <xf numFmtId="0" fontId="0" fillId="0" borderId="4" xfId="0" applyBorder="1"/>
    <xf numFmtId="0" fontId="0" fillId="0" borderId="5" xfId="0" applyBorder="1"/>
    <xf numFmtId="3" fontId="0" fillId="0" borderId="0" xfId="0" applyNumberFormat="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1" fillId="0" borderId="1" xfId="0" applyFont="1" applyBorder="1"/>
    <xf numFmtId="0" fontId="1" fillId="0" borderId="2" xfId="0" applyFont="1" applyBorder="1"/>
    <xf numFmtId="0" fontId="1" fillId="0" borderId="3" xfId="0" applyFont="1" applyBorder="1"/>
    <xf numFmtId="0" fontId="1" fillId="0" borderId="12" xfId="0" applyFont="1" applyBorder="1"/>
    <xf numFmtId="3" fontId="0" fillId="0" borderId="12" xfId="0" applyNumberFormat="1" applyBorder="1"/>
    <xf numFmtId="9" fontId="0" fillId="0" borderId="0" xfId="2" applyFont="1" applyFill="1" applyBorder="1"/>
    <xf numFmtId="9" fontId="0" fillId="0" borderId="0" xfId="2" applyFont="1"/>
    <xf numFmtId="9" fontId="0" fillId="0" borderId="0" xfId="0" applyNumberFormat="1"/>
    <xf numFmtId="0" fontId="3" fillId="0" borderId="0" xfId="0" applyFont="1"/>
    <xf numFmtId="0" fontId="0" fillId="0" borderId="0" xfId="0" applyAlignment="1">
      <alignment horizontal="left"/>
    </xf>
    <xf numFmtId="1" fontId="0" fillId="0" borderId="0" xfId="0" applyNumberFormat="1"/>
    <xf numFmtId="4" fontId="0" fillId="0" borderId="0" xfId="0" applyNumberFormat="1"/>
    <xf numFmtId="3" fontId="0" fillId="0" borderId="0" xfId="0" applyNumberFormat="1" applyAlignment="1">
      <alignment horizontal="left"/>
    </xf>
    <xf numFmtId="3" fontId="7" fillId="2" borderId="13" xfId="3" applyNumberFormat="1" applyAlignment="1">
      <alignment horizontal="center" vertical="center"/>
    </xf>
    <xf numFmtId="0" fontId="11" fillId="0" borderId="9" xfId="0" applyFont="1" applyBorder="1" applyAlignment="1">
      <alignment horizontal="left" vertical="center"/>
    </xf>
    <xf numFmtId="3" fontId="11" fillId="0" borderId="2" xfId="0" applyNumberFormat="1" applyFont="1" applyBorder="1" applyAlignment="1">
      <alignment horizontal="center" vertical="center"/>
    </xf>
    <xf numFmtId="9" fontId="11" fillId="0" borderId="3" xfId="2" applyFont="1" applyBorder="1" applyAlignment="1">
      <alignment horizontal="center" vertical="center"/>
    </xf>
    <xf numFmtId="3" fontId="11" fillId="0" borderId="0" xfId="0" applyNumberFormat="1" applyFont="1" applyAlignment="1">
      <alignment horizontal="center" vertical="center"/>
    </xf>
    <xf numFmtId="9" fontId="11" fillId="0" borderId="5" xfId="2" applyFont="1" applyBorder="1" applyAlignment="1">
      <alignment horizontal="center" vertical="center"/>
    </xf>
    <xf numFmtId="0" fontId="5" fillId="0" borderId="9" xfId="0" applyFont="1" applyBorder="1"/>
    <xf numFmtId="0" fontId="11" fillId="0" borderId="10" xfId="0" applyFont="1" applyBorder="1" applyAlignment="1">
      <alignment horizontal="center" vertical="center"/>
    </xf>
    <xf numFmtId="3" fontId="13" fillId="3" borderId="19" xfId="4" applyNumberFormat="1" applyFont="1" applyBorder="1" applyAlignment="1">
      <alignment horizontal="center" vertical="center"/>
    </xf>
    <xf numFmtId="0" fontId="5" fillId="0" borderId="1" xfId="0" applyFont="1" applyBorder="1" applyAlignment="1">
      <alignment vertical="top" wrapText="1"/>
    </xf>
    <xf numFmtId="0" fontId="5" fillId="0" borderId="4" xfId="0" applyFont="1" applyBorder="1" applyAlignment="1">
      <alignment vertical="top" wrapText="1"/>
    </xf>
    <xf numFmtId="0" fontId="4" fillId="0" borderId="4" xfId="0" applyFont="1" applyBorder="1" applyAlignment="1">
      <alignment vertical="top"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4" fillId="0" borderId="0" xfId="0" applyFont="1"/>
    <xf numFmtId="0" fontId="15" fillId="0" borderId="0" xfId="0" applyFont="1"/>
    <xf numFmtId="0" fontId="16" fillId="0" borderId="0" xfId="0" applyFont="1"/>
    <xf numFmtId="0" fontId="0" fillId="0" borderId="0" xfId="0" applyAlignment="1">
      <alignment horizontal="center" vertical="center"/>
    </xf>
    <xf numFmtId="3" fontId="8" fillId="3" borderId="14" xfId="4" applyNumberFormat="1" applyAlignment="1">
      <alignment horizontal="center" vertical="center"/>
    </xf>
    <xf numFmtId="3" fontId="0" fillId="0" borderId="0" xfId="0" applyNumberFormat="1" applyAlignment="1">
      <alignment horizontal="center" vertical="center"/>
    </xf>
    <xf numFmtId="0" fontId="0" fillId="0" borderId="0" xfId="0" applyAlignment="1">
      <alignment vertical="center"/>
    </xf>
    <xf numFmtId="0" fontId="17" fillId="0" borderId="0" xfId="0" applyFont="1"/>
    <xf numFmtId="3" fontId="0" fillId="0" borderId="4" xfId="0" applyNumberFormat="1" applyBorder="1" applyAlignment="1">
      <alignment horizontal="center"/>
    </xf>
    <xf numFmtId="3" fontId="0" fillId="0" borderId="0" xfId="0" applyNumberFormat="1" applyAlignment="1">
      <alignment horizontal="center"/>
    </xf>
    <xf numFmtId="3" fontId="0" fillId="0" borderId="5" xfId="0" applyNumberFormat="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0" fillId="0" borderId="23" xfId="0" applyBorder="1"/>
    <xf numFmtId="0" fontId="0" fillId="0" borderId="24" xfId="0" applyBorder="1"/>
    <xf numFmtId="0" fontId="0" fillId="0" borderId="25" xfId="0" applyBorder="1"/>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9" fontId="0" fillId="0" borderId="0" xfId="0" applyNumberFormat="1" applyAlignment="1">
      <alignment horizontal="center"/>
    </xf>
    <xf numFmtId="3" fontId="0" fillId="0" borderId="1"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18" fillId="0" borderId="0" xfId="0" applyNumberFormat="1" applyFont="1"/>
    <xf numFmtId="3" fontId="18" fillId="0" borderId="5" xfId="0" applyNumberFormat="1" applyFont="1" applyBorder="1"/>
    <xf numFmtId="3" fontId="7" fillId="2" borderId="0" xfId="3" applyNumberFormat="1" applyBorder="1" applyAlignment="1">
      <alignment horizontal="center"/>
    </xf>
    <xf numFmtId="3" fontId="7" fillId="2" borderId="4" xfId="3" applyNumberFormat="1" applyBorder="1" applyAlignment="1">
      <alignment horizontal="center"/>
    </xf>
    <xf numFmtId="3" fontId="7" fillId="2" borderId="5" xfId="3" applyNumberFormat="1" applyBorder="1" applyAlignment="1">
      <alignment horizontal="center"/>
    </xf>
    <xf numFmtId="164" fontId="0" fillId="0" borderId="6" xfId="2" applyNumberFormat="1" applyFont="1" applyBorder="1" applyAlignment="1">
      <alignment horizontal="center"/>
    </xf>
    <xf numFmtId="164" fontId="0" fillId="0" borderId="7" xfId="2" applyNumberFormat="1" applyFont="1" applyBorder="1" applyAlignment="1">
      <alignment horizontal="center"/>
    </xf>
    <xf numFmtId="164" fontId="0" fillId="0" borderId="8" xfId="2" applyNumberFormat="1" applyFont="1" applyBorder="1" applyAlignment="1">
      <alignment horizontal="center"/>
    </xf>
    <xf numFmtId="1" fontId="0" fillId="0" borderId="0" xfId="2" applyNumberFormat="1" applyFont="1"/>
    <xf numFmtId="1" fontId="0" fillId="0" borderId="9" xfId="0" applyNumberFormat="1" applyBorder="1" applyAlignment="1">
      <alignment horizontal="center"/>
    </xf>
    <xf numFmtId="1" fontId="0" fillId="0" borderId="10" xfId="0" applyNumberFormat="1" applyBorder="1" applyAlignment="1">
      <alignment horizontal="center"/>
    </xf>
    <xf numFmtId="1" fontId="0" fillId="0" borderId="11" xfId="0" applyNumberFormat="1" applyBorder="1" applyAlignment="1">
      <alignment horizontal="center"/>
    </xf>
    <xf numFmtId="9" fontId="0" fillId="0" borderId="4" xfId="2" applyFont="1" applyBorder="1" applyAlignment="1">
      <alignment horizontal="center"/>
    </xf>
    <xf numFmtId="9" fontId="0" fillId="0" borderId="0" xfId="2" applyFont="1" applyBorder="1" applyAlignment="1">
      <alignment horizontal="center"/>
    </xf>
    <xf numFmtId="9" fontId="0" fillId="0" borderId="5" xfId="2" applyFont="1" applyBorder="1" applyAlignment="1">
      <alignment horizontal="center"/>
    </xf>
    <xf numFmtId="3" fontId="0" fillId="0" borderId="26" xfId="0" applyNumberFormat="1" applyBorder="1" applyAlignment="1">
      <alignment horizontal="center"/>
    </xf>
    <xf numFmtId="0" fontId="0" fillId="5" borderId="0" xfId="0" applyFill="1"/>
    <xf numFmtId="164" fontId="20" fillId="0" borderId="6" xfId="2" applyNumberFormat="1" applyFont="1" applyBorder="1" applyAlignment="1">
      <alignment horizontal="center"/>
    </xf>
    <xf numFmtId="164" fontId="20" fillId="0" borderId="7" xfId="2" applyNumberFormat="1" applyFont="1" applyBorder="1" applyAlignment="1">
      <alignment horizontal="center"/>
    </xf>
    <xf numFmtId="164" fontId="20" fillId="0" borderId="8" xfId="2" applyNumberFormat="1" applyFont="1" applyBorder="1" applyAlignment="1">
      <alignment horizontal="center"/>
    </xf>
    <xf numFmtId="1" fontId="20" fillId="0" borderId="9" xfId="0" applyNumberFormat="1" applyFont="1" applyBorder="1" applyAlignment="1">
      <alignment horizontal="center"/>
    </xf>
    <xf numFmtId="1" fontId="20" fillId="0" borderId="10" xfId="0" applyNumberFormat="1" applyFont="1" applyBorder="1" applyAlignment="1">
      <alignment horizontal="center"/>
    </xf>
    <xf numFmtId="9" fontId="20" fillId="0" borderId="6" xfId="2" applyFont="1" applyBorder="1" applyAlignment="1">
      <alignment horizontal="center"/>
    </xf>
    <xf numFmtId="1" fontId="20" fillId="0" borderId="11" xfId="0" applyNumberFormat="1" applyFont="1" applyBorder="1" applyAlignment="1">
      <alignment horizontal="center"/>
    </xf>
    <xf numFmtId="9" fontId="0" fillId="0" borderId="27" xfId="2" applyFont="1" applyBorder="1" applyAlignment="1">
      <alignment horizontal="center"/>
    </xf>
    <xf numFmtId="3" fontId="0" fillId="0" borderId="27" xfId="0" applyNumberFormat="1" applyBorder="1" applyAlignment="1">
      <alignment horizontal="center"/>
    </xf>
    <xf numFmtId="9" fontId="20" fillId="0" borderId="29" xfId="2" applyFont="1" applyBorder="1" applyAlignment="1">
      <alignment horizontal="center"/>
    </xf>
    <xf numFmtId="9" fontId="0" fillId="0" borderId="29" xfId="2" applyFont="1" applyBorder="1" applyAlignment="1">
      <alignment horizontal="center"/>
    </xf>
    <xf numFmtId="3" fontId="7" fillId="2" borderId="13" xfId="3" applyNumberFormat="1" applyAlignment="1">
      <alignment horizontal="right" vertical="center"/>
    </xf>
    <xf numFmtId="3" fontId="0" fillId="0" borderId="0" xfId="0" applyNumberFormat="1" applyAlignment="1">
      <alignment vertical="center"/>
    </xf>
    <xf numFmtId="3" fontId="8" fillId="3" borderId="14" xfId="4" applyNumberFormat="1" applyAlignment="1">
      <alignment vertical="center"/>
    </xf>
    <xf numFmtId="3" fontId="7" fillId="2" borderId="13" xfId="3" applyNumberFormat="1" applyAlignment="1">
      <alignment vertical="center"/>
    </xf>
    <xf numFmtId="0" fontId="6" fillId="0" borderId="0" xfId="0" applyFont="1"/>
    <xf numFmtId="43" fontId="6" fillId="0" borderId="0" xfId="1" applyFont="1"/>
    <xf numFmtId="3" fontId="0" fillId="0" borderId="4" xfId="0" applyNumberFormat="1" applyBorder="1" applyAlignment="1">
      <alignment horizontal="center" vertical="center"/>
    </xf>
    <xf numFmtId="3" fontId="0" fillId="0" borderId="5" xfId="0" applyNumberFormat="1" applyBorder="1" applyAlignment="1">
      <alignment horizontal="center" vertical="center"/>
    </xf>
    <xf numFmtId="9" fontId="0" fillId="0" borderId="6" xfId="2" applyFont="1" applyBorder="1" applyAlignment="1">
      <alignment horizontal="center" vertical="center"/>
    </xf>
    <xf numFmtId="9" fontId="0" fillId="0" borderId="7" xfId="2" applyFont="1" applyBorder="1" applyAlignment="1">
      <alignment horizontal="center" vertical="center"/>
    </xf>
    <xf numFmtId="9" fontId="0" fillId="0" borderId="8" xfId="2" applyFont="1" applyBorder="1" applyAlignment="1">
      <alignment horizontal="center" vertical="center"/>
    </xf>
    <xf numFmtId="0" fontId="14"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9" fontId="0" fillId="0" borderId="0" xfId="2" applyFont="1" applyBorder="1" applyAlignment="1">
      <alignment horizontal="center" vertical="center"/>
    </xf>
    <xf numFmtId="3" fontId="0" fillId="0" borderId="1" xfId="0" applyNumberForma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9" fontId="0" fillId="0" borderId="4" xfId="2" applyFont="1"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0" fontId="0" fillId="5" borderId="0" xfId="0" applyFill="1" applyAlignment="1">
      <alignment horizontal="left" wrapText="1"/>
    </xf>
    <xf numFmtId="3" fontId="12" fillId="2" borderId="13" xfId="3" applyNumberFormat="1" applyFont="1" applyAlignment="1">
      <alignment horizontal="center" vertical="center"/>
    </xf>
    <xf numFmtId="3" fontId="0" fillId="0" borderId="30" xfId="0" applyNumberFormat="1" applyBorder="1" applyAlignment="1">
      <alignment horizontal="center" vertical="center"/>
    </xf>
    <xf numFmtId="0" fontId="0" fillId="0" borderId="0" xfId="0" applyAlignment="1">
      <alignment wrapText="1"/>
    </xf>
    <xf numFmtId="3" fontId="11" fillId="0" borderId="10" xfId="0" applyNumberFormat="1" applyFont="1" applyBorder="1" applyAlignment="1">
      <alignment horizontal="center" vertical="center"/>
    </xf>
    <xf numFmtId="10" fontId="0" fillId="0" borderId="0" xfId="2" applyNumberFormat="1" applyFont="1" applyAlignment="1">
      <alignment horizontal="center" vertical="center"/>
    </xf>
    <xf numFmtId="9" fontId="7" fillId="0" borderId="0" xfId="3" applyNumberFormat="1" applyFill="1" applyBorder="1" applyAlignment="1">
      <alignment vertical="center"/>
    </xf>
    <xf numFmtId="3" fontId="11" fillId="0" borderId="18" xfId="5" applyNumberFormat="1" applyFont="1" applyFill="1" applyBorder="1" applyAlignment="1">
      <alignment horizontal="center" vertical="center"/>
    </xf>
    <xf numFmtId="3" fontId="12" fillId="6" borderId="17" xfId="3" applyNumberFormat="1" applyFont="1" applyFill="1" applyBorder="1" applyAlignment="1">
      <alignment horizontal="center" vertical="center"/>
    </xf>
    <xf numFmtId="0" fontId="11" fillId="6" borderId="12" xfId="0" applyFont="1" applyFill="1" applyBorder="1" applyAlignment="1">
      <alignment horizontal="center" vertical="center" wrapText="1"/>
    </xf>
    <xf numFmtId="3" fontId="7" fillId="2" borderId="12" xfId="3" applyNumberFormat="1" applyBorder="1" applyAlignment="1">
      <alignment horizontal="center" vertical="center"/>
    </xf>
    <xf numFmtId="167" fontId="0" fillId="0" borderId="0" xfId="0" applyNumberFormat="1"/>
    <xf numFmtId="167" fontId="0" fillId="0" borderId="0" xfId="1" applyNumberFormat="1" applyFont="1" applyBorder="1"/>
    <xf numFmtId="167" fontId="22" fillId="0" borderId="0" xfId="1" applyNumberFormat="1" applyFont="1" applyBorder="1" applyAlignment="1"/>
    <xf numFmtId="167" fontId="0" fillId="0" borderId="0" xfId="1" applyNumberFormat="1" applyFont="1" applyFill="1" applyBorder="1"/>
    <xf numFmtId="167" fontId="1" fillId="8" borderId="9" xfId="1" applyNumberFormat="1" applyFont="1" applyFill="1" applyBorder="1"/>
    <xf numFmtId="0" fontId="1" fillId="7" borderId="10" xfId="1" applyNumberFormat="1" applyFont="1" applyFill="1" applyBorder="1"/>
    <xf numFmtId="0" fontId="1" fillId="8" borderId="10" xfId="1" applyNumberFormat="1" applyFont="1" applyFill="1" applyBorder="1"/>
    <xf numFmtId="0" fontId="1" fillId="7" borderId="11" xfId="1" applyNumberFormat="1" applyFont="1" applyFill="1" applyBorder="1"/>
    <xf numFmtId="0" fontId="1" fillId="8" borderId="9" xfId="0" applyFont="1" applyFill="1" applyBorder="1"/>
    <xf numFmtId="167" fontId="0" fillId="0" borderId="4" xfId="1" applyNumberFormat="1" applyFont="1" applyBorder="1"/>
    <xf numFmtId="167" fontId="0" fillId="0" borderId="5" xfId="1" applyNumberFormat="1" applyFont="1" applyBorder="1"/>
    <xf numFmtId="167" fontId="22" fillId="0" borderId="4" xfId="1" applyNumberFormat="1" applyFont="1" applyBorder="1" applyAlignment="1">
      <alignment horizontal="right" vertical="center"/>
    </xf>
    <xf numFmtId="167" fontId="22" fillId="0" borderId="4" xfId="1" applyNumberFormat="1" applyFont="1" applyBorder="1" applyAlignment="1">
      <alignment horizontal="right"/>
    </xf>
    <xf numFmtId="167" fontId="22" fillId="0" borderId="5" xfId="1" applyNumberFormat="1" applyFont="1" applyBorder="1" applyAlignment="1"/>
    <xf numFmtId="167" fontId="0" fillId="0" borderId="5" xfId="1" applyNumberFormat="1" applyFont="1" applyFill="1" applyBorder="1"/>
    <xf numFmtId="167" fontId="0" fillId="0" borderId="4" xfId="1" applyNumberFormat="1" applyFont="1" applyFill="1" applyBorder="1"/>
    <xf numFmtId="167" fontId="1" fillId="8" borderId="10" xfId="1" applyNumberFormat="1" applyFont="1" applyFill="1" applyBorder="1"/>
    <xf numFmtId="167" fontId="1" fillId="8" borderId="11" xfId="1" applyNumberFormat="1" applyFont="1" applyFill="1" applyBorder="1"/>
    <xf numFmtId="167" fontId="0" fillId="0" borderId="2" xfId="1" applyNumberFormat="1" applyFont="1" applyBorder="1"/>
    <xf numFmtId="167" fontId="0" fillId="0" borderId="3" xfId="1" applyNumberFormat="1" applyFont="1" applyBorder="1"/>
    <xf numFmtId="167" fontId="0" fillId="0" borderId="7" xfId="1" applyNumberFormat="1" applyFont="1" applyBorder="1"/>
    <xf numFmtId="167" fontId="0" fillId="0" borderId="8" xfId="1" applyNumberFormat="1" applyFont="1" applyBorder="1"/>
    <xf numFmtId="9" fontId="7" fillId="0" borderId="4" xfId="2" applyFont="1" applyFill="1" applyBorder="1" applyAlignment="1">
      <alignment horizontal="center" vertical="center"/>
    </xf>
    <xf numFmtId="0" fontId="1" fillId="10" borderId="9" xfId="0" applyFont="1" applyFill="1" applyBorder="1"/>
    <xf numFmtId="0" fontId="1" fillId="10" borderId="10" xfId="0" applyFont="1" applyFill="1" applyBorder="1"/>
    <xf numFmtId="0" fontId="1" fillId="10" borderId="10" xfId="1" applyNumberFormat="1" applyFont="1" applyFill="1" applyBorder="1"/>
    <xf numFmtId="167" fontId="1" fillId="10" borderId="10" xfId="1" applyNumberFormat="1" applyFont="1" applyFill="1" applyBorder="1"/>
    <xf numFmtId="167" fontId="1" fillId="10" borderId="11" xfId="1" applyNumberFormat="1" applyFont="1" applyFill="1" applyBorder="1"/>
    <xf numFmtId="167" fontId="0" fillId="0" borderId="0" xfId="1" applyNumberFormat="1" applyFont="1"/>
    <xf numFmtId="167" fontId="0" fillId="0" borderId="4" xfId="1" applyNumberFormat="1" applyFont="1" applyFill="1" applyBorder="1" applyAlignment="1">
      <alignment horizontal="center" vertical="center"/>
    </xf>
    <xf numFmtId="9" fontId="0" fillId="0" borderId="4" xfId="2" applyFont="1" applyFill="1" applyBorder="1" applyAlignment="1">
      <alignment horizontal="center" vertical="center"/>
    </xf>
    <xf numFmtId="167" fontId="0" fillId="0" borderId="4" xfId="1" applyNumberFormat="1" applyFont="1" applyBorder="1" applyAlignment="1">
      <alignment horizontal="center" vertical="center"/>
    </xf>
    <xf numFmtId="0" fontId="1" fillId="9" borderId="9" xfId="0" applyFont="1" applyFill="1" applyBorder="1"/>
    <xf numFmtId="168" fontId="0" fillId="0" borderId="0" xfId="0" applyNumberFormat="1"/>
    <xf numFmtId="168" fontId="0" fillId="0" borderId="5" xfId="0" applyNumberFormat="1" applyBorder="1"/>
    <xf numFmtId="168" fontId="1" fillId="8" borderId="10" xfId="0" applyNumberFormat="1" applyFont="1" applyFill="1" applyBorder="1"/>
    <xf numFmtId="168" fontId="1" fillId="8" borderId="11" xfId="0" applyNumberFormat="1" applyFont="1" applyFill="1" applyBorder="1"/>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0" xfId="0" applyAlignment="1">
      <alignment horizontal="left" vertical="center"/>
    </xf>
    <xf numFmtId="0" fontId="0" fillId="0" borderId="0" xfId="0" applyAlignment="1">
      <alignment horizontal="left" vertical="center" wrapText="1"/>
    </xf>
    <xf numFmtId="0" fontId="0" fillId="0" borderId="16" xfId="0" applyBorder="1" applyAlignment="1">
      <alignment horizontal="left" vertical="center" wrapText="1"/>
    </xf>
    <xf numFmtId="0" fontId="0" fillId="0" borderId="20" xfId="0" applyBorder="1" applyAlignment="1">
      <alignment horizontal="left" vertical="center" wrapText="1"/>
    </xf>
    <xf numFmtId="0" fontId="0" fillId="0" borderId="20" xfId="0" applyBorder="1" applyAlignment="1">
      <alignment horizontal="left" vertic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3" fontId="7" fillId="2" borderId="21" xfId="3" applyNumberFormat="1" applyBorder="1" applyAlignment="1">
      <alignment horizontal="center" vertical="center"/>
    </xf>
    <xf numFmtId="3" fontId="7" fillId="2" borderId="22" xfId="3" applyNumberFormat="1" applyBorder="1" applyAlignment="1">
      <alignment horizontal="center" vertical="center"/>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0" xfId="0" applyFont="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3" fontId="7" fillId="2" borderId="4" xfId="3" applyNumberFormat="1" applyBorder="1" applyAlignment="1">
      <alignment horizontal="center"/>
    </xf>
    <xf numFmtId="3" fontId="7" fillId="2" borderId="0" xfId="3" applyNumberFormat="1" applyBorder="1" applyAlignment="1">
      <alignment horizontal="center"/>
    </xf>
    <xf numFmtId="3" fontId="7" fillId="2" borderId="5" xfId="3" applyNumberFormat="1" applyBorder="1" applyAlignment="1">
      <alignment horizontal="center"/>
    </xf>
    <xf numFmtId="0" fontId="26" fillId="5" borderId="1" xfId="0" applyFont="1" applyFill="1" applyBorder="1" applyAlignment="1">
      <alignment vertical="top" wrapText="1"/>
    </xf>
    <xf numFmtId="0" fontId="26" fillId="5" borderId="2" xfId="0" applyFont="1" applyFill="1" applyBorder="1" applyAlignment="1">
      <alignment vertical="top" wrapText="1"/>
    </xf>
    <xf numFmtId="0" fontId="26" fillId="5" borderId="3" xfId="0" applyFont="1" applyFill="1" applyBorder="1" applyAlignment="1">
      <alignment vertical="top" wrapText="1"/>
    </xf>
    <xf numFmtId="0" fontId="26" fillId="5" borderId="4" xfId="0" applyFont="1" applyFill="1" applyBorder="1" applyAlignment="1">
      <alignment vertical="top" wrapText="1"/>
    </xf>
    <xf numFmtId="0" fontId="26" fillId="5" borderId="0" xfId="0" applyFont="1" applyFill="1" applyAlignment="1">
      <alignment vertical="top" wrapText="1"/>
    </xf>
    <xf numFmtId="0" fontId="26" fillId="5" borderId="5" xfId="0" applyFont="1" applyFill="1" applyBorder="1" applyAlignment="1">
      <alignment vertical="top" wrapText="1"/>
    </xf>
    <xf numFmtId="0" fontId="26" fillId="5" borderId="4" xfId="0" applyFont="1" applyFill="1" applyBorder="1"/>
    <xf numFmtId="0" fontId="26" fillId="5" borderId="0" xfId="0" applyFont="1" applyFill="1"/>
    <xf numFmtId="0" fontId="26" fillId="5" borderId="0" xfId="0" applyFont="1" applyFill="1" applyAlignment="1">
      <alignment horizontal="left" vertical="center" wrapText="1"/>
    </xf>
    <xf numFmtId="0" fontId="26" fillId="5" borderId="5" xfId="0" applyFont="1" applyFill="1" applyBorder="1" applyAlignment="1">
      <alignment horizontal="left" vertical="center" wrapText="1"/>
    </xf>
    <xf numFmtId="0" fontId="28" fillId="5" borderId="0" xfId="0" applyFont="1" applyFill="1" applyAlignment="1">
      <alignment horizontal="left" vertical="center" wrapText="1"/>
    </xf>
    <xf numFmtId="0" fontId="28" fillId="5" borderId="5" xfId="0" applyFont="1" applyFill="1" applyBorder="1" applyAlignment="1">
      <alignment horizontal="left" vertical="center" wrapText="1"/>
    </xf>
    <xf numFmtId="0" fontId="26" fillId="5" borderId="5" xfId="0" applyFont="1" applyFill="1" applyBorder="1"/>
    <xf numFmtId="0" fontId="26" fillId="5" borderId="4" xfId="0" applyFont="1" applyFill="1" applyBorder="1" applyAlignment="1">
      <alignment horizontal="left" vertical="top" wrapText="1"/>
    </xf>
    <xf numFmtId="0" fontId="26" fillId="5" borderId="0" xfId="0" applyFont="1" applyFill="1" applyAlignment="1">
      <alignment horizontal="left" vertical="top" wrapText="1"/>
    </xf>
    <xf numFmtId="0" fontId="26" fillId="5" borderId="5" xfId="0" applyFont="1" applyFill="1" applyBorder="1" applyAlignment="1">
      <alignment horizontal="left" vertical="top" wrapText="1"/>
    </xf>
    <xf numFmtId="0" fontId="26" fillId="5" borderId="28" xfId="0" applyFont="1" applyFill="1" applyBorder="1" applyAlignment="1">
      <alignment horizontal="left" vertical="center" wrapText="1"/>
    </xf>
    <xf numFmtId="0" fontId="29" fillId="2" borderId="13" xfId="3" applyFont="1" applyAlignment="1">
      <alignment horizontal="center"/>
    </xf>
    <xf numFmtId="0" fontId="26" fillId="5" borderId="31" xfId="0" applyFont="1" applyFill="1" applyBorder="1" applyAlignment="1">
      <alignment horizontal="left" vertical="center" wrapText="1"/>
    </xf>
    <xf numFmtId="0" fontId="30" fillId="3" borderId="14" xfId="4" applyFont="1" applyAlignment="1">
      <alignment horizontal="center"/>
    </xf>
    <xf numFmtId="0" fontId="26" fillId="5" borderId="0" xfId="0" applyFont="1" applyFill="1" applyAlignment="1">
      <alignment horizontal="left" vertical="center" wrapText="1"/>
    </xf>
    <xf numFmtId="0" fontId="30" fillId="5" borderId="0" xfId="4" applyFont="1" applyFill="1" applyBorder="1" applyAlignment="1">
      <alignment horizontal="center"/>
    </xf>
    <xf numFmtId="0" fontId="28" fillId="5" borderId="4" xfId="0" applyFont="1" applyFill="1" applyBorder="1" applyAlignment="1">
      <alignment horizontal="left" vertical="top" wrapText="1"/>
    </xf>
    <xf numFmtId="0" fontId="28" fillId="5" borderId="0" xfId="0" applyFont="1" applyFill="1" applyAlignment="1">
      <alignment horizontal="left" vertical="top" wrapText="1"/>
    </xf>
    <xf numFmtId="0" fontId="28" fillId="5" borderId="5" xfId="0" applyFont="1" applyFill="1" applyBorder="1" applyAlignment="1">
      <alignment horizontal="left" vertical="top" wrapText="1"/>
    </xf>
    <xf numFmtId="0" fontId="28" fillId="5" borderId="6" xfId="0" applyFont="1" applyFill="1" applyBorder="1" applyAlignment="1">
      <alignment horizontal="left" vertical="top" wrapText="1"/>
    </xf>
    <xf numFmtId="0" fontId="28" fillId="5" borderId="7" xfId="0" applyFont="1" applyFill="1" applyBorder="1" applyAlignment="1">
      <alignment horizontal="left" vertical="top" wrapText="1"/>
    </xf>
    <xf numFmtId="0" fontId="28" fillId="5" borderId="8" xfId="0" applyFont="1" applyFill="1" applyBorder="1" applyAlignment="1">
      <alignment horizontal="left" vertical="top" wrapText="1"/>
    </xf>
    <xf numFmtId="167" fontId="22" fillId="0" borderId="4" xfId="1" applyNumberFormat="1" applyFont="1" applyFill="1" applyBorder="1" applyAlignment="1">
      <alignment horizontal="right" vertical="center"/>
    </xf>
    <xf numFmtId="167" fontId="22" fillId="0" borderId="4" xfId="1" applyNumberFormat="1" applyFont="1" applyFill="1" applyBorder="1" applyAlignment="1">
      <alignment horizontal="right"/>
    </xf>
    <xf numFmtId="0" fontId="0" fillId="0" borderId="4" xfId="0" applyFill="1" applyBorder="1"/>
    <xf numFmtId="0" fontId="0" fillId="7" borderId="9" xfId="0" applyFill="1" applyBorder="1" applyAlignment="1">
      <alignment horizontal="center" wrapText="1"/>
    </xf>
    <xf numFmtId="0" fontId="0" fillId="7" borderId="11" xfId="0" applyFill="1" applyBorder="1" applyAlignment="1">
      <alignment horizontal="center" wrapText="1"/>
    </xf>
    <xf numFmtId="0" fontId="0" fillId="0" borderId="0" xfId="0" applyFill="1"/>
    <xf numFmtId="0" fontId="6" fillId="0" borderId="0" xfId="0" applyFont="1" applyFill="1" applyAlignment="1">
      <alignment horizontal="left" vertical="center" wrapText="1"/>
    </xf>
    <xf numFmtId="3" fontId="0" fillId="0" borderId="0" xfId="0" applyNumberFormat="1" applyBorder="1" applyAlignment="1">
      <alignment horizontal="center" vertical="center"/>
    </xf>
    <xf numFmtId="3" fontId="0" fillId="0" borderId="32" xfId="0" applyNumberFormat="1" applyBorder="1" applyAlignment="1">
      <alignment horizontal="center" vertical="center"/>
    </xf>
    <xf numFmtId="3" fontId="0" fillId="0" borderId="33" xfId="0" applyNumberFormat="1" applyBorder="1" applyAlignment="1">
      <alignment horizontal="center" vertical="center"/>
    </xf>
    <xf numFmtId="3" fontId="7" fillId="2" borderId="13" xfId="3" applyNumberFormat="1" applyBorder="1" applyAlignment="1">
      <alignment horizontal="center" vertical="center"/>
    </xf>
    <xf numFmtId="3" fontId="7" fillId="2" borderId="0" xfId="3" applyNumberFormat="1" applyBorder="1" applyAlignment="1">
      <alignment horizontal="center" vertical="center"/>
    </xf>
    <xf numFmtId="9" fontId="7" fillId="0" borderId="0" xfId="2" applyFont="1" applyFill="1" applyBorder="1" applyAlignment="1">
      <alignment horizontal="center" vertical="center"/>
    </xf>
    <xf numFmtId="3" fontId="7" fillId="2" borderId="1" xfId="3" applyNumberFormat="1" applyBorder="1" applyAlignment="1">
      <alignment horizontal="center" vertical="center"/>
    </xf>
    <xf numFmtId="3" fontId="7" fillId="2" borderId="2" xfId="3" applyNumberFormat="1" applyBorder="1" applyAlignment="1">
      <alignment horizontal="center" vertical="center"/>
    </xf>
    <xf numFmtId="3" fontId="7" fillId="2" borderId="3" xfId="3" applyNumberFormat="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xf numFmtId="9" fontId="7" fillId="0" borderId="7" xfId="2" applyFont="1" applyFill="1" applyBorder="1" applyAlignment="1">
      <alignment horizontal="center" vertical="center"/>
    </xf>
    <xf numFmtId="9" fontId="7" fillId="0" borderId="8" xfId="2" applyFont="1" applyFill="1" applyBorder="1" applyAlignment="1">
      <alignment horizontal="center" vertical="center"/>
    </xf>
    <xf numFmtId="3" fontId="0" fillId="0" borderId="4" xfId="0" applyNumberFormat="1" applyFill="1" applyBorder="1" applyAlignment="1">
      <alignment horizontal="center" vertical="center"/>
    </xf>
    <xf numFmtId="3" fontId="0" fillId="0" borderId="0" xfId="0" applyNumberFormat="1" applyFill="1" applyBorder="1" applyAlignment="1">
      <alignment horizontal="center" vertical="center"/>
    </xf>
    <xf numFmtId="3" fontId="0" fillId="0" borderId="5" xfId="0" applyNumberFormat="1" applyFill="1" applyBorder="1" applyAlignment="1">
      <alignment horizontal="center" vertical="center"/>
    </xf>
    <xf numFmtId="3" fontId="7" fillId="2" borderId="34" xfId="3" applyNumberFormat="1" applyBorder="1" applyAlignment="1">
      <alignment horizontal="center" vertical="center"/>
    </xf>
    <xf numFmtId="3" fontId="7" fillId="2" borderId="35" xfId="3" applyNumberFormat="1" applyBorder="1" applyAlignment="1">
      <alignment horizontal="center" vertical="center"/>
    </xf>
    <xf numFmtId="3" fontId="7" fillId="2" borderId="36" xfId="3" applyNumberFormat="1" applyBorder="1" applyAlignment="1">
      <alignment horizontal="center" vertical="center"/>
    </xf>
    <xf numFmtId="3" fontId="7" fillId="2" borderId="4" xfId="3" applyNumberFormat="1" applyBorder="1" applyAlignment="1">
      <alignment horizontal="center" vertical="center"/>
    </xf>
    <xf numFmtId="3" fontId="7" fillId="2" borderId="5" xfId="3" applyNumberFormat="1" applyBorder="1" applyAlignment="1">
      <alignment horizontal="center" vertical="center"/>
    </xf>
    <xf numFmtId="9" fontId="0" fillId="0" borderId="5" xfId="2" applyFont="1" applyBorder="1" applyAlignment="1">
      <alignment horizontal="center" vertical="center"/>
    </xf>
    <xf numFmtId="167" fontId="0" fillId="0" borderId="0" xfId="1" applyNumberFormat="1" applyFont="1" applyFill="1" applyBorder="1" applyAlignment="1">
      <alignment horizontal="center" vertical="center"/>
    </xf>
    <xf numFmtId="9" fontId="0" fillId="0" borderId="0" xfId="2" applyFont="1" applyFill="1" applyBorder="1" applyAlignment="1">
      <alignment horizontal="center" vertical="center"/>
    </xf>
    <xf numFmtId="167" fontId="0" fillId="0" borderId="1" xfId="1" applyNumberFormat="1" applyFont="1" applyFill="1" applyBorder="1" applyAlignment="1">
      <alignment horizontal="center" vertical="center"/>
    </xf>
    <xf numFmtId="167" fontId="0" fillId="0" borderId="2" xfId="1" applyNumberFormat="1" applyFont="1" applyFill="1" applyBorder="1" applyAlignment="1">
      <alignment horizontal="center" vertical="center"/>
    </xf>
    <xf numFmtId="167" fontId="0" fillId="0" borderId="3" xfId="1" applyNumberFormat="1" applyFont="1" applyFill="1" applyBorder="1" applyAlignment="1">
      <alignment horizontal="center" vertical="center"/>
    </xf>
    <xf numFmtId="9" fontId="0" fillId="0" borderId="5" xfId="2" applyFont="1" applyFill="1" applyBorder="1" applyAlignment="1">
      <alignment horizontal="center" vertical="center"/>
    </xf>
    <xf numFmtId="167" fontId="0" fillId="0" borderId="5" xfId="1" applyNumberFormat="1" applyFont="1" applyFill="1" applyBorder="1" applyAlignment="1">
      <alignment horizontal="center" vertical="center"/>
    </xf>
    <xf numFmtId="3" fontId="0" fillId="0" borderId="0" xfId="0" applyNumberFormat="1" applyFill="1"/>
    <xf numFmtId="0" fontId="1" fillId="8" borderId="10" xfId="0" applyFont="1" applyFill="1" applyBorder="1"/>
    <xf numFmtId="0" fontId="1" fillId="7" borderId="10" xfId="0" applyFont="1" applyFill="1" applyBorder="1"/>
    <xf numFmtId="0" fontId="1" fillId="7" borderId="11" xfId="0" applyFont="1" applyFill="1" applyBorder="1"/>
    <xf numFmtId="3" fontId="0" fillId="0" borderId="1" xfId="0" applyNumberFormat="1" applyFill="1" applyBorder="1" applyAlignment="1">
      <alignment horizontal="center" vertical="center"/>
    </xf>
    <xf numFmtId="3" fontId="0" fillId="0" borderId="2" xfId="0" applyNumberFormat="1" applyFill="1" applyBorder="1" applyAlignment="1">
      <alignment horizontal="center" vertical="center"/>
    </xf>
    <xf numFmtId="3" fontId="0" fillId="0" borderId="3" xfId="0" applyNumberFormat="1" applyFill="1" applyBorder="1" applyAlignment="1">
      <alignment horizontal="center" vertical="center"/>
    </xf>
    <xf numFmtId="167" fontId="0" fillId="0" borderId="0" xfId="1" applyNumberFormat="1" applyFont="1" applyBorder="1" applyAlignment="1">
      <alignment horizontal="center" vertical="center"/>
    </xf>
    <xf numFmtId="167" fontId="0" fillId="0" borderId="1" xfId="1" applyNumberFormat="1" applyFont="1" applyBorder="1" applyAlignment="1">
      <alignment horizontal="center" vertical="center"/>
    </xf>
    <xf numFmtId="167" fontId="0" fillId="0" borderId="2" xfId="1" applyNumberFormat="1" applyFont="1" applyBorder="1" applyAlignment="1">
      <alignment horizontal="center" vertical="center"/>
    </xf>
    <xf numFmtId="167" fontId="0" fillId="0" borderId="3" xfId="1" applyNumberFormat="1" applyFont="1" applyBorder="1" applyAlignment="1">
      <alignment horizontal="center" vertical="center"/>
    </xf>
    <xf numFmtId="167" fontId="0" fillId="0" borderId="5" xfId="1" applyNumberFormat="1" applyFont="1" applyBorder="1" applyAlignment="1">
      <alignment horizontal="center" vertical="center"/>
    </xf>
    <xf numFmtId="3" fontId="7" fillId="2" borderId="9" xfId="3" applyNumberFormat="1" applyBorder="1" applyAlignment="1">
      <alignment horizontal="center" vertical="center"/>
    </xf>
    <xf numFmtId="3" fontId="7" fillId="2" borderId="10" xfId="3" applyNumberFormat="1" applyBorder="1" applyAlignment="1">
      <alignment horizontal="center" vertical="center"/>
    </xf>
    <xf numFmtId="3" fontId="7" fillId="2" borderId="11" xfId="3" applyNumberFormat="1" applyBorder="1" applyAlignment="1">
      <alignment horizontal="center" vertical="center"/>
    </xf>
    <xf numFmtId="0" fontId="7" fillId="0" borderId="0" xfId="3" applyFill="1" applyBorder="1" applyAlignment="1">
      <alignment horizontal="center" vertical="center"/>
    </xf>
    <xf numFmtId="9" fontId="0" fillId="0" borderId="1" xfId="2" applyFont="1" applyBorder="1" applyAlignment="1">
      <alignment horizontal="center" vertical="center"/>
    </xf>
    <xf numFmtId="9" fontId="0" fillId="0" borderId="2" xfId="2" applyFont="1" applyBorder="1" applyAlignment="1">
      <alignment horizontal="center" vertical="center"/>
    </xf>
    <xf numFmtId="9" fontId="0" fillId="0" borderId="3" xfId="2" applyFont="1" applyBorder="1" applyAlignment="1">
      <alignment horizontal="center" vertical="center"/>
    </xf>
    <xf numFmtId="3" fontId="0" fillId="0" borderId="1" xfId="2" applyNumberFormat="1" applyFont="1" applyBorder="1" applyAlignment="1">
      <alignment horizontal="center" vertical="center"/>
    </xf>
    <xf numFmtId="3" fontId="0" fillId="0" borderId="2" xfId="2" applyNumberFormat="1" applyFont="1" applyBorder="1" applyAlignment="1">
      <alignment horizontal="center" vertical="center"/>
    </xf>
    <xf numFmtId="3" fontId="0" fillId="0" borderId="3" xfId="2" applyNumberFormat="1" applyFont="1" applyBorder="1" applyAlignment="1">
      <alignment horizontal="center" vertical="center"/>
    </xf>
    <xf numFmtId="37" fontId="0" fillId="0" borderId="8" xfId="1" applyNumberFormat="1" applyFont="1" applyBorder="1" applyAlignment="1">
      <alignment horizontal="center" vertical="center"/>
    </xf>
  </cellXfs>
  <cellStyles count="6">
    <cellStyle name="Comma" xfId="1" builtinId="3"/>
    <cellStyle name="Input" xfId="3" builtinId="20"/>
    <cellStyle name="Normal" xfId="0" builtinId="0"/>
    <cellStyle name="Note" xfId="5" builtinId="10"/>
    <cellStyle name="Output" xfId="4" builtinId="21"/>
    <cellStyle name="Percent" xfId="2" builtinId="5"/>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71437</xdr:colOff>
      <xdr:row>2</xdr:row>
      <xdr:rowOff>11906</xdr:rowOff>
    </xdr:from>
    <xdr:to>
      <xdr:col>24</xdr:col>
      <xdr:colOff>547688</xdr:colOff>
      <xdr:row>13</xdr:row>
      <xdr:rowOff>83344</xdr:rowOff>
    </xdr:to>
    <xdr:sp macro="" textlink="">
      <xdr:nvSpPr>
        <xdr:cNvPr id="2" name="TextBox 1">
          <a:extLst>
            <a:ext uri="{FF2B5EF4-FFF2-40B4-BE49-F238E27FC236}">
              <a16:creationId xmlns:a16="http://schemas.microsoft.com/office/drawing/2014/main" id="{E6FD7E82-D96A-A370-D7E1-B73416C765A1}"/>
            </a:ext>
          </a:extLst>
        </xdr:cNvPr>
        <xdr:cNvSpPr txBox="1"/>
      </xdr:nvSpPr>
      <xdr:spPr>
        <a:xfrm>
          <a:off x="8905875" y="381000"/>
          <a:ext cx="7417594" cy="2286000"/>
        </a:xfrm>
        <a:prstGeom prst="rect">
          <a:avLst/>
        </a:prstGeom>
        <a:solidFill>
          <a:schemeClr val="accent6">
            <a:lumMod val="20000"/>
            <a:lumOff val="80000"/>
          </a:schemeClr>
        </a:solidFill>
        <a:ln w="9525" cmpd="sng">
          <a:solidFill>
            <a:sysClr val="windowText" lastClr="00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t>2023 Updates</a:t>
          </a:r>
        </a:p>
        <a:p>
          <a:r>
            <a:rPr lang="en-US" sz="1200" b="0" u="none"/>
            <a:t>In</a:t>
          </a:r>
          <a:r>
            <a:rPr lang="en-US" sz="1200" b="0" u="none" baseline="0"/>
            <a:t> 2023, the Department conducted the following updates for this tool: </a:t>
          </a:r>
        </a:p>
        <a:p>
          <a:endParaRPr lang="en-US" sz="1200" b="0" u="none" baseline="0"/>
        </a:p>
        <a:p>
          <a:pPr marL="171450" indent="-171450">
            <a:buFont typeface="Arial" panose="020B0604020202020204" pitchFamily="34" charset="0"/>
            <a:buChar char="•"/>
          </a:pPr>
          <a:r>
            <a:rPr lang="en-US" sz="1200" b="0" u="none" baseline="0"/>
            <a:t>"LEAP Scenario" tab updated to reflect the formatting of and new tables from the the updated LEAP Data.</a:t>
          </a:r>
        </a:p>
        <a:p>
          <a:pPr marL="171450" indent="-171450">
            <a:buFont typeface="Arial" panose="020B0604020202020204" pitchFamily="34" charset="0"/>
            <a:buChar char="•"/>
          </a:pPr>
          <a:r>
            <a:rPr lang="en-US" sz="1200" b="0" u="none" baseline="0"/>
            <a:t>Data updates to the "1. Current Heat" tab as noted by </a:t>
          </a:r>
          <a:r>
            <a:rPr lang="en-US" sz="1200" b="0" i="1" u="none" baseline="0"/>
            <a:t>Updated </a:t>
          </a:r>
          <a:r>
            <a:rPr lang="en-US" sz="1200" b="0" i="0" u="none" baseline="0"/>
            <a:t>notes</a:t>
          </a:r>
        </a:p>
        <a:p>
          <a:pPr marL="171450" indent="-171450">
            <a:buFont typeface="Arial" panose="020B0604020202020204" pitchFamily="34" charset="0"/>
            <a:buChar char="•"/>
          </a:pPr>
          <a:r>
            <a:rPr lang="en-US" sz="1200" b="0" i="0" u="none" baseline="0"/>
            <a:t>Updating of formulas pulling LEAP data from the "LEAP Scenario" tab into the "2. Heat Targets" and "2. Trans Targets" tabs.</a:t>
          </a:r>
        </a:p>
        <a:p>
          <a:pPr marL="171450" indent="-171450">
            <a:buFont typeface="Arial" panose="020B0604020202020204" pitchFamily="34" charset="0"/>
            <a:buChar char="•"/>
          </a:pPr>
          <a:r>
            <a:rPr lang="en-US" sz="1200" b="0" i="0" u="none" baseline="0"/>
            <a:t>Updating of </a:t>
          </a:r>
          <a:r>
            <a:rPr lang="en-US" sz="1200" b="0" u="none" baseline="0"/>
            <a:t> </a:t>
          </a:r>
          <a:r>
            <a:rPr lang="en-US" sz="1200" b="0" i="0" baseline="0">
              <a:solidFill>
                <a:schemeClr val="dk1"/>
              </a:solidFill>
              <a:effectLst/>
              <a:latin typeface="+mn-lt"/>
              <a:ea typeface="+mn-ea"/>
              <a:cs typeface="+mn-cs"/>
            </a:rPr>
            <a:t>"2. Heat Targets" and "2. Trans Targets" tabs to account of new heat pump, electric vehicle, plug-in hybrid electric vehicle, and residential retrofit data available in the new LEAP data.</a:t>
          </a:r>
        </a:p>
        <a:p>
          <a:pPr marL="171450" indent="-171450">
            <a:buFont typeface="Arial" panose="020B0604020202020204" pitchFamily="34" charset="0"/>
            <a:buChar char="•"/>
          </a:pPr>
          <a:r>
            <a:rPr lang="en-US" sz="1200" b="0" i="0" u="none" baseline="0">
              <a:solidFill>
                <a:schemeClr val="dk1"/>
              </a:solidFill>
              <a:effectLst/>
              <a:latin typeface="+mn-lt"/>
              <a:ea typeface="+mn-ea"/>
              <a:cs typeface="+mn-cs"/>
            </a:rPr>
            <a:t>Removal of the "Electric Targets" tab. Based on the new LEAP data, non-thermal, residential electric consumption now increases in the CAP Central Mitigation Scenario compared to the business-as-usual. This is likely drive by population growth over time. In addition, a significant amount of electric efficiency investment has been assumed in the development of the load forecast. The Department is looking for alternative supports / datasets to help regional planners develop electric efficinecy targets, and more guidance on this standard will be included in the 2024 Regional and Municipal Guidance document.</a:t>
          </a:r>
          <a:endParaRPr lang="en-US" sz="1200" b="0" u="none" baseline="0"/>
        </a:p>
        <a:p>
          <a:r>
            <a:rPr lang="en-US" sz="1400" b="0" u="none" baseline="0"/>
            <a:t> </a:t>
          </a:r>
          <a:endParaRPr lang="en-US" sz="1400" b="1" u="sng"/>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130968</xdr:colOff>
      <xdr:row>9</xdr:row>
      <xdr:rowOff>11907</xdr:rowOff>
    </xdr:from>
    <xdr:to>
      <xdr:col>11</xdr:col>
      <xdr:colOff>392905</xdr:colOff>
      <xdr:row>12</xdr:row>
      <xdr:rowOff>178594</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8179593" y="2024063"/>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11</xdr:col>
      <xdr:colOff>120765</xdr:colOff>
      <xdr:row>15</xdr:row>
      <xdr:rowOff>27213</xdr:rowOff>
    </xdr:from>
    <xdr:to>
      <xdr:col>11</xdr:col>
      <xdr:colOff>367392</xdr:colOff>
      <xdr:row>18</xdr:row>
      <xdr:rowOff>149678</xdr:rowOff>
    </xdr:to>
    <xdr:sp macro="" textlink="">
      <xdr:nvSpPr>
        <xdr:cNvPr id="3" name="Right Brace 2">
          <a:extLst>
            <a:ext uri="{FF2B5EF4-FFF2-40B4-BE49-F238E27FC236}">
              <a16:creationId xmlns:a16="http://schemas.microsoft.com/office/drawing/2014/main" id="{00000000-0008-0000-0400-000003000000}"/>
            </a:ext>
          </a:extLst>
        </xdr:cNvPr>
        <xdr:cNvSpPr/>
      </xdr:nvSpPr>
      <xdr:spPr>
        <a:xfrm>
          <a:off x="9985944" y="3184070"/>
          <a:ext cx="246627" cy="6939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35719</xdr:colOff>
      <xdr:row>9</xdr:row>
      <xdr:rowOff>47625</xdr:rowOff>
    </xdr:from>
    <xdr:to>
      <xdr:col>11</xdr:col>
      <xdr:colOff>297656</xdr:colOff>
      <xdr:row>13</xdr:row>
      <xdr:rowOff>23812</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8620125" y="2238375"/>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25"/>
  <sheetViews>
    <sheetView tabSelected="1" zoomScale="80" zoomScaleNormal="80" workbookViewId="0">
      <selection activeCell="D35" sqref="D35"/>
    </sheetView>
  </sheetViews>
  <sheetFormatPr defaultColWidth="9.109375" defaultRowHeight="14.4" x14ac:dyDescent="0.3"/>
  <cols>
    <col min="1" max="1" width="9.109375" style="82"/>
    <col min="2" max="10" width="8.6640625" style="82" customWidth="1"/>
    <col min="11" max="11" width="23" style="82" customWidth="1"/>
    <col min="12" max="16384" width="9.109375" style="82"/>
  </cols>
  <sheetData>
    <row r="2" spans="2:11" ht="15" customHeight="1" x14ac:dyDescent="0.3">
      <c r="B2" s="208" t="s">
        <v>190</v>
      </c>
      <c r="C2" s="209"/>
      <c r="D2" s="209"/>
      <c r="E2" s="209"/>
      <c r="F2" s="209"/>
      <c r="G2" s="209"/>
      <c r="H2" s="209"/>
      <c r="I2" s="209"/>
      <c r="J2" s="209"/>
      <c r="K2" s="210"/>
    </row>
    <row r="3" spans="2:11" ht="15" customHeight="1" x14ac:dyDescent="0.3">
      <c r="B3" s="211"/>
      <c r="C3" s="212"/>
      <c r="D3" s="212"/>
      <c r="E3" s="212"/>
      <c r="F3" s="212"/>
      <c r="G3" s="212"/>
      <c r="H3" s="212"/>
      <c r="I3" s="212"/>
      <c r="J3" s="212"/>
      <c r="K3" s="213"/>
    </row>
    <row r="4" spans="2:11" ht="17.399999999999999" customHeight="1" x14ac:dyDescent="0.3">
      <c r="B4" s="211"/>
      <c r="C4" s="212"/>
      <c r="D4" s="212"/>
      <c r="E4" s="212"/>
      <c r="F4" s="212"/>
      <c r="G4" s="212"/>
      <c r="H4" s="212"/>
      <c r="I4" s="212"/>
      <c r="J4" s="212"/>
      <c r="K4" s="213"/>
    </row>
    <row r="5" spans="2:11" ht="18" x14ac:dyDescent="0.35">
      <c r="B5" s="214"/>
      <c r="C5" s="215"/>
      <c r="D5" s="216" t="s">
        <v>81</v>
      </c>
      <c r="E5" s="216"/>
      <c r="F5" s="216"/>
      <c r="G5" s="216"/>
      <c r="H5" s="216"/>
      <c r="I5" s="216"/>
      <c r="J5" s="216"/>
      <c r="K5" s="217"/>
    </row>
    <row r="6" spans="2:11" ht="18" x14ac:dyDescent="0.35">
      <c r="B6" s="214"/>
      <c r="C6" s="215"/>
      <c r="D6" s="216" t="s">
        <v>82</v>
      </c>
      <c r="E6" s="216"/>
      <c r="F6" s="216"/>
      <c r="G6" s="216"/>
      <c r="H6" s="216"/>
      <c r="I6" s="216"/>
      <c r="J6" s="216"/>
      <c r="K6" s="217"/>
    </row>
    <row r="7" spans="2:11" ht="18" x14ac:dyDescent="0.35">
      <c r="B7" s="214"/>
      <c r="C7" s="215"/>
      <c r="D7" s="218" t="s">
        <v>83</v>
      </c>
      <c r="E7" s="218"/>
      <c r="F7" s="218"/>
      <c r="G7" s="218"/>
      <c r="H7" s="218"/>
      <c r="I7" s="218"/>
      <c r="J7" s="218"/>
      <c r="K7" s="219"/>
    </row>
    <row r="8" spans="2:11" ht="18" x14ac:dyDescent="0.35">
      <c r="B8" s="214"/>
      <c r="C8" s="215"/>
      <c r="D8" s="215"/>
      <c r="E8" s="215"/>
      <c r="F8" s="215"/>
      <c r="G8" s="215"/>
      <c r="H8" s="215"/>
      <c r="I8" s="215"/>
      <c r="J8" s="215"/>
      <c r="K8" s="220"/>
    </row>
    <row r="9" spans="2:11" x14ac:dyDescent="0.3">
      <c r="B9" s="221" t="s">
        <v>214</v>
      </c>
      <c r="C9" s="222"/>
      <c r="D9" s="222"/>
      <c r="E9" s="222"/>
      <c r="F9" s="222"/>
      <c r="G9" s="222"/>
      <c r="H9" s="222"/>
      <c r="I9" s="222"/>
      <c r="J9" s="222"/>
      <c r="K9" s="223"/>
    </row>
    <row r="10" spans="2:11" x14ac:dyDescent="0.3">
      <c r="B10" s="221"/>
      <c r="C10" s="222"/>
      <c r="D10" s="222"/>
      <c r="E10" s="222"/>
      <c r="F10" s="222"/>
      <c r="G10" s="222"/>
      <c r="H10" s="222"/>
      <c r="I10" s="222"/>
      <c r="J10" s="222"/>
      <c r="K10" s="223"/>
    </row>
    <row r="11" spans="2:11" ht="82.8" customHeight="1" x14ac:dyDescent="0.3">
      <c r="B11" s="221"/>
      <c r="C11" s="222"/>
      <c r="D11" s="222"/>
      <c r="E11" s="222"/>
      <c r="F11" s="222"/>
      <c r="G11" s="222"/>
      <c r="H11" s="222"/>
      <c r="I11" s="222"/>
      <c r="J11" s="222"/>
      <c r="K11" s="223"/>
    </row>
    <row r="12" spans="2:11" ht="15" customHeight="1" x14ac:dyDescent="0.3">
      <c r="B12" s="221" t="s">
        <v>130</v>
      </c>
      <c r="C12" s="222"/>
      <c r="D12" s="222"/>
      <c r="E12" s="222"/>
      <c r="F12" s="222"/>
      <c r="G12" s="222"/>
      <c r="H12" s="222"/>
      <c r="I12" s="222"/>
      <c r="J12" s="222"/>
      <c r="K12" s="223"/>
    </row>
    <row r="13" spans="2:11" x14ac:dyDescent="0.3">
      <c r="B13" s="221"/>
      <c r="C13" s="222"/>
      <c r="D13" s="222"/>
      <c r="E13" s="222"/>
      <c r="F13" s="222"/>
      <c r="G13" s="222"/>
      <c r="H13" s="222"/>
      <c r="I13" s="222"/>
      <c r="J13" s="222"/>
      <c r="K13" s="223"/>
    </row>
    <row r="14" spans="2:11" x14ac:dyDescent="0.3">
      <c r="B14" s="221"/>
      <c r="C14" s="222"/>
      <c r="D14" s="222"/>
      <c r="E14" s="222"/>
      <c r="F14" s="222"/>
      <c r="G14" s="222"/>
      <c r="H14" s="222"/>
      <c r="I14" s="222"/>
      <c r="J14" s="222"/>
      <c r="K14" s="223"/>
    </row>
    <row r="15" spans="2:11" ht="15" customHeight="1" x14ac:dyDescent="0.35">
      <c r="B15" s="214"/>
      <c r="C15" s="216" t="s">
        <v>129</v>
      </c>
      <c r="D15" s="216"/>
      <c r="E15" s="216"/>
      <c r="F15" s="216"/>
      <c r="G15" s="216"/>
      <c r="H15" s="216"/>
      <c r="I15" s="224"/>
      <c r="J15" s="225" t="s">
        <v>128</v>
      </c>
      <c r="K15" s="220"/>
    </row>
    <row r="16" spans="2:11" ht="15" customHeight="1" x14ac:dyDescent="0.35">
      <c r="B16" s="214"/>
      <c r="C16" s="216" t="s">
        <v>126</v>
      </c>
      <c r="D16" s="216"/>
      <c r="E16" s="216"/>
      <c r="F16" s="216"/>
      <c r="G16" s="216"/>
      <c r="H16" s="216"/>
      <c r="I16" s="226"/>
      <c r="J16" s="227" t="s">
        <v>127</v>
      </c>
      <c r="K16" s="220"/>
    </row>
    <row r="17" spans="2:11" ht="15" customHeight="1" x14ac:dyDescent="0.35">
      <c r="B17" s="214"/>
      <c r="C17" s="228"/>
      <c r="D17" s="228"/>
      <c r="E17" s="228"/>
      <c r="F17" s="228"/>
      <c r="G17" s="228"/>
      <c r="H17" s="228"/>
      <c r="I17" s="229"/>
      <c r="J17" s="215"/>
      <c r="K17" s="220"/>
    </row>
    <row r="18" spans="2:11" s="121" customFormat="1" ht="15" customHeight="1" x14ac:dyDescent="0.3">
      <c r="B18" s="230" t="s">
        <v>215</v>
      </c>
      <c r="C18" s="231"/>
      <c r="D18" s="231"/>
      <c r="E18" s="231"/>
      <c r="F18" s="231"/>
      <c r="G18" s="231"/>
      <c r="H18" s="231"/>
      <c r="I18" s="231"/>
      <c r="J18" s="231"/>
      <c r="K18" s="232"/>
    </row>
    <row r="19" spans="2:11" s="121" customFormat="1" x14ac:dyDescent="0.3">
      <c r="B19" s="230"/>
      <c r="C19" s="231"/>
      <c r="D19" s="231"/>
      <c r="E19" s="231"/>
      <c r="F19" s="231"/>
      <c r="G19" s="231"/>
      <c r="H19" s="231"/>
      <c r="I19" s="231"/>
      <c r="J19" s="231"/>
      <c r="K19" s="232"/>
    </row>
    <row r="20" spans="2:11" x14ac:dyDescent="0.3">
      <c r="B20" s="230"/>
      <c r="C20" s="231"/>
      <c r="D20" s="231"/>
      <c r="E20" s="231"/>
      <c r="F20" s="231"/>
      <c r="G20" s="231"/>
      <c r="H20" s="231"/>
      <c r="I20" s="231"/>
      <c r="J20" s="231"/>
      <c r="K20" s="232"/>
    </row>
    <row r="21" spans="2:11" x14ac:dyDescent="0.3">
      <c r="B21" s="230"/>
      <c r="C21" s="231"/>
      <c r="D21" s="231"/>
      <c r="E21" s="231"/>
      <c r="F21" s="231"/>
      <c r="G21" s="231"/>
      <c r="H21" s="231"/>
      <c r="I21" s="231"/>
      <c r="J21" s="231"/>
      <c r="K21" s="232"/>
    </row>
    <row r="22" spans="2:11" x14ac:dyDescent="0.3">
      <c r="B22" s="230"/>
      <c r="C22" s="231"/>
      <c r="D22" s="231"/>
      <c r="E22" s="231"/>
      <c r="F22" s="231"/>
      <c r="G22" s="231"/>
      <c r="H22" s="231"/>
      <c r="I22" s="231"/>
      <c r="J22" s="231"/>
      <c r="K22" s="232"/>
    </row>
    <row r="23" spans="2:11" x14ac:dyDescent="0.3">
      <c r="B23" s="230"/>
      <c r="C23" s="231"/>
      <c r="D23" s="231"/>
      <c r="E23" s="231"/>
      <c r="F23" s="231"/>
      <c r="G23" s="231"/>
      <c r="H23" s="231"/>
      <c r="I23" s="231"/>
      <c r="J23" s="231"/>
      <c r="K23" s="232"/>
    </row>
    <row r="24" spans="2:11" x14ac:dyDescent="0.3">
      <c r="B24" s="230"/>
      <c r="C24" s="231"/>
      <c r="D24" s="231"/>
      <c r="E24" s="231"/>
      <c r="F24" s="231"/>
      <c r="G24" s="231"/>
      <c r="H24" s="231"/>
      <c r="I24" s="231"/>
      <c r="J24" s="231"/>
      <c r="K24" s="232"/>
    </row>
    <row r="25" spans="2:11" x14ac:dyDescent="0.3">
      <c r="B25" s="233"/>
      <c r="C25" s="234"/>
      <c r="D25" s="234"/>
      <c r="E25" s="234"/>
      <c r="F25" s="234"/>
      <c r="G25" s="234"/>
      <c r="H25" s="234"/>
      <c r="I25" s="234"/>
      <c r="J25" s="234"/>
      <c r="K25" s="235"/>
    </row>
  </sheetData>
  <mergeCells count="9">
    <mergeCell ref="D5:K5"/>
    <mergeCell ref="B2:K4"/>
    <mergeCell ref="B9:K11"/>
    <mergeCell ref="B12:K14"/>
    <mergeCell ref="B18:K25"/>
    <mergeCell ref="C15:I15"/>
    <mergeCell ref="C16:I16"/>
    <mergeCell ref="D7:K7"/>
    <mergeCell ref="D6:K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N59"/>
  <sheetViews>
    <sheetView topLeftCell="A7" zoomScale="70" zoomScaleNormal="70" workbookViewId="0">
      <selection activeCell="AD29" sqref="AD29"/>
    </sheetView>
  </sheetViews>
  <sheetFormatPr defaultRowHeight="14.4" x14ac:dyDescent="0.3"/>
  <cols>
    <col min="2" max="2" width="23.6640625" customWidth="1"/>
    <col min="3" max="3" width="12.109375" customWidth="1"/>
    <col min="4" max="4" width="12.21875" customWidth="1"/>
    <col min="5" max="5" width="13.6640625" customWidth="1"/>
    <col min="6" max="6" width="12.6640625" customWidth="1"/>
    <col min="7" max="7" width="10.88671875" customWidth="1"/>
    <col min="8" max="8" width="14.5546875" customWidth="1"/>
    <col min="9" max="9" width="10.6640625" customWidth="1"/>
    <col min="10" max="10" width="22.77734375" customWidth="1"/>
    <col min="11" max="12" width="10.6640625" customWidth="1"/>
    <col min="13" max="13" width="12.21875" customWidth="1"/>
    <col min="14" max="14" width="12.33203125" customWidth="1"/>
    <col min="15" max="15" width="11.5546875" customWidth="1"/>
    <col min="16" max="16" width="13.5546875" customWidth="1"/>
    <col min="17" max="19" width="11.5546875" customWidth="1"/>
    <col min="20" max="20" width="15.109375" customWidth="1"/>
    <col min="21" max="24" width="11.5546875" customWidth="1"/>
    <col min="26" max="26" width="11.88671875" customWidth="1"/>
    <col min="27" max="27" width="12.5546875" customWidth="1"/>
    <col min="28" max="28" width="12.21875" customWidth="1"/>
    <col min="29" max="29" width="13.6640625" customWidth="1"/>
    <col min="30" max="30" width="12.21875" customWidth="1"/>
    <col min="31" max="31" width="11.77734375" customWidth="1"/>
    <col min="32" max="32" width="12.6640625" customWidth="1"/>
    <col min="35" max="35" width="15.33203125" customWidth="1"/>
    <col min="36" max="36" width="10.33203125" customWidth="1"/>
    <col min="37" max="37" width="13.88671875" customWidth="1"/>
    <col min="38" max="38" width="13.44140625" customWidth="1"/>
    <col min="39" max="39" width="11.6640625" customWidth="1"/>
    <col min="40" max="40" width="12.5546875" customWidth="1"/>
    <col min="44" max="44" width="12.109375" customWidth="1"/>
    <col min="45" max="45" width="10.88671875" customWidth="1"/>
    <col min="46" max="47" width="11.21875" customWidth="1"/>
    <col min="51" max="51" width="13.109375" customWidth="1"/>
    <col min="52" max="52" width="11.6640625" customWidth="1"/>
    <col min="53" max="53" width="12.21875" customWidth="1"/>
    <col min="54" max="54" width="11.5546875" customWidth="1"/>
    <col min="59" max="59" width="14.44140625" customWidth="1"/>
    <col min="60" max="60" width="13.44140625" customWidth="1"/>
    <col min="61" max="61" width="13.109375" customWidth="1"/>
    <col min="62" max="62" width="12.6640625" customWidth="1"/>
  </cols>
  <sheetData>
    <row r="2" spans="2:40" ht="29.4" customHeight="1" x14ac:dyDescent="0.3">
      <c r="B2" s="197" t="s">
        <v>149</v>
      </c>
      <c r="C2" s="200"/>
      <c r="D2" s="200"/>
      <c r="E2" s="200"/>
      <c r="F2" s="200"/>
      <c r="G2" s="200"/>
      <c r="H2" s="201"/>
      <c r="I2" s="39"/>
      <c r="J2" s="197" t="s">
        <v>150</v>
      </c>
      <c r="K2" s="200"/>
      <c r="L2" s="200"/>
      <c r="M2" s="200"/>
      <c r="N2" s="200"/>
      <c r="O2" s="200"/>
      <c r="P2" s="201"/>
      <c r="R2" s="197" t="s">
        <v>151</v>
      </c>
      <c r="S2" s="198"/>
      <c r="T2" s="198"/>
      <c r="U2" s="198"/>
      <c r="V2" s="198"/>
      <c r="W2" s="198"/>
      <c r="X2" s="199"/>
      <c r="Z2" s="197" t="s">
        <v>193</v>
      </c>
      <c r="AA2" s="200"/>
      <c r="AB2" s="200"/>
      <c r="AC2" s="200"/>
      <c r="AD2" s="200"/>
      <c r="AE2" s="200"/>
      <c r="AF2" s="201"/>
      <c r="AH2" s="202" t="s">
        <v>194</v>
      </c>
      <c r="AI2" s="203"/>
      <c r="AJ2" s="203"/>
      <c r="AK2" s="203"/>
      <c r="AL2" s="203"/>
      <c r="AM2" s="203"/>
      <c r="AN2" s="204"/>
    </row>
    <row r="3" spans="2:40" x14ac:dyDescent="0.3">
      <c r="B3" s="136" t="s">
        <v>131</v>
      </c>
      <c r="C3" s="137">
        <v>2015</v>
      </c>
      <c r="D3" s="137">
        <v>2025</v>
      </c>
      <c r="E3" s="138">
        <v>2030</v>
      </c>
      <c r="F3" s="137">
        <v>2035</v>
      </c>
      <c r="G3" s="138">
        <v>2040</v>
      </c>
      <c r="H3" s="139">
        <v>2050</v>
      </c>
      <c r="J3" s="140" t="s">
        <v>131</v>
      </c>
      <c r="K3" s="137">
        <v>2015</v>
      </c>
      <c r="L3" s="137">
        <v>2025</v>
      </c>
      <c r="M3" s="138">
        <v>2030</v>
      </c>
      <c r="N3" s="137">
        <v>2035</v>
      </c>
      <c r="O3" s="138">
        <v>2040</v>
      </c>
      <c r="P3" s="139">
        <v>2050</v>
      </c>
      <c r="R3" s="140" t="s">
        <v>139</v>
      </c>
      <c r="S3" s="138">
        <v>2020</v>
      </c>
      <c r="T3" s="137">
        <v>2025</v>
      </c>
      <c r="U3" s="138">
        <v>2030</v>
      </c>
      <c r="V3" s="137">
        <v>2035</v>
      </c>
      <c r="W3" s="138">
        <v>2040</v>
      </c>
      <c r="X3" s="139">
        <v>2050</v>
      </c>
      <c r="Z3" s="140" t="s">
        <v>131</v>
      </c>
      <c r="AA3" s="137">
        <v>2015</v>
      </c>
      <c r="AB3" s="137">
        <v>2025</v>
      </c>
      <c r="AC3" s="138">
        <v>2030</v>
      </c>
      <c r="AD3" s="137">
        <v>2035</v>
      </c>
      <c r="AE3" s="138">
        <v>2040</v>
      </c>
      <c r="AF3" s="139">
        <v>2050</v>
      </c>
      <c r="AH3" s="140" t="s">
        <v>131</v>
      </c>
      <c r="AI3" s="137">
        <v>2015</v>
      </c>
      <c r="AJ3" s="137">
        <v>2025</v>
      </c>
      <c r="AK3" s="138">
        <v>2030</v>
      </c>
      <c r="AL3" s="137">
        <v>2035</v>
      </c>
      <c r="AM3" s="138">
        <v>2040</v>
      </c>
      <c r="AN3" s="139">
        <v>2050</v>
      </c>
    </row>
    <row r="4" spans="2:40" x14ac:dyDescent="0.3">
      <c r="B4" s="141" t="s">
        <v>19</v>
      </c>
      <c r="C4" s="133">
        <v>1074.5516633518009</v>
      </c>
      <c r="D4" s="133">
        <v>1653.9850445720926</v>
      </c>
      <c r="E4" s="133">
        <v>2121.0839583241082</v>
      </c>
      <c r="F4" s="133">
        <v>2411.2599548713306</v>
      </c>
      <c r="G4" s="133">
        <v>2547.2857416354964</v>
      </c>
      <c r="H4" s="142">
        <v>2632.5364949786153</v>
      </c>
      <c r="J4" s="141" t="s">
        <v>19</v>
      </c>
      <c r="K4" s="133">
        <v>1074.5516633518009</v>
      </c>
      <c r="L4" s="133">
        <v>2367.0016767205957</v>
      </c>
      <c r="M4" s="133">
        <v>3371.3784415848631</v>
      </c>
      <c r="N4" s="133">
        <v>4368.350333135958</v>
      </c>
      <c r="O4" s="133">
        <v>5341.6973652629995</v>
      </c>
      <c r="P4" s="142">
        <v>5680.8935513374881</v>
      </c>
      <c r="R4" s="50" t="s">
        <v>140</v>
      </c>
      <c r="S4" s="150">
        <v>12372</v>
      </c>
      <c r="T4" s="150">
        <v>25555</v>
      </c>
      <c r="U4" s="150">
        <v>37742</v>
      </c>
      <c r="V4" s="150">
        <v>49337</v>
      </c>
      <c r="W4" s="150">
        <v>61335</v>
      </c>
      <c r="X4" s="151">
        <v>86697</v>
      </c>
      <c r="Z4" s="1" t="s">
        <v>19</v>
      </c>
      <c r="AA4" s="133">
        <v>6861.9528883227003</v>
      </c>
      <c r="AB4" s="133">
        <v>6664.5442889282667</v>
      </c>
      <c r="AC4" s="133">
        <v>6732.2215837832327</v>
      </c>
      <c r="AD4" s="133">
        <v>6752.9409567144767</v>
      </c>
      <c r="AE4" s="133">
        <v>6722.3889341999229</v>
      </c>
      <c r="AF4" s="142">
        <v>6647.5498606004203</v>
      </c>
      <c r="AH4" s="1" t="s">
        <v>19</v>
      </c>
      <c r="AI4" s="133">
        <v>6861.9528883227003</v>
      </c>
      <c r="AJ4" s="133">
        <v>7264.031913234372</v>
      </c>
      <c r="AK4" s="133">
        <v>7927.0898124382693</v>
      </c>
      <c r="AL4" s="133">
        <v>8575.5249406326384</v>
      </c>
      <c r="AM4" s="133">
        <v>8965.6228573637163</v>
      </c>
      <c r="AN4" s="142">
        <v>8861.5460742262821</v>
      </c>
    </row>
    <row r="5" spans="2:40" x14ac:dyDescent="0.3">
      <c r="B5" s="236" t="s">
        <v>132</v>
      </c>
      <c r="C5" s="133">
        <v>9.4321415496255536</v>
      </c>
      <c r="D5" s="133">
        <v>629.88661183599493</v>
      </c>
      <c r="E5" s="133">
        <v>1118.8134082967001</v>
      </c>
      <c r="F5" s="133">
        <v>1387.0490385378644</v>
      </c>
      <c r="G5" s="133">
        <v>1517.1082795468567</v>
      </c>
      <c r="H5" s="142">
        <v>1571.8085543050424</v>
      </c>
      <c r="J5" s="237" t="s">
        <v>132</v>
      </c>
      <c r="K5" s="134">
        <v>9.4321415496255536</v>
      </c>
      <c r="L5" s="134">
        <v>1223.9228793281068</v>
      </c>
      <c r="M5" s="134">
        <v>2071.3037759033973</v>
      </c>
      <c r="N5" s="134">
        <v>2890.751359137304</v>
      </c>
      <c r="O5" s="134">
        <v>3710.9955656206339</v>
      </c>
      <c r="P5" s="145">
        <v>4063.7394798931982</v>
      </c>
      <c r="R5" s="5" t="s">
        <v>141</v>
      </c>
      <c r="S5" s="152">
        <v>19768.181818181816</v>
      </c>
      <c r="T5" s="152">
        <v>69639.090909090912</v>
      </c>
      <c r="U5" s="152">
        <v>119510</v>
      </c>
      <c r="V5" s="152">
        <v>150503.75</v>
      </c>
      <c r="W5" s="152">
        <v>181497.5</v>
      </c>
      <c r="X5" s="153">
        <v>243485</v>
      </c>
      <c r="Z5" s="1" t="s">
        <v>17</v>
      </c>
      <c r="AA5" s="133">
        <v>663.18873935296369</v>
      </c>
      <c r="AB5" s="133">
        <v>734.51541926153288</v>
      </c>
      <c r="AC5" s="133">
        <v>753.21041280244913</v>
      </c>
      <c r="AD5" s="133">
        <v>771.79002695816507</v>
      </c>
      <c r="AE5" s="133">
        <v>787.53874318411306</v>
      </c>
      <c r="AF5" s="142">
        <v>817.84183832979875</v>
      </c>
      <c r="AH5" s="1" t="s">
        <v>17</v>
      </c>
      <c r="AI5" s="133">
        <v>663.18873935296369</v>
      </c>
      <c r="AJ5" s="133">
        <v>734.51541926153288</v>
      </c>
      <c r="AK5" s="133">
        <v>753.21041280244913</v>
      </c>
      <c r="AL5" s="133">
        <v>771.79002695816507</v>
      </c>
      <c r="AM5" s="133">
        <v>787.53874318411306</v>
      </c>
      <c r="AN5" s="142">
        <v>817.84183832979875</v>
      </c>
    </row>
    <row r="6" spans="2:40" x14ac:dyDescent="0.3">
      <c r="B6" s="236" t="s">
        <v>133</v>
      </c>
      <c r="C6" s="133">
        <v>16.795001273295124</v>
      </c>
      <c r="D6" s="133">
        <v>19.502886276707773</v>
      </c>
      <c r="E6" s="133">
        <v>17.938260559571734</v>
      </c>
      <c r="F6" s="133">
        <v>18.094301978764854</v>
      </c>
      <c r="G6" s="133">
        <v>18.193495352017653</v>
      </c>
      <c r="H6" s="142">
        <v>18.59657478081029</v>
      </c>
      <c r="J6" s="237" t="s">
        <v>133</v>
      </c>
      <c r="K6" s="134">
        <v>16.795001273295124</v>
      </c>
      <c r="L6" s="134">
        <v>207.16410987263032</v>
      </c>
      <c r="M6" s="134">
        <v>442.13846589361088</v>
      </c>
      <c r="N6" s="134">
        <v>681.28023745516339</v>
      </c>
      <c r="O6" s="134">
        <v>923.07523619639812</v>
      </c>
      <c r="P6" s="145">
        <v>934.35445077837608</v>
      </c>
      <c r="Z6" s="238" t="s">
        <v>7</v>
      </c>
      <c r="AA6" s="133">
        <v>9.5716906449610697</v>
      </c>
      <c r="AB6" s="133">
        <v>7.3282432987408272</v>
      </c>
      <c r="AC6" s="133">
        <v>7.5147628156135449</v>
      </c>
      <c r="AD6" s="133">
        <v>7.7001311950366826</v>
      </c>
      <c r="AE6" s="133">
        <v>7.857255771485474</v>
      </c>
      <c r="AF6" s="142">
        <v>8.1595890487851381</v>
      </c>
      <c r="AH6" s="238" t="s">
        <v>7</v>
      </c>
      <c r="AI6" s="133">
        <v>9.5716906449610697</v>
      </c>
      <c r="AJ6" s="133">
        <v>5.7854552358480236</v>
      </c>
      <c r="AK6" s="133">
        <v>3.9551383240071294</v>
      </c>
      <c r="AL6" s="133">
        <v>2.0263503144833379</v>
      </c>
      <c r="AM6" s="133">
        <v>0</v>
      </c>
      <c r="AN6" s="142">
        <v>0</v>
      </c>
    </row>
    <row r="7" spans="2:40" x14ac:dyDescent="0.3">
      <c r="B7" s="143" t="s">
        <v>4</v>
      </c>
      <c r="C7" s="133">
        <v>357.29527519324807</v>
      </c>
      <c r="D7" s="133">
        <v>306.08548818932877</v>
      </c>
      <c r="E7" s="133">
        <v>265.44490129277187</v>
      </c>
      <c r="F7" s="133">
        <v>242.79002962640672</v>
      </c>
      <c r="G7" s="133">
        <v>234.31361044795796</v>
      </c>
      <c r="H7" s="142">
        <v>229.16795599239626</v>
      </c>
      <c r="J7" s="144" t="s">
        <v>4</v>
      </c>
      <c r="K7" s="134">
        <v>357.29527519324807</v>
      </c>
      <c r="L7" s="134">
        <v>259.98971198424556</v>
      </c>
      <c r="M7" s="134">
        <v>188.33157803559499</v>
      </c>
      <c r="N7" s="134">
        <v>128.4174309691721</v>
      </c>
      <c r="O7" s="134">
        <v>73.784504412574321</v>
      </c>
      <c r="P7" s="145">
        <v>58.384426453428084</v>
      </c>
      <c r="R7" s="197" t="s">
        <v>192</v>
      </c>
      <c r="S7" s="200"/>
      <c r="T7" s="200"/>
      <c r="U7" s="200"/>
      <c r="V7" s="200"/>
      <c r="W7" s="200"/>
      <c r="X7" s="201"/>
      <c r="Z7" s="238" t="s">
        <v>134</v>
      </c>
      <c r="AA7" s="133">
        <v>1636.5295769716627</v>
      </c>
      <c r="AB7" s="133">
        <v>1723.4651878881598</v>
      </c>
      <c r="AC7" s="133">
        <v>1835.8698238982611</v>
      </c>
      <c r="AD7" s="133">
        <v>1948.7437084246005</v>
      </c>
      <c r="AE7" s="133">
        <v>2049.5679398954267</v>
      </c>
      <c r="AF7" s="142">
        <v>2331.0599476870425</v>
      </c>
      <c r="AH7" s="238" t="s">
        <v>134</v>
      </c>
      <c r="AI7" s="133">
        <v>1636.5295769716627</v>
      </c>
      <c r="AJ7" s="133">
        <v>1723.4651878881598</v>
      </c>
      <c r="AK7" s="133">
        <v>1835.8698238982611</v>
      </c>
      <c r="AL7" s="133">
        <v>1948.7437084246005</v>
      </c>
      <c r="AM7" s="133">
        <v>2049.5679398954267</v>
      </c>
      <c r="AN7" s="142">
        <v>2331.0599476870425</v>
      </c>
    </row>
    <row r="8" spans="2:40" x14ac:dyDescent="0.3">
      <c r="B8" s="141" t="s">
        <v>134</v>
      </c>
      <c r="C8" s="133">
        <v>8172.2070242830923</v>
      </c>
      <c r="D8" s="133">
        <v>7825.0238769555808</v>
      </c>
      <c r="E8" s="133">
        <v>6752.5708831915999</v>
      </c>
      <c r="F8" s="133">
        <v>6145.2919326530528</v>
      </c>
      <c r="G8" s="133">
        <v>5898.9715273454058</v>
      </c>
      <c r="H8" s="142">
        <v>5701.2753588811092</v>
      </c>
      <c r="J8" s="141" t="s">
        <v>134</v>
      </c>
      <c r="K8" s="133">
        <v>8172.2070242830923</v>
      </c>
      <c r="L8" s="133">
        <v>6575.3015961833707</v>
      </c>
      <c r="M8" s="133">
        <v>4805.4136450627384</v>
      </c>
      <c r="N8" s="133">
        <v>3589.4610032707187</v>
      </c>
      <c r="O8" s="133">
        <v>2571.7095877145443</v>
      </c>
      <c r="P8" s="142">
        <v>1630.0428064336397</v>
      </c>
      <c r="R8" s="155" t="s">
        <v>163</v>
      </c>
      <c r="S8" s="156">
        <v>2020</v>
      </c>
      <c r="T8" s="137">
        <v>2025</v>
      </c>
      <c r="U8" s="157">
        <v>2030</v>
      </c>
      <c r="V8" s="137">
        <v>2035</v>
      </c>
      <c r="W8" s="157">
        <v>2040</v>
      </c>
      <c r="X8" s="139">
        <v>2050</v>
      </c>
      <c r="Z8" s="238" t="s">
        <v>18</v>
      </c>
      <c r="AA8" s="133">
        <v>42.011956410292505</v>
      </c>
      <c r="AB8" s="133">
        <v>50.549516419449304</v>
      </c>
      <c r="AC8" s="133">
        <v>51.836110081306195</v>
      </c>
      <c r="AD8" s="133">
        <v>53.11476330791325</v>
      </c>
      <c r="AE8" s="133">
        <v>54.198593502042037</v>
      </c>
      <c r="AF8" s="142">
        <v>56.284059328160467</v>
      </c>
      <c r="AH8" s="238" t="s">
        <v>18</v>
      </c>
      <c r="AI8" s="133">
        <v>42.011956410292505</v>
      </c>
      <c r="AJ8" s="133">
        <v>50.549516419449304</v>
      </c>
      <c r="AK8" s="133">
        <v>51.836110081306195</v>
      </c>
      <c r="AL8" s="133">
        <v>53.11476330791325</v>
      </c>
      <c r="AM8" s="133">
        <v>54.198593502042037</v>
      </c>
      <c r="AN8" s="142">
        <v>56.284059328160467</v>
      </c>
    </row>
    <row r="9" spans="2:40" x14ac:dyDescent="0.3">
      <c r="B9" s="141" t="s">
        <v>135</v>
      </c>
      <c r="C9" s="133">
        <v>4259.4075793185148</v>
      </c>
      <c r="D9" s="133">
        <v>3970.4955072638395</v>
      </c>
      <c r="E9" s="133">
        <v>3611.134423275179</v>
      </c>
      <c r="F9" s="133">
        <v>3410.9021889447354</v>
      </c>
      <c r="G9" s="133">
        <v>3347.3284253283377</v>
      </c>
      <c r="H9" s="142">
        <v>3336.512807934459</v>
      </c>
      <c r="J9" s="141" t="s">
        <v>135</v>
      </c>
      <c r="K9" s="133">
        <v>4259.4075793185148</v>
      </c>
      <c r="L9" s="133">
        <v>3367.4232054407421</v>
      </c>
      <c r="M9" s="133">
        <v>2446.9767654733173</v>
      </c>
      <c r="N9" s="133">
        <v>1641.406106303921</v>
      </c>
      <c r="O9" s="133">
        <v>902.87105860816416</v>
      </c>
      <c r="P9" s="142">
        <v>605.32981925955778</v>
      </c>
      <c r="R9" s="1" t="s">
        <v>164</v>
      </c>
      <c r="S9" s="133">
        <v>3800.8503317665122</v>
      </c>
      <c r="T9" s="133">
        <v>22882.112291249825</v>
      </c>
      <c r="U9" s="133">
        <v>42066.572512982289</v>
      </c>
      <c r="V9" s="133">
        <v>61362.886071279383</v>
      </c>
      <c r="W9" s="133">
        <v>80747.088496475102</v>
      </c>
      <c r="X9" s="142">
        <v>90596.775878395973</v>
      </c>
      <c r="Z9" s="238" t="s">
        <v>143</v>
      </c>
      <c r="AA9" s="133">
        <v>171.04867931315533</v>
      </c>
      <c r="AB9" s="133">
        <v>442.63901701681368</v>
      </c>
      <c r="AC9" s="133">
        <v>453.905129813202</v>
      </c>
      <c r="AD9" s="133">
        <v>465.10171184643707</v>
      </c>
      <c r="AE9" s="133">
        <v>474.5923176073602</v>
      </c>
      <c r="AF9" s="142">
        <v>492.8537889068175</v>
      </c>
      <c r="AH9" s="238" t="s">
        <v>143</v>
      </c>
      <c r="AI9" s="133">
        <v>171.04867931315533</v>
      </c>
      <c r="AJ9" s="133">
        <v>442.63901701681368</v>
      </c>
      <c r="AK9" s="133">
        <v>453.905129813202</v>
      </c>
      <c r="AL9" s="133">
        <v>465.10171184643707</v>
      </c>
      <c r="AM9" s="133">
        <v>474.5923176073602</v>
      </c>
      <c r="AN9" s="142">
        <v>492.8537889068175</v>
      </c>
    </row>
    <row r="10" spans="2:40" x14ac:dyDescent="0.3">
      <c r="B10" s="141" t="s">
        <v>136</v>
      </c>
      <c r="C10" s="133">
        <v>2023.1703957114823</v>
      </c>
      <c r="D10" s="133">
        <v>683.04893997818726</v>
      </c>
      <c r="E10" s="133">
        <v>594.36490688842332</v>
      </c>
      <c r="F10" s="133">
        <v>545.80933912271769</v>
      </c>
      <c r="G10" s="133">
        <v>529.0782210211562</v>
      </c>
      <c r="H10" s="142">
        <v>522.65753679361035</v>
      </c>
      <c r="J10" s="141" t="s">
        <v>136</v>
      </c>
      <c r="K10" s="133">
        <v>2023.1703957114823</v>
      </c>
      <c r="L10" s="133">
        <v>616.06277396322048</v>
      </c>
      <c r="M10" s="133">
        <v>508.44005373591227</v>
      </c>
      <c r="N10" s="133">
        <v>446.44903996939979</v>
      </c>
      <c r="O10" s="133">
        <v>402.65939970178141</v>
      </c>
      <c r="P10" s="142">
        <v>372.8127339205642</v>
      </c>
      <c r="R10" s="1" t="s">
        <v>165</v>
      </c>
      <c r="S10" s="133">
        <v>5903.2924806913334</v>
      </c>
      <c r="T10" s="133">
        <v>35586.839096021606</v>
      </c>
      <c r="U10" s="133">
        <v>65630.426651732065</v>
      </c>
      <c r="V10" s="133">
        <v>96089.191377175797</v>
      </c>
      <c r="W10" s="133">
        <v>127062.14053174271</v>
      </c>
      <c r="X10" s="142">
        <v>141171.89978453825</v>
      </c>
      <c r="Z10" s="238" t="s">
        <v>144</v>
      </c>
      <c r="AA10" s="133">
        <v>0</v>
      </c>
      <c r="AB10" s="133">
        <v>0</v>
      </c>
      <c r="AC10" s="133">
        <v>0</v>
      </c>
      <c r="AD10" s="133">
        <v>0</v>
      </c>
      <c r="AE10" s="133">
        <v>0</v>
      </c>
      <c r="AF10" s="142">
        <v>0</v>
      </c>
      <c r="AH10" s="238" t="s">
        <v>144</v>
      </c>
      <c r="AI10" s="133">
        <v>0</v>
      </c>
      <c r="AJ10" s="133">
        <v>0</v>
      </c>
      <c r="AK10" s="133">
        <v>340.09677419354841</v>
      </c>
      <c r="AL10" s="133">
        <v>510.14516129032256</v>
      </c>
      <c r="AM10" s="133">
        <v>850.24193548387075</v>
      </c>
      <c r="AN10" s="142">
        <v>850.24193548387086</v>
      </c>
    </row>
    <row r="11" spans="2:40" x14ac:dyDescent="0.3">
      <c r="B11" s="141" t="s">
        <v>14</v>
      </c>
      <c r="C11" s="135"/>
      <c r="D11" s="133"/>
      <c r="E11" s="133"/>
      <c r="F11" s="133"/>
      <c r="G11" s="133"/>
      <c r="H11" s="142"/>
      <c r="J11" s="141" t="s">
        <v>14</v>
      </c>
      <c r="K11" s="133">
        <v>0</v>
      </c>
      <c r="L11" s="133">
        <v>457.09985483392251</v>
      </c>
      <c r="M11" s="133">
        <v>2010.9807617219512</v>
      </c>
      <c r="N11" s="133">
        <v>2555.6874810222121</v>
      </c>
      <c r="O11" s="133">
        <v>2200.0358829462771</v>
      </c>
      <c r="P11" s="142">
        <v>1582.5898037472887</v>
      </c>
      <c r="R11" s="1" t="s">
        <v>166</v>
      </c>
      <c r="S11" s="133">
        <v>5581.5487121991264</v>
      </c>
      <c r="T11" s="133">
        <v>33602.381899700369</v>
      </c>
      <c r="U11" s="133">
        <v>61774.761735314481</v>
      </c>
      <c r="V11" s="133">
        <v>90111.398195673755</v>
      </c>
      <c r="W11" s="133">
        <v>118577.09945707371</v>
      </c>
      <c r="X11" s="142">
        <v>133041.36537742446</v>
      </c>
      <c r="Z11" s="238" t="s">
        <v>135</v>
      </c>
      <c r="AA11" s="133">
        <v>4202.1959970063763</v>
      </c>
      <c r="AB11" s="133">
        <v>2928.9446360400548</v>
      </c>
      <c r="AC11" s="133">
        <v>2844.5050069577046</v>
      </c>
      <c r="AD11" s="133">
        <v>2815.2104361150032</v>
      </c>
      <c r="AE11" s="133">
        <v>2934.0868189649077</v>
      </c>
      <c r="AF11" s="142">
        <v>3083.7402798177582</v>
      </c>
      <c r="AH11" s="238" t="s">
        <v>135</v>
      </c>
      <c r="AI11" s="133">
        <v>4202.1959970063763</v>
      </c>
      <c r="AJ11" s="133">
        <v>2301.0199847470344</v>
      </c>
      <c r="AK11" s="133">
        <v>1460.8545919475864</v>
      </c>
      <c r="AL11" s="133">
        <v>659.21252578037229</v>
      </c>
      <c r="AM11" s="133">
        <v>36.555205606615985</v>
      </c>
      <c r="AN11" s="142">
        <v>14.419672218291817</v>
      </c>
    </row>
    <row r="12" spans="2:40" x14ac:dyDescent="0.3">
      <c r="B12" s="141" t="s">
        <v>137</v>
      </c>
      <c r="C12" s="135">
        <v>10233.901671403401</v>
      </c>
      <c r="D12" s="135">
        <v>9334.7652920995752</v>
      </c>
      <c r="E12" s="135">
        <v>8131.4506892637564</v>
      </c>
      <c r="F12" s="135">
        <v>7451.0766837311494</v>
      </c>
      <c r="G12" s="135">
        <v>7158.6324194266581</v>
      </c>
      <c r="H12" s="146">
        <v>6920.3110645594097</v>
      </c>
      <c r="J12" s="147" t="s">
        <v>137</v>
      </c>
      <c r="K12" s="135">
        <v>10233.901671403401</v>
      </c>
      <c r="L12" s="135">
        <v>7426.4675034799202</v>
      </c>
      <c r="M12" s="135">
        <v>3630.2506186233377</v>
      </c>
      <c r="N12" s="135">
        <v>1258.2444034166165</v>
      </c>
      <c r="O12" s="135">
        <v>0</v>
      </c>
      <c r="P12" s="146">
        <v>0</v>
      </c>
      <c r="R12" s="1" t="s">
        <v>167</v>
      </c>
      <c r="S12" s="133">
        <v>689.85433521562197</v>
      </c>
      <c r="T12" s="133">
        <v>4153.103380861844</v>
      </c>
      <c r="U12" s="133">
        <v>7635.082911106284</v>
      </c>
      <c r="V12" s="133">
        <v>11137.363821937208</v>
      </c>
      <c r="W12" s="133">
        <v>14655.596562110235</v>
      </c>
      <c r="X12" s="142">
        <v>16443.314821928871</v>
      </c>
      <c r="Z12" s="238" t="s">
        <v>13</v>
      </c>
      <c r="AA12" s="133">
        <v>108.03074472612182</v>
      </c>
      <c r="AB12" s="133">
        <v>41.264911282693085</v>
      </c>
      <c r="AC12" s="133">
        <v>42.315191820945131</v>
      </c>
      <c r="AD12" s="133">
        <v>43.358990371250719</v>
      </c>
      <c r="AE12" s="133">
        <v>44.24374971167876</v>
      </c>
      <c r="AF12" s="142">
        <v>45.946170790918877</v>
      </c>
      <c r="AH12" s="238" t="s">
        <v>13</v>
      </c>
      <c r="AI12" s="133">
        <v>108.03074472612182</v>
      </c>
      <c r="AJ12" s="133">
        <v>41.264911282693085</v>
      </c>
      <c r="AK12" s="133">
        <v>42.315191820945131</v>
      </c>
      <c r="AL12" s="133">
        <v>43.358990371250719</v>
      </c>
      <c r="AM12" s="133">
        <v>44.24374971167876</v>
      </c>
      <c r="AN12" s="142">
        <v>45.946170790918877</v>
      </c>
    </row>
    <row r="13" spans="2:40" x14ac:dyDescent="0.3">
      <c r="B13" s="141" t="s">
        <v>138</v>
      </c>
      <c r="C13" s="135"/>
      <c r="D13" s="133"/>
      <c r="E13" s="133"/>
      <c r="F13" s="133"/>
      <c r="G13" s="133"/>
      <c r="H13" s="142"/>
      <c r="J13" s="141" t="s">
        <v>138</v>
      </c>
      <c r="K13" s="133">
        <v>0</v>
      </c>
      <c r="L13" s="133">
        <v>183.93534904652711</v>
      </c>
      <c r="M13" s="133">
        <v>262.02595718723734</v>
      </c>
      <c r="N13" s="133">
        <v>275.01848043462024</v>
      </c>
      <c r="O13" s="133">
        <v>102.59339155067444</v>
      </c>
      <c r="P13" s="142">
        <v>180.33416832494581</v>
      </c>
      <c r="R13" s="155" t="s">
        <v>12</v>
      </c>
      <c r="S13" s="158">
        <v>15975.545859872595</v>
      </c>
      <c r="T13" s="158">
        <v>96224.436667833652</v>
      </c>
      <c r="U13" s="158">
        <v>177106.84381113513</v>
      </c>
      <c r="V13" s="158">
        <v>258700.83946606616</v>
      </c>
      <c r="W13" s="158">
        <v>341041.92504740175</v>
      </c>
      <c r="X13" s="159">
        <v>381253.35586228757</v>
      </c>
      <c r="Z13" s="238" t="s">
        <v>136</v>
      </c>
      <c r="AA13" s="133">
        <v>0</v>
      </c>
      <c r="AB13" s="133">
        <v>0</v>
      </c>
      <c r="AC13" s="133">
        <v>0</v>
      </c>
      <c r="AD13" s="133">
        <v>0</v>
      </c>
      <c r="AE13" s="133">
        <v>0</v>
      </c>
      <c r="AF13" s="142">
        <v>0</v>
      </c>
      <c r="AH13" s="238" t="s">
        <v>136</v>
      </c>
      <c r="AI13" s="133">
        <v>0</v>
      </c>
      <c r="AJ13" s="133">
        <v>84.923937751486406</v>
      </c>
      <c r="AK13" s="133">
        <v>179.05257804231169</v>
      </c>
      <c r="AL13" s="133">
        <v>265.22401214649227</v>
      </c>
      <c r="AM13" s="133">
        <v>345.57803229693928</v>
      </c>
      <c r="AN13" s="142">
        <v>411.39332638892017</v>
      </c>
    </row>
    <row r="14" spans="2:40" x14ac:dyDescent="0.3">
      <c r="B14" s="141" t="s">
        <v>9</v>
      </c>
      <c r="C14" s="133">
        <v>3680.1807228122166</v>
      </c>
      <c r="D14" s="133">
        <v>3497.6133328608707</v>
      </c>
      <c r="E14" s="133">
        <v>3340.4033501273325</v>
      </c>
      <c r="F14" s="133">
        <v>3262.3432058425974</v>
      </c>
      <c r="G14" s="133">
        <v>3252.7845690648846</v>
      </c>
      <c r="H14" s="142">
        <v>3301.3124529258885</v>
      </c>
      <c r="J14" s="141" t="s">
        <v>9</v>
      </c>
      <c r="K14" s="133">
        <v>3680.1807228122166</v>
      </c>
      <c r="L14" s="133">
        <v>2634.2237335986538</v>
      </c>
      <c r="M14" s="133">
        <v>1667.8202998306465</v>
      </c>
      <c r="N14" s="133">
        <v>812.74094293067219</v>
      </c>
      <c r="O14" s="133">
        <v>163.25418948323852</v>
      </c>
      <c r="P14" s="142">
        <v>71.740265237945025</v>
      </c>
      <c r="Z14" s="238" t="s">
        <v>14</v>
      </c>
      <c r="AA14" s="133">
        <v>0</v>
      </c>
      <c r="AB14" s="133">
        <v>0</v>
      </c>
      <c r="AC14" s="133">
        <v>0</v>
      </c>
      <c r="AD14" s="133">
        <v>0</v>
      </c>
      <c r="AE14" s="133">
        <v>0</v>
      </c>
      <c r="AF14" s="142">
        <v>0</v>
      </c>
      <c r="AH14" s="238" t="s">
        <v>14</v>
      </c>
      <c r="AI14" s="133">
        <v>0</v>
      </c>
      <c r="AJ14" s="133">
        <v>140.51712084114021</v>
      </c>
      <c r="AK14" s="133">
        <v>656.75697002344816</v>
      </c>
      <c r="AL14" s="133">
        <v>990.8573861959419</v>
      </c>
      <c r="AM14" s="133">
        <v>1339.7288215412234</v>
      </c>
      <c r="AN14" s="142">
        <v>1391.3087252609653</v>
      </c>
    </row>
    <row r="15" spans="2:40" x14ac:dyDescent="0.3">
      <c r="B15" s="136" t="s">
        <v>12</v>
      </c>
      <c r="C15" s="148">
        <v>29443.41905688051</v>
      </c>
      <c r="D15" s="148">
        <v>26964.931993730144</v>
      </c>
      <c r="E15" s="148">
        <v>24551.008211070399</v>
      </c>
      <c r="F15" s="148">
        <v>23226.683305165585</v>
      </c>
      <c r="G15" s="148">
        <v>22734.080903821938</v>
      </c>
      <c r="H15" s="149">
        <v>22414.605716073096</v>
      </c>
      <c r="J15" s="136" t="s">
        <v>12</v>
      </c>
      <c r="K15" s="148">
        <v>29443.41905688051</v>
      </c>
      <c r="L15" s="148">
        <v>23627.515693266949</v>
      </c>
      <c r="M15" s="148">
        <v>18703.286543220005</v>
      </c>
      <c r="N15" s="148">
        <v>14947.35779048412</v>
      </c>
      <c r="O15" s="148">
        <v>11684.820875267678</v>
      </c>
      <c r="P15" s="149">
        <v>10123.743148261428</v>
      </c>
      <c r="Z15" s="238" t="s">
        <v>137</v>
      </c>
      <c r="AA15" s="133">
        <v>4760.354835683278</v>
      </c>
      <c r="AB15" s="133">
        <v>2746.83398678404</v>
      </c>
      <c r="AC15" s="133">
        <v>2388.5220143899105</v>
      </c>
      <c r="AD15" s="133">
        <v>2071.9647489514573</v>
      </c>
      <c r="AE15" s="133">
        <v>1811.0945546535027</v>
      </c>
      <c r="AF15" s="142">
        <v>1432.4955651539397</v>
      </c>
      <c r="AH15" s="238" t="s">
        <v>137</v>
      </c>
      <c r="AI15" s="133">
        <v>4760.354835683278</v>
      </c>
      <c r="AJ15" s="133">
        <v>2282.9712601602964</v>
      </c>
      <c r="AK15" s="133">
        <v>1185.5868748695978</v>
      </c>
      <c r="AL15" s="133">
        <v>487.82989705235599</v>
      </c>
      <c r="AM15" s="133">
        <v>0</v>
      </c>
      <c r="AN15" s="142">
        <v>0</v>
      </c>
    </row>
    <row r="16" spans="2:40" x14ac:dyDescent="0.3">
      <c r="D16" s="165"/>
      <c r="E16" s="132"/>
      <c r="Z16" s="238" t="s">
        <v>138</v>
      </c>
      <c r="AA16" s="133">
        <v>0</v>
      </c>
      <c r="AB16" s="133">
        <v>0</v>
      </c>
      <c r="AC16" s="133">
        <v>0</v>
      </c>
      <c r="AD16" s="133">
        <v>0</v>
      </c>
      <c r="AE16" s="133">
        <v>0</v>
      </c>
      <c r="AF16" s="142">
        <v>0</v>
      </c>
      <c r="AH16" s="1" t="s">
        <v>138</v>
      </c>
      <c r="AI16" s="133">
        <v>0</v>
      </c>
      <c r="AJ16" s="133">
        <v>391.8833128214377</v>
      </c>
      <c r="AK16" s="133">
        <v>558.7586257932337</v>
      </c>
      <c r="AL16" s="133">
        <v>593.38136648763452</v>
      </c>
      <c r="AM16" s="133">
        <v>351.92126138149422</v>
      </c>
      <c r="AN16" s="142">
        <v>696.42120033458684</v>
      </c>
    </row>
    <row r="17" spans="2:40" ht="31.8" customHeight="1" x14ac:dyDescent="0.3">
      <c r="Z17" s="5" t="s">
        <v>9</v>
      </c>
      <c r="AA17" s="152">
        <v>6067.726923553244</v>
      </c>
      <c r="AB17" s="152">
        <v>7505.7028874650059</v>
      </c>
      <c r="AC17" s="152">
        <v>7405.6156588365211</v>
      </c>
      <c r="AD17" s="152">
        <v>7392.057644980483</v>
      </c>
      <c r="AE17" s="152">
        <v>7484.9126111064052</v>
      </c>
      <c r="AF17" s="153">
        <v>7718.9116880290658</v>
      </c>
      <c r="AH17" s="5" t="s">
        <v>9</v>
      </c>
      <c r="AI17" s="152">
        <v>6067.726923553244</v>
      </c>
      <c r="AJ17" s="152">
        <v>5612.3432977223456</v>
      </c>
      <c r="AK17" s="152">
        <v>3556.552140128284</v>
      </c>
      <c r="AL17" s="152">
        <v>1753.574270916311</v>
      </c>
      <c r="AM17" s="152">
        <v>560.00312905511976</v>
      </c>
      <c r="AN17" s="153">
        <v>277.04922529880929</v>
      </c>
    </row>
    <row r="18" spans="2:40" x14ac:dyDescent="0.3">
      <c r="B18" s="197" t="s">
        <v>195</v>
      </c>
      <c r="C18" s="200"/>
      <c r="D18" s="200"/>
      <c r="E18" s="200"/>
      <c r="F18" s="200"/>
      <c r="G18" s="200"/>
      <c r="H18" s="201"/>
      <c r="J18" s="197" t="s">
        <v>196</v>
      </c>
      <c r="K18" s="200"/>
      <c r="L18" s="200"/>
      <c r="M18" s="200"/>
      <c r="N18" s="200"/>
      <c r="O18" s="200"/>
      <c r="P18" s="201"/>
      <c r="Z18" s="140" t="s">
        <v>12</v>
      </c>
      <c r="AA18" s="148">
        <v>24522.612031984754</v>
      </c>
      <c r="AB18" s="148">
        <v>22845.788094384756</v>
      </c>
      <c r="AC18" s="148">
        <v>22515.515695199145</v>
      </c>
      <c r="AD18" s="148">
        <v>22321.983118864824</v>
      </c>
      <c r="AE18" s="148">
        <v>22370.481518596847</v>
      </c>
      <c r="AF18" s="149">
        <v>22634.842787692709</v>
      </c>
      <c r="AH18" s="140" t="s">
        <v>12</v>
      </c>
      <c r="AI18" s="148">
        <v>24522.612031984754</v>
      </c>
      <c r="AJ18" s="148">
        <v>21075.910334382606</v>
      </c>
      <c r="AK18" s="148">
        <v>19005.840174176454</v>
      </c>
      <c r="AL18" s="148">
        <v>17119.885111724918</v>
      </c>
      <c r="AM18" s="148">
        <v>15859.792586629601</v>
      </c>
      <c r="AN18" s="149">
        <v>16246.365964254466</v>
      </c>
    </row>
    <row r="19" spans="2:40" x14ac:dyDescent="0.3">
      <c r="B19" s="140" t="s">
        <v>131</v>
      </c>
      <c r="C19" s="137">
        <v>2015</v>
      </c>
      <c r="D19" s="137">
        <v>2025</v>
      </c>
      <c r="E19" s="138">
        <v>2030</v>
      </c>
      <c r="F19" s="137">
        <v>2035</v>
      </c>
      <c r="G19" s="138">
        <v>2040</v>
      </c>
      <c r="H19" s="139">
        <v>2050</v>
      </c>
      <c r="J19" s="140" t="s">
        <v>131</v>
      </c>
      <c r="K19" s="137">
        <v>2015</v>
      </c>
      <c r="L19" s="137">
        <v>2025</v>
      </c>
      <c r="M19" s="138">
        <v>2030</v>
      </c>
      <c r="N19" s="137">
        <v>2035</v>
      </c>
      <c r="O19" s="138">
        <v>2040</v>
      </c>
      <c r="P19" s="139">
        <v>2050</v>
      </c>
    </row>
    <row r="20" spans="2:40" x14ac:dyDescent="0.3">
      <c r="B20" s="1" t="s">
        <v>19</v>
      </c>
      <c r="C20" s="165">
        <v>7155.9278364886441</v>
      </c>
      <c r="D20" s="165">
        <v>5708.527304573583</v>
      </c>
      <c r="E20" s="165">
        <v>6199.3974406898842</v>
      </c>
      <c r="F20" s="165">
        <v>6511.2146815010328</v>
      </c>
      <c r="G20" s="165">
        <v>6670.997618871801</v>
      </c>
      <c r="H20" s="166">
        <v>6804.4027091513162</v>
      </c>
      <c r="J20" s="1" t="s">
        <v>19</v>
      </c>
      <c r="K20" s="133">
        <v>7155.9278364886441</v>
      </c>
      <c r="L20" s="133">
        <v>6451.5767206967112</v>
      </c>
      <c r="M20" s="133">
        <v>7517.5529849143577</v>
      </c>
      <c r="N20" s="133">
        <v>8574.3471548276848</v>
      </c>
      <c r="O20" s="133">
        <v>9610.1678139570558</v>
      </c>
      <c r="P20" s="142">
        <v>9999.2070637818942</v>
      </c>
    </row>
    <row r="21" spans="2:40" x14ac:dyDescent="0.3">
      <c r="B21" s="1" t="s">
        <v>134</v>
      </c>
      <c r="C21" s="165">
        <v>8172.2070242830914</v>
      </c>
      <c r="D21" s="165">
        <v>7825.0238769555799</v>
      </c>
      <c r="E21" s="165">
        <v>6752.570883191599</v>
      </c>
      <c r="F21" s="165">
        <v>6145.2919326530518</v>
      </c>
      <c r="G21" s="165">
        <v>5898.971527345404</v>
      </c>
      <c r="H21" s="166">
        <v>5701.275358881112</v>
      </c>
      <c r="J21" s="1" t="s">
        <v>134</v>
      </c>
      <c r="K21" s="133">
        <v>8172.2070242830914</v>
      </c>
      <c r="L21" s="133">
        <v>6575.301596183368</v>
      </c>
      <c r="M21" s="133">
        <v>4805.4136450627393</v>
      </c>
      <c r="N21" s="133">
        <v>3589.4610032707187</v>
      </c>
      <c r="O21" s="133">
        <v>2571.7095877145443</v>
      </c>
      <c r="P21" s="142">
        <v>1630.0428064336402</v>
      </c>
      <c r="Z21" s="197" t="s">
        <v>223</v>
      </c>
      <c r="AA21" s="200"/>
      <c r="AB21" s="200"/>
      <c r="AC21" s="200"/>
      <c r="AD21" s="200"/>
      <c r="AE21" s="200"/>
      <c r="AF21" s="201"/>
    </row>
    <row r="22" spans="2:40" x14ac:dyDescent="0.3">
      <c r="B22" s="1" t="s">
        <v>135</v>
      </c>
      <c r="C22" s="165">
        <v>6271.2835002242455</v>
      </c>
      <c r="D22" s="165">
        <v>5559.9676708854549</v>
      </c>
      <c r="E22" s="165">
        <v>5206.4285309633287</v>
      </c>
      <c r="F22" s="165">
        <v>5012.2558924529967</v>
      </c>
      <c r="G22" s="165">
        <v>4954.9787154101232</v>
      </c>
      <c r="H22" s="166">
        <v>4957.4621752151888</v>
      </c>
      <c r="J22" s="1" t="s">
        <v>135</v>
      </c>
      <c r="K22" s="133">
        <v>6271.2835002242455</v>
      </c>
      <c r="L22" s="133">
        <v>4668.6730406914221</v>
      </c>
      <c r="M22" s="133">
        <v>3391.4812121976879</v>
      </c>
      <c r="N22" s="133">
        <v>2226.7495893950636</v>
      </c>
      <c r="O22" s="133">
        <v>1126.5215771701639</v>
      </c>
      <c r="P22" s="142">
        <v>831.58940354970628</v>
      </c>
      <c r="Z22" s="140"/>
      <c r="AA22" s="273">
        <v>2020</v>
      </c>
      <c r="AB22" s="274">
        <v>2025</v>
      </c>
      <c r="AC22" s="273">
        <v>2030</v>
      </c>
      <c r="AD22" s="274">
        <v>2035</v>
      </c>
      <c r="AE22" s="273">
        <v>2040</v>
      </c>
      <c r="AF22" s="275">
        <v>2050</v>
      </c>
    </row>
    <row r="23" spans="2:40" x14ac:dyDescent="0.3">
      <c r="B23" s="1" t="s">
        <v>136</v>
      </c>
      <c r="C23" s="165">
        <v>2023.1703957114823</v>
      </c>
      <c r="D23" s="165">
        <v>683.04893997818749</v>
      </c>
      <c r="E23" s="165">
        <v>594.36490688842332</v>
      </c>
      <c r="F23" s="165">
        <v>545.80933912271769</v>
      </c>
      <c r="G23" s="165">
        <v>529.07822102115631</v>
      </c>
      <c r="H23" s="166">
        <v>522.65753679361035</v>
      </c>
      <c r="J23" s="1" t="s">
        <v>136</v>
      </c>
      <c r="K23" s="133">
        <v>2023.1703957114823</v>
      </c>
      <c r="L23" s="133">
        <v>616.06277396322025</v>
      </c>
      <c r="M23" s="133">
        <v>508.44005373591239</v>
      </c>
      <c r="N23" s="133">
        <v>446.44903996939979</v>
      </c>
      <c r="O23" s="133">
        <v>402.65939970178147</v>
      </c>
      <c r="P23" s="142">
        <v>372.81273392056414</v>
      </c>
      <c r="Z23" s="5" t="s">
        <v>224</v>
      </c>
      <c r="AA23" s="152">
        <v>2814.2993314303226</v>
      </c>
      <c r="AB23" s="152">
        <v>50577.717374303138</v>
      </c>
      <c r="AC23" s="152">
        <v>100569.51336503342</v>
      </c>
      <c r="AD23" s="152">
        <v>152958.4356883486</v>
      </c>
      <c r="AE23" s="152">
        <v>187995.7343319231</v>
      </c>
      <c r="AF23" s="153">
        <v>195619.90115340543</v>
      </c>
    </row>
    <row r="24" spans="2:40" x14ac:dyDescent="0.3">
      <c r="B24" s="1" t="s">
        <v>14</v>
      </c>
      <c r="C24" s="165">
        <v>0</v>
      </c>
      <c r="D24" s="165">
        <v>0</v>
      </c>
      <c r="E24" s="165">
        <v>0</v>
      </c>
      <c r="F24" s="165">
        <v>0</v>
      </c>
      <c r="G24" s="165">
        <v>0</v>
      </c>
      <c r="H24" s="166">
        <v>0</v>
      </c>
      <c r="J24" s="1" t="s">
        <v>14</v>
      </c>
      <c r="K24" s="133">
        <v>0</v>
      </c>
      <c r="L24" s="133">
        <v>496.28938953803288</v>
      </c>
      <c r="M24" s="133">
        <v>2253.005392263321</v>
      </c>
      <c r="N24" s="133">
        <v>3012.8488507096581</v>
      </c>
      <c r="O24" s="133">
        <v>2885.8531171612885</v>
      </c>
      <c r="P24" s="142">
        <v>2276.4076554125472</v>
      </c>
    </row>
    <row r="25" spans="2:40" x14ac:dyDescent="0.3">
      <c r="B25" s="1" t="s">
        <v>137</v>
      </c>
      <c r="C25" s="165">
        <v>10894.511200038382</v>
      </c>
      <c r="D25" s="165">
        <v>10010.664296034023</v>
      </c>
      <c r="E25" s="165">
        <v>8810.3815704609297</v>
      </c>
      <c r="F25" s="165">
        <v>8133.3128088959083</v>
      </c>
      <c r="G25" s="165">
        <v>7844.4496536416655</v>
      </c>
      <c r="H25" s="166">
        <v>7614.1289162246676</v>
      </c>
      <c r="J25" s="1" t="s">
        <v>137</v>
      </c>
      <c r="K25" s="133">
        <v>10894.511200038382</v>
      </c>
      <c r="L25" s="133">
        <v>8063.1769727102646</v>
      </c>
      <c r="M25" s="133">
        <v>4067.156869279142</v>
      </c>
      <c r="N25" s="133">
        <v>1483.3191588939289</v>
      </c>
      <c r="O25" s="133">
        <v>0</v>
      </c>
      <c r="P25" s="142">
        <v>0</v>
      </c>
    </row>
    <row r="26" spans="2:40" x14ac:dyDescent="0.3">
      <c r="B26" s="1" t="s">
        <v>138</v>
      </c>
      <c r="C26" s="165">
        <v>0</v>
      </c>
      <c r="D26" s="165">
        <v>0</v>
      </c>
      <c r="E26" s="165">
        <v>0</v>
      </c>
      <c r="F26" s="165">
        <v>0</v>
      </c>
      <c r="G26" s="165">
        <v>0</v>
      </c>
      <c r="H26" s="166">
        <v>0</v>
      </c>
      <c r="J26" s="1" t="s">
        <v>138</v>
      </c>
      <c r="K26" s="133">
        <v>0</v>
      </c>
      <c r="L26" s="133">
        <v>186.94245588194971</v>
      </c>
      <c r="M26" s="133">
        <v>266.25515618224472</v>
      </c>
      <c r="N26" s="133">
        <v>279.01277926719388</v>
      </c>
      <c r="O26" s="133">
        <v>102.59339155067444</v>
      </c>
      <c r="P26" s="142">
        <v>180.33416832494578</v>
      </c>
    </row>
    <row r="27" spans="2:40" x14ac:dyDescent="0.3">
      <c r="B27" s="1" t="s">
        <v>9</v>
      </c>
      <c r="C27" s="165">
        <v>3863.0781093528676</v>
      </c>
      <c r="D27" s="165">
        <v>3555.9728250079911</v>
      </c>
      <c r="E27" s="165">
        <v>3399.5854154570152</v>
      </c>
      <c r="F27" s="165">
        <v>3322.3769079938506</v>
      </c>
      <c r="G27" s="165">
        <v>3313.6998709809914</v>
      </c>
      <c r="H27" s="166">
        <v>3364.0845550283157</v>
      </c>
      <c r="J27" s="1" t="s">
        <v>9</v>
      </c>
      <c r="K27" s="133">
        <v>3863.0781093528676</v>
      </c>
      <c r="L27" s="133">
        <v>2677.2899100372738</v>
      </c>
      <c r="M27" s="133">
        <v>1694.7395562723143</v>
      </c>
      <c r="N27" s="133">
        <v>824.54498676948083</v>
      </c>
      <c r="O27" s="133">
        <v>163.25418948323852</v>
      </c>
      <c r="P27" s="142">
        <v>71.74026523794501</v>
      </c>
    </row>
    <row r="28" spans="2:40" x14ac:dyDescent="0.3">
      <c r="B28" s="164" t="s">
        <v>12</v>
      </c>
      <c r="C28" s="167">
        <v>38380.178066098713</v>
      </c>
      <c r="D28" s="167">
        <v>33343.20491343482</v>
      </c>
      <c r="E28" s="167">
        <v>30962.728747651177</v>
      </c>
      <c r="F28" s="167">
        <v>29670.261562619562</v>
      </c>
      <c r="G28" s="167">
        <v>29212.17560727114</v>
      </c>
      <c r="H28" s="168">
        <v>28964.011251294211</v>
      </c>
      <c r="J28" s="140" t="s">
        <v>12</v>
      </c>
      <c r="K28" s="148">
        <v>38380.178066098713</v>
      </c>
      <c r="L28" s="148">
        <v>29735.312859702244</v>
      </c>
      <c r="M28" s="148">
        <v>24504.044869907717</v>
      </c>
      <c r="N28" s="148">
        <v>20436.732563103131</v>
      </c>
      <c r="O28" s="148">
        <v>16862.759076738748</v>
      </c>
      <c r="P28" s="149">
        <v>15362.134096661242</v>
      </c>
    </row>
    <row r="29" spans="2:40" x14ac:dyDescent="0.3">
      <c r="H29" s="165"/>
      <c r="P29" s="165"/>
    </row>
    <row r="31" spans="2:40" x14ac:dyDescent="0.3">
      <c r="C31" s="3"/>
      <c r="D31" s="3"/>
      <c r="E31" s="3"/>
      <c r="F31" s="3"/>
      <c r="I31" s="3"/>
      <c r="J31" s="3"/>
      <c r="K31" s="3"/>
      <c r="L31" s="3"/>
      <c r="M31" s="14"/>
      <c r="N31" s="3"/>
      <c r="O31" s="3"/>
      <c r="P31" s="3"/>
      <c r="Q31" s="3"/>
    </row>
    <row r="33" spans="2:32" ht="46.2" customHeight="1" x14ac:dyDescent="0.3">
      <c r="B33" s="197" t="s">
        <v>197</v>
      </c>
      <c r="C33" s="198"/>
      <c r="D33" s="198"/>
      <c r="E33" s="198"/>
      <c r="F33" s="198"/>
      <c r="G33" s="198"/>
      <c r="H33" s="199"/>
      <c r="J33" s="197" t="s">
        <v>198</v>
      </c>
      <c r="K33" s="198"/>
      <c r="L33" s="198"/>
      <c r="M33" s="198"/>
      <c r="N33" s="198"/>
      <c r="O33" s="198"/>
      <c r="P33" s="199"/>
      <c r="R33" s="197" t="s">
        <v>199</v>
      </c>
      <c r="S33" s="198"/>
      <c r="T33" s="198"/>
      <c r="U33" s="198"/>
      <c r="V33" s="198"/>
      <c r="W33" s="198"/>
      <c r="X33" s="199"/>
      <c r="Y33" s="39"/>
      <c r="Z33" s="197" t="s">
        <v>200</v>
      </c>
      <c r="AA33" s="198"/>
      <c r="AB33" s="198"/>
      <c r="AC33" s="198"/>
      <c r="AD33" s="198"/>
      <c r="AE33" s="198"/>
      <c r="AF33" s="199"/>
    </row>
    <row r="34" spans="2:32" x14ac:dyDescent="0.3">
      <c r="B34" s="164" t="s">
        <v>131</v>
      </c>
      <c r="C34" s="137">
        <v>2015</v>
      </c>
      <c r="D34" s="137">
        <v>2025</v>
      </c>
      <c r="E34" s="138">
        <v>2030</v>
      </c>
      <c r="F34" s="137">
        <v>2035</v>
      </c>
      <c r="G34" s="138">
        <v>2040</v>
      </c>
      <c r="H34" s="139">
        <v>2050</v>
      </c>
      <c r="J34" s="140" t="s">
        <v>131</v>
      </c>
      <c r="K34" s="137">
        <v>2015</v>
      </c>
      <c r="L34" s="137">
        <v>2025</v>
      </c>
      <c r="M34" s="138">
        <v>2030</v>
      </c>
      <c r="N34" s="137">
        <v>2035</v>
      </c>
      <c r="O34" s="138">
        <v>2040</v>
      </c>
      <c r="P34" s="139">
        <v>2050</v>
      </c>
      <c r="R34" s="140" t="s">
        <v>131</v>
      </c>
      <c r="S34" s="137">
        <v>2015</v>
      </c>
      <c r="T34" s="137">
        <v>2025</v>
      </c>
      <c r="U34" s="138">
        <v>2030</v>
      </c>
      <c r="V34" s="137">
        <v>2035</v>
      </c>
      <c r="W34" s="138">
        <v>2040</v>
      </c>
      <c r="X34" s="139">
        <v>2050</v>
      </c>
      <c r="Z34" s="140" t="s">
        <v>131</v>
      </c>
      <c r="AA34" s="137">
        <v>2015</v>
      </c>
      <c r="AB34" s="137">
        <v>2025</v>
      </c>
      <c r="AC34" s="138">
        <v>2030</v>
      </c>
      <c r="AD34" s="137">
        <v>2035</v>
      </c>
      <c r="AE34" s="138">
        <v>2040</v>
      </c>
      <c r="AF34" s="139">
        <v>2050</v>
      </c>
    </row>
    <row r="35" spans="2:32" x14ac:dyDescent="0.3">
      <c r="B35" s="1" t="s">
        <v>19</v>
      </c>
      <c r="C35" s="133">
        <v>7.267353064221882</v>
      </c>
      <c r="D35" s="133">
        <v>147.48252590752026</v>
      </c>
      <c r="E35" s="133">
        <v>281.24231426394607</v>
      </c>
      <c r="F35" s="133">
        <v>599.43232344378919</v>
      </c>
      <c r="G35" s="133">
        <v>1154.4408942822506</v>
      </c>
      <c r="H35" s="142">
        <v>2274.2688177428199</v>
      </c>
      <c r="J35" s="50" t="s">
        <v>19</v>
      </c>
      <c r="K35" s="150">
        <v>7.267353064221882</v>
      </c>
      <c r="L35" s="150">
        <v>192.64078442959212</v>
      </c>
      <c r="M35" s="150">
        <v>730.8696560367905</v>
      </c>
      <c r="N35" s="150">
        <v>1676.262680319744</v>
      </c>
      <c r="O35" s="150">
        <v>2563.1646282447305</v>
      </c>
      <c r="P35" s="151">
        <v>3459.8927791709521</v>
      </c>
      <c r="R35" s="1" t="s">
        <v>19</v>
      </c>
      <c r="S35" s="133">
        <v>2.7709382580140201</v>
      </c>
      <c r="T35" s="133">
        <v>45.431019478523844</v>
      </c>
      <c r="U35" s="133">
        <v>91.1611668657671</v>
      </c>
      <c r="V35" s="133">
        <v>208.16766357830886</v>
      </c>
      <c r="W35" s="133">
        <v>458.52002055264495</v>
      </c>
      <c r="X35" s="142">
        <v>1064.3950582375028</v>
      </c>
      <c r="Z35" s="1" t="s">
        <v>19</v>
      </c>
      <c r="AA35" s="133">
        <v>2.7709382580140201</v>
      </c>
      <c r="AB35" s="133">
        <v>242.58037847043616</v>
      </c>
      <c r="AC35" s="133">
        <v>1316.9385329183388</v>
      </c>
      <c r="AD35" s="133">
        <v>2979.2339559364777</v>
      </c>
      <c r="AE35" s="133">
        <v>4325.0713944757435</v>
      </c>
      <c r="AF35" s="142">
        <v>5253.6895830604581</v>
      </c>
    </row>
    <row r="36" spans="2:32" x14ac:dyDescent="0.3">
      <c r="B36" s="1" t="s">
        <v>17</v>
      </c>
      <c r="C36" s="133">
        <v>10557.218333904704</v>
      </c>
      <c r="D36" s="133">
        <v>7799.7051089159913</v>
      </c>
      <c r="E36" s="133">
        <v>7017.5739149067549</v>
      </c>
      <c r="F36" s="133">
        <v>6321.7646697372993</v>
      </c>
      <c r="G36" s="133">
        <v>5430.1052987665726</v>
      </c>
      <c r="H36" s="142">
        <v>3747.733967112089</v>
      </c>
      <c r="J36" s="1" t="s">
        <v>17</v>
      </c>
      <c r="K36" s="133">
        <v>10557.218333904704</v>
      </c>
      <c r="L36" s="133">
        <v>7488.2206176076052</v>
      </c>
      <c r="M36" s="133">
        <v>5730.6067611517119</v>
      </c>
      <c r="N36" s="133">
        <v>3635.0888853020642</v>
      </c>
      <c r="O36" s="133">
        <v>1956.6923918173493</v>
      </c>
      <c r="P36" s="142">
        <v>474.72220553242119</v>
      </c>
      <c r="R36" s="1" t="s">
        <v>9</v>
      </c>
      <c r="S36" s="133">
        <v>0</v>
      </c>
      <c r="T36" s="133">
        <v>0.82418283685197768</v>
      </c>
      <c r="U36" s="133">
        <v>1.3544328295778347</v>
      </c>
      <c r="V36" s="133">
        <v>1.8033953650224248</v>
      </c>
      <c r="W36" s="133">
        <v>2.1377298289911129</v>
      </c>
      <c r="X36" s="142">
        <v>2.6014740091625987</v>
      </c>
      <c r="Z36" s="1" t="s">
        <v>9</v>
      </c>
      <c r="AA36" s="133">
        <v>0</v>
      </c>
      <c r="AB36" s="133">
        <v>0.70698625947074412</v>
      </c>
      <c r="AC36" s="133">
        <v>0.85079480033139254</v>
      </c>
      <c r="AD36" s="133">
        <v>0.65928882790719057</v>
      </c>
      <c r="AE36" s="133">
        <v>0.37056000344561696</v>
      </c>
      <c r="AF36" s="142">
        <v>9.7966935658852047E-2</v>
      </c>
    </row>
    <row r="37" spans="2:32" x14ac:dyDescent="0.3">
      <c r="B37" s="1" t="s">
        <v>16</v>
      </c>
      <c r="C37" s="133">
        <v>77.484669406162681</v>
      </c>
      <c r="D37" s="133">
        <v>33.800206719277853</v>
      </c>
      <c r="E37" s="133">
        <v>19.316817474183402</v>
      </c>
      <c r="F37" s="133">
        <v>14.464688182346821</v>
      </c>
      <c r="G37" s="133">
        <v>13.396151771828903</v>
      </c>
      <c r="H37" s="142">
        <v>9.5329706471568532</v>
      </c>
      <c r="J37" s="1" t="s">
        <v>16</v>
      </c>
      <c r="K37" s="133">
        <v>77.484669406162681</v>
      </c>
      <c r="L37" s="133">
        <v>32.841666500787881</v>
      </c>
      <c r="M37" s="133">
        <v>17.666154637712829</v>
      </c>
      <c r="N37" s="133">
        <v>9.2944787401942133</v>
      </c>
      <c r="O37" s="133">
        <v>5.1057161848663597</v>
      </c>
      <c r="P37" s="142">
        <v>0.26070688551184201</v>
      </c>
      <c r="R37" s="1" t="s">
        <v>17</v>
      </c>
      <c r="S37" s="133">
        <v>21938.861899725256</v>
      </c>
      <c r="T37" s="133">
        <v>19655.334905677715</v>
      </c>
      <c r="U37" s="133">
        <v>17317.82875253983</v>
      </c>
      <c r="V37" s="133">
        <v>15463.81243892249</v>
      </c>
      <c r="W37" s="133">
        <v>13719.576994082123</v>
      </c>
      <c r="X37" s="142">
        <v>11338.492055460236</v>
      </c>
      <c r="Z37" s="1" t="s">
        <v>17</v>
      </c>
      <c r="AA37" s="133">
        <v>21938.861899725256</v>
      </c>
      <c r="AB37" s="133">
        <v>18696.11697281805</v>
      </c>
      <c r="AC37" s="133">
        <v>13829.272929807108</v>
      </c>
      <c r="AD37" s="133">
        <v>8486.1312906690709</v>
      </c>
      <c r="AE37" s="133">
        <v>4337.5675249565866</v>
      </c>
      <c r="AF37" s="142">
        <v>1132.3866047285353</v>
      </c>
    </row>
    <row r="38" spans="2:32" x14ac:dyDescent="0.3">
      <c r="B38" s="1" t="s">
        <v>18</v>
      </c>
      <c r="C38" s="133">
        <v>713.11648309861471</v>
      </c>
      <c r="D38" s="133">
        <v>599.1743618721348</v>
      </c>
      <c r="E38" s="133">
        <v>557.33255531982661</v>
      </c>
      <c r="F38" s="133">
        <v>519.60103923494944</v>
      </c>
      <c r="G38" s="133">
        <v>461.50075867697797</v>
      </c>
      <c r="H38" s="142">
        <v>338.21170740567533</v>
      </c>
      <c r="J38" s="1" t="s">
        <v>18</v>
      </c>
      <c r="K38" s="133">
        <v>713.11648309861471</v>
      </c>
      <c r="L38" s="133">
        <v>637.82039805469412</v>
      </c>
      <c r="M38" s="133">
        <v>544.68067254455013</v>
      </c>
      <c r="N38" s="133">
        <v>382.18462512231002</v>
      </c>
      <c r="O38" s="133">
        <v>226.01516137636253</v>
      </c>
      <c r="P38" s="142">
        <v>54.812532375826677</v>
      </c>
      <c r="R38" s="1" t="s">
        <v>16</v>
      </c>
      <c r="S38" s="133">
        <v>416.40191763060818</v>
      </c>
      <c r="T38" s="133">
        <v>398.96705636996114</v>
      </c>
      <c r="U38" s="133">
        <v>427.70747956353591</v>
      </c>
      <c r="V38" s="133">
        <v>441.81926099132858</v>
      </c>
      <c r="W38" s="133">
        <v>410.78583545245715</v>
      </c>
      <c r="X38" s="142">
        <v>366.02515121447368</v>
      </c>
      <c r="Z38" s="1" t="s">
        <v>16</v>
      </c>
      <c r="AA38" s="133">
        <v>416.40191763060818</v>
      </c>
      <c r="AB38" s="133">
        <v>361.50918302234004</v>
      </c>
      <c r="AC38" s="133">
        <v>305.24804187919426</v>
      </c>
      <c r="AD38" s="133">
        <v>204.89598756242694</v>
      </c>
      <c r="AE38" s="133">
        <v>97.751887154609193</v>
      </c>
      <c r="AF38" s="142">
        <v>24.551730427717146</v>
      </c>
    </row>
    <row r="39" spans="2:32" x14ac:dyDescent="0.3">
      <c r="B39" s="1" t="s">
        <v>15</v>
      </c>
      <c r="C39" s="133">
        <v>10.101693385903289</v>
      </c>
      <c r="D39" s="133">
        <v>0.23613224375121955</v>
      </c>
      <c r="E39" s="133">
        <v>0.30440554218528093</v>
      </c>
      <c r="F39" s="133">
        <v>0.33650659129576421</v>
      </c>
      <c r="G39" s="133">
        <v>0.31721448304444239</v>
      </c>
      <c r="H39" s="142">
        <v>0.24909734212822668</v>
      </c>
      <c r="J39" s="1" t="s">
        <v>15</v>
      </c>
      <c r="K39" s="133">
        <v>10.101693385903289</v>
      </c>
      <c r="L39" s="133">
        <v>0.21309840034845334</v>
      </c>
      <c r="M39" s="133">
        <v>0.21688657380749105</v>
      </c>
      <c r="N39" s="133">
        <v>0.16242241374297534</v>
      </c>
      <c r="O39" s="133">
        <v>8.9595312461635782E-2</v>
      </c>
      <c r="P39" s="142">
        <v>2.6031460822780801E-2</v>
      </c>
      <c r="R39" s="1" t="s">
        <v>18</v>
      </c>
      <c r="S39" s="133">
        <v>1503.5275807505122</v>
      </c>
      <c r="T39" s="133">
        <v>1521.5830740786419</v>
      </c>
      <c r="U39" s="133">
        <v>1387.1707980835563</v>
      </c>
      <c r="V39" s="133">
        <v>1279.1551746097823</v>
      </c>
      <c r="W39" s="133">
        <v>1171.3835387888178</v>
      </c>
      <c r="X39" s="142">
        <v>1025.5301194187675</v>
      </c>
      <c r="Z39" s="1" t="s">
        <v>18</v>
      </c>
      <c r="AA39" s="133">
        <v>1503.5275807505122</v>
      </c>
      <c r="AB39" s="133">
        <v>1603.4217467167095</v>
      </c>
      <c r="AC39" s="133">
        <v>1323.6242429489553</v>
      </c>
      <c r="AD39" s="133">
        <v>896.4904585656484</v>
      </c>
      <c r="AE39" s="133">
        <v>502.64449436419528</v>
      </c>
      <c r="AF39" s="142">
        <v>130.94516489429319</v>
      </c>
    </row>
    <row r="40" spans="2:32" x14ac:dyDescent="0.3">
      <c r="B40" s="1" t="s">
        <v>14</v>
      </c>
      <c r="C40" s="133">
        <v>2.5625695763811605</v>
      </c>
      <c r="D40" s="133">
        <v>2.1632829912511204</v>
      </c>
      <c r="E40" s="133">
        <v>1.6673932478351086</v>
      </c>
      <c r="F40" s="133">
        <v>1.2629518252836009</v>
      </c>
      <c r="G40" s="133">
        <v>1.1830042635197031</v>
      </c>
      <c r="H40" s="142">
        <v>0.70848092658925521</v>
      </c>
      <c r="J40" s="1" t="s">
        <v>14</v>
      </c>
      <c r="K40" s="133">
        <v>2.5625695763811605</v>
      </c>
      <c r="L40" s="133">
        <v>2.3168329604153555</v>
      </c>
      <c r="M40" s="133">
        <v>1.7478223666256447</v>
      </c>
      <c r="N40" s="133">
        <v>1.1989571596430919</v>
      </c>
      <c r="O40" s="133">
        <v>0.82140157036215156</v>
      </c>
      <c r="P40" s="142">
        <v>6.0174510693926694E-2</v>
      </c>
      <c r="R40" s="1" t="s">
        <v>15</v>
      </c>
      <c r="S40" s="133">
        <v>6.8134507130035411</v>
      </c>
      <c r="T40" s="133">
        <v>1.0034098759636387</v>
      </c>
      <c r="U40" s="133">
        <v>1.3104631494291281</v>
      </c>
      <c r="V40" s="133">
        <v>1.4554023882692961</v>
      </c>
      <c r="W40" s="133">
        <v>1.4680508041368565</v>
      </c>
      <c r="X40" s="142">
        <v>1.4004310252309966</v>
      </c>
      <c r="Z40" s="1" t="s">
        <v>15</v>
      </c>
      <c r="AA40" s="133">
        <v>6.8134507130035411</v>
      </c>
      <c r="AB40" s="133">
        <v>0.88710086970849489</v>
      </c>
      <c r="AC40" s="133">
        <v>0.88694646270098276</v>
      </c>
      <c r="AD40" s="133">
        <v>0.6293908513733012</v>
      </c>
      <c r="AE40" s="133">
        <v>0.34095251104590968</v>
      </c>
      <c r="AF40" s="142">
        <v>9.8223740621230501E-2</v>
      </c>
    </row>
    <row r="41" spans="2:32" x14ac:dyDescent="0.3">
      <c r="B41" s="140" t="s">
        <v>12</v>
      </c>
      <c r="C41" s="148">
        <v>11367.751102435988</v>
      </c>
      <c r="D41" s="148">
        <v>8582.5616186499265</v>
      </c>
      <c r="E41" s="148">
        <v>7877.4374007547322</v>
      </c>
      <c r="F41" s="148">
        <v>7456.8621790149637</v>
      </c>
      <c r="G41" s="148">
        <v>7060.9433222441949</v>
      </c>
      <c r="H41" s="149">
        <v>6370.7050411764585</v>
      </c>
      <c r="J41" s="140" t="s">
        <v>12</v>
      </c>
      <c r="K41" s="148">
        <v>11367.751102435988</v>
      </c>
      <c r="L41" s="148">
        <v>8354.053397953443</v>
      </c>
      <c r="M41" s="148">
        <v>7025.7879533111991</v>
      </c>
      <c r="N41" s="148">
        <v>5704.1920490576986</v>
      </c>
      <c r="O41" s="148">
        <v>4751.8888945061326</v>
      </c>
      <c r="P41" s="149">
        <v>3989.7744299362284</v>
      </c>
      <c r="R41" s="1" t="s">
        <v>14</v>
      </c>
      <c r="S41" s="133">
        <v>13.771225893390763</v>
      </c>
      <c r="T41" s="133">
        <v>25.53471504724288</v>
      </c>
      <c r="U41" s="133">
        <v>36.918947151927796</v>
      </c>
      <c r="V41" s="133">
        <v>38.576458412387147</v>
      </c>
      <c r="W41" s="133">
        <v>36.27619356744674</v>
      </c>
      <c r="X41" s="142">
        <v>27.202626325587563</v>
      </c>
      <c r="Z41" s="1" t="s">
        <v>14</v>
      </c>
      <c r="AA41" s="133">
        <v>13.771225893390763</v>
      </c>
      <c r="AB41" s="133">
        <v>25.502859019011456</v>
      </c>
      <c r="AC41" s="133">
        <v>30.200084053731004</v>
      </c>
      <c r="AD41" s="133">
        <v>26.430907868748374</v>
      </c>
      <c r="AE41" s="133">
        <v>15.726207785041911</v>
      </c>
      <c r="AF41" s="142">
        <v>5.666855949264769</v>
      </c>
    </row>
    <row r="42" spans="2:32" x14ac:dyDescent="0.3">
      <c r="R42" s="140" t="s">
        <v>12</v>
      </c>
      <c r="S42" s="148">
        <v>23882.147012970785</v>
      </c>
      <c r="T42" s="148">
        <v>21648.678363364903</v>
      </c>
      <c r="U42" s="148">
        <v>19263.452040183623</v>
      </c>
      <c r="V42" s="148">
        <v>17434.789794267588</v>
      </c>
      <c r="W42" s="148">
        <v>15800.148363076616</v>
      </c>
      <c r="X42" s="149">
        <v>13825.646915690961</v>
      </c>
      <c r="Z42" s="140" t="s">
        <v>12</v>
      </c>
      <c r="AA42" s="148">
        <v>23882.147012970785</v>
      </c>
      <c r="AB42" s="148">
        <v>20930.725227175724</v>
      </c>
      <c r="AC42" s="148">
        <v>16807.021572870359</v>
      </c>
      <c r="AD42" s="148">
        <v>12594.471280281654</v>
      </c>
      <c r="AE42" s="148">
        <v>9279.4730212506674</v>
      </c>
      <c r="AF42" s="149">
        <v>6547.4361297365485</v>
      </c>
    </row>
    <row r="44" spans="2:32" x14ac:dyDescent="0.3">
      <c r="C44" s="3"/>
      <c r="D44" s="3"/>
      <c r="E44" s="3"/>
      <c r="F44" s="3"/>
      <c r="I44" s="3"/>
      <c r="J44" s="3"/>
      <c r="K44" s="3"/>
      <c r="L44" s="20"/>
      <c r="M44" s="14"/>
      <c r="N44" s="3"/>
      <c r="O44" s="3"/>
      <c r="P44" s="3"/>
      <c r="Q44" s="3"/>
    </row>
    <row r="45" spans="2:32" ht="29.4" customHeight="1" x14ac:dyDescent="0.3">
      <c r="B45" s="197" t="s">
        <v>201</v>
      </c>
      <c r="C45" s="198"/>
      <c r="D45" s="198"/>
      <c r="E45" s="198"/>
      <c r="F45" s="198"/>
      <c r="G45" s="198"/>
      <c r="H45" s="199"/>
      <c r="J45" s="197" t="s">
        <v>202</v>
      </c>
      <c r="K45" s="198"/>
      <c r="L45" s="198"/>
      <c r="M45" s="198"/>
      <c r="N45" s="198"/>
      <c r="O45" s="198"/>
      <c r="P45" s="199"/>
      <c r="R45" s="197" t="s">
        <v>203</v>
      </c>
      <c r="S45" s="198"/>
      <c r="T45" s="198"/>
      <c r="U45" s="198"/>
      <c r="V45" s="198"/>
      <c r="W45" s="198"/>
      <c r="X45" s="199"/>
      <c r="Z45" s="197" t="s">
        <v>204</v>
      </c>
      <c r="AA45" s="198"/>
      <c r="AB45" s="198"/>
      <c r="AC45" s="198"/>
      <c r="AD45" s="198"/>
      <c r="AE45" s="198"/>
      <c r="AF45" s="199"/>
    </row>
    <row r="46" spans="2:32" x14ac:dyDescent="0.3">
      <c r="B46" s="140" t="s">
        <v>183</v>
      </c>
      <c r="C46" s="137">
        <v>2015</v>
      </c>
      <c r="D46" s="137">
        <v>2025</v>
      </c>
      <c r="E46" s="138">
        <v>2030</v>
      </c>
      <c r="F46" s="137">
        <v>2035</v>
      </c>
      <c r="G46" s="138">
        <v>2040</v>
      </c>
      <c r="H46" s="139">
        <v>2050</v>
      </c>
      <c r="J46" s="140" t="s">
        <v>183</v>
      </c>
      <c r="K46" s="137">
        <v>2015</v>
      </c>
      <c r="L46" s="137">
        <v>2025</v>
      </c>
      <c r="M46" s="138">
        <v>2030</v>
      </c>
      <c r="N46" s="137">
        <v>2035</v>
      </c>
      <c r="O46" s="138">
        <v>2040</v>
      </c>
      <c r="P46" s="139">
        <v>2050</v>
      </c>
      <c r="R46" s="140" t="s">
        <v>183</v>
      </c>
      <c r="S46" s="137">
        <v>2015</v>
      </c>
      <c r="T46" s="137">
        <v>2025</v>
      </c>
      <c r="U46" s="138">
        <v>2030</v>
      </c>
      <c r="V46" s="137">
        <v>2035</v>
      </c>
      <c r="W46" s="138">
        <v>2040</v>
      </c>
      <c r="X46" s="139">
        <v>2050</v>
      </c>
      <c r="Z46" s="140" t="s">
        <v>183</v>
      </c>
      <c r="AA46" s="137">
        <v>2015</v>
      </c>
      <c r="AB46" s="137">
        <v>2025</v>
      </c>
      <c r="AC46" s="138">
        <v>2030</v>
      </c>
      <c r="AD46" s="137">
        <v>2035</v>
      </c>
      <c r="AE46" s="138">
        <v>2040</v>
      </c>
      <c r="AF46" s="139">
        <v>2050</v>
      </c>
    </row>
    <row r="47" spans="2:32" x14ac:dyDescent="0.3">
      <c r="B47" s="1" t="s">
        <v>184</v>
      </c>
      <c r="C47" s="133">
        <v>222.32628726312058</v>
      </c>
      <c r="D47" s="133">
        <v>7947.8055655475209</v>
      </c>
      <c r="E47" s="133">
        <v>17118.996227854968</v>
      </c>
      <c r="F47" s="133">
        <v>36770.440208602107</v>
      </c>
      <c r="G47" s="133">
        <v>70531.441984762103</v>
      </c>
      <c r="H47" s="142">
        <v>146389.28165364161</v>
      </c>
      <c r="J47" s="1" t="s">
        <v>184</v>
      </c>
      <c r="K47" s="133">
        <v>222.32628726312058</v>
      </c>
      <c r="L47" s="133">
        <v>10895.572658408137</v>
      </c>
      <c r="M47" s="133">
        <v>47050.79625385395</v>
      </c>
      <c r="N47" s="133">
        <v>112392.00402365143</v>
      </c>
      <c r="O47" s="133">
        <v>178407.63900190918</v>
      </c>
      <c r="P47" s="142">
        <v>264697.09287541534</v>
      </c>
      <c r="R47" s="1" t="s">
        <v>184</v>
      </c>
      <c r="S47" s="133">
        <v>25.673712737079832</v>
      </c>
      <c r="T47" s="133">
        <v>1641.8484546520722</v>
      </c>
      <c r="U47" s="133">
        <v>3570.6006261428702</v>
      </c>
      <c r="V47" s="133">
        <v>8279.5796765803243</v>
      </c>
      <c r="W47" s="133">
        <v>18435.55271740751</v>
      </c>
      <c r="X47" s="142">
        <v>46346.746852032906</v>
      </c>
      <c r="Z47" s="1" t="s">
        <v>184</v>
      </c>
      <c r="AA47" s="133">
        <v>25.673712737079832</v>
      </c>
      <c r="AB47" s="133">
        <v>11069.544570475506</v>
      </c>
      <c r="AC47" s="133">
        <v>65907.382975670334</v>
      </c>
      <c r="AD47" s="133">
        <v>154999.37384890832</v>
      </c>
      <c r="AE47" s="133">
        <v>234733.80097372161</v>
      </c>
      <c r="AF47" s="142">
        <v>316096.12758113636</v>
      </c>
    </row>
    <row r="48" spans="2:32" x14ac:dyDescent="0.3">
      <c r="B48" s="1" t="s">
        <v>185</v>
      </c>
      <c r="C48" s="133">
        <v>547.97477224950501</v>
      </c>
      <c r="D48" s="133">
        <v>2146.0893532929836</v>
      </c>
      <c r="E48" s="133">
        <v>2435.2740234987414</v>
      </c>
      <c r="F48" s="133">
        <v>3668.3634988095409</v>
      </c>
      <c r="G48" s="133">
        <v>5998.1961019710297</v>
      </c>
      <c r="H48" s="142">
        <v>11032.326741599332</v>
      </c>
      <c r="J48" s="1" t="s">
        <v>185</v>
      </c>
      <c r="K48" s="133">
        <v>547.97477224950501</v>
      </c>
      <c r="L48" s="133">
        <v>2072.8899921132888</v>
      </c>
      <c r="M48" s="133">
        <v>1940.6660183753279</v>
      </c>
      <c r="N48" s="133">
        <v>1591.1173434650891</v>
      </c>
      <c r="O48" s="133">
        <v>1010.1985059965099</v>
      </c>
      <c r="P48" s="142">
        <v>362.40587715801183</v>
      </c>
      <c r="R48" s="1" t="s">
        <v>185</v>
      </c>
      <c r="S48" s="133">
        <v>317.02522775099675</v>
      </c>
      <c r="T48" s="133">
        <v>1222.6383622671549</v>
      </c>
      <c r="U48" s="133">
        <v>2473.6112150098929</v>
      </c>
      <c r="V48" s="133">
        <v>5015.3796365762482</v>
      </c>
      <c r="W48" s="133">
        <v>9717.9715144928177</v>
      </c>
      <c r="X48" s="142">
        <v>22961.993430909621</v>
      </c>
      <c r="Z48" s="1" t="s">
        <v>185</v>
      </c>
      <c r="AA48" s="133">
        <v>317.02522775099675</v>
      </c>
      <c r="AB48" s="133">
        <v>1161.4308963454844</v>
      </c>
      <c r="AC48" s="133">
        <v>1604.2784022636154</v>
      </c>
      <c r="AD48" s="133">
        <v>1533.988921111863</v>
      </c>
      <c r="AE48" s="133">
        <v>1017.9212024557536</v>
      </c>
      <c r="AF48" s="142">
        <v>380.04571773967734</v>
      </c>
    </row>
    <row r="49" spans="2:32" x14ac:dyDescent="0.3">
      <c r="B49" s="140" t="s">
        <v>12</v>
      </c>
      <c r="C49" s="148">
        <v>770.30105951262556</v>
      </c>
      <c r="D49" s="148">
        <v>10093.894918840504</v>
      </c>
      <c r="E49" s="148">
        <v>19554.270251353708</v>
      </c>
      <c r="F49" s="148">
        <v>40438.803707411651</v>
      </c>
      <c r="G49" s="148">
        <v>76529.638086733132</v>
      </c>
      <c r="H49" s="149">
        <v>157421.60839524094</v>
      </c>
      <c r="J49" s="140" t="s">
        <v>12</v>
      </c>
      <c r="K49" s="148">
        <v>770.30105951262556</v>
      </c>
      <c r="L49" s="148">
        <v>12968.462650521426</v>
      </c>
      <c r="M49" s="148">
        <v>48991.462272229277</v>
      </c>
      <c r="N49" s="148">
        <v>113983.12136711652</v>
      </c>
      <c r="O49" s="148">
        <v>179417.8375079057</v>
      </c>
      <c r="P49" s="149">
        <v>265059.49875257333</v>
      </c>
      <c r="R49" s="140" t="s">
        <v>12</v>
      </c>
      <c r="S49" s="148">
        <v>342.69894048807657</v>
      </c>
      <c r="T49" s="148">
        <v>2864.4868169192268</v>
      </c>
      <c r="U49" s="148">
        <v>6044.2118411527626</v>
      </c>
      <c r="V49" s="148">
        <v>13294.959313156573</v>
      </c>
      <c r="W49" s="148">
        <v>28153.52423190033</v>
      </c>
      <c r="X49" s="149">
        <v>69308.740282942526</v>
      </c>
      <c r="Z49" s="140" t="s">
        <v>12</v>
      </c>
      <c r="AA49" s="148">
        <v>342.69894048807657</v>
      </c>
      <c r="AB49" s="148">
        <v>12230.97546682099</v>
      </c>
      <c r="AC49" s="148">
        <v>67511.661377933953</v>
      </c>
      <c r="AD49" s="148">
        <v>156533.36277002018</v>
      </c>
      <c r="AE49" s="148">
        <v>235751.72217617737</v>
      </c>
      <c r="AF49" s="149">
        <v>316476.17329887603</v>
      </c>
    </row>
    <row r="50" spans="2:32" x14ac:dyDescent="0.3">
      <c r="C50" s="3"/>
      <c r="D50" s="3"/>
      <c r="E50" s="3"/>
      <c r="F50" s="3"/>
      <c r="I50" s="3"/>
      <c r="J50" s="3"/>
      <c r="K50" s="3"/>
      <c r="L50" s="20"/>
      <c r="M50" s="14"/>
      <c r="N50" s="3"/>
      <c r="O50" s="3"/>
      <c r="P50" s="3"/>
      <c r="Q50" s="3"/>
    </row>
    <row r="51" spans="2:32" ht="16.8" customHeight="1" x14ac:dyDescent="0.3">
      <c r="C51" s="3"/>
      <c r="D51" s="3"/>
      <c r="E51" s="3"/>
      <c r="F51" s="3"/>
      <c r="I51" s="3"/>
      <c r="J51" s="3"/>
      <c r="K51" s="3"/>
      <c r="L51" s="20"/>
      <c r="M51" s="14"/>
      <c r="N51" s="3"/>
      <c r="O51" s="3"/>
      <c r="P51" s="3"/>
      <c r="Q51" s="3"/>
    </row>
    <row r="53" spans="2:32" ht="15" customHeight="1" x14ac:dyDescent="0.3"/>
    <row r="54" spans="2:32" ht="15" customHeight="1" x14ac:dyDescent="0.3"/>
    <row r="55" spans="2:32" ht="16.5" customHeight="1" x14ac:dyDescent="0.3"/>
    <row r="56" spans="2:32" ht="0.75" customHeight="1" x14ac:dyDescent="0.3"/>
    <row r="57" spans="2:32" ht="33.75" customHeight="1" x14ac:dyDescent="0.3">
      <c r="B57" s="239" t="s">
        <v>205</v>
      </c>
      <c r="C57" s="240"/>
    </row>
    <row r="58" spans="2:32" ht="58.5" customHeight="1" x14ac:dyDescent="0.3">
      <c r="B58" s="172" t="s">
        <v>191</v>
      </c>
      <c r="C58" s="12">
        <v>2015</v>
      </c>
      <c r="D58" s="12">
        <v>2025</v>
      </c>
      <c r="E58" s="12">
        <v>2035</v>
      </c>
      <c r="F58" s="12">
        <v>2050</v>
      </c>
    </row>
    <row r="59" spans="2:32" ht="74.25" customHeight="1" x14ac:dyDescent="0.3">
      <c r="B59" s="172"/>
      <c r="C59" s="13">
        <f>(C20-C4)- (K20-K4)</f>
        <v>0</v>
      </c>
      <c r="D59" s="13">
        <f>(D20-D4)- (L20-L4)</f>
        <v>-30.03278397462509</v>
      </c>
      <c r="E59" s="13">
        <f>(F20-F4)- (N20-N4)</f>
        <v>-106.0420950620246</v>
      </c>
      <c r="F59" s="13">
        <f>(H20-H4)- (P20-P4)</f>
        <v>-146.44729827170522</v>
      </c>
    </row>
  </sheetData>
  <mergeCells count="19">
    <mergeCell ref="B18:H18"/>
    <mergeCell ref="J18:P18"/>
    <mergeCell ref="Z21:AF21"/>
    <mergeCell ref="B2:H2"/>
    <mergeCell ref="J2:P2"/>
    <mergeCell ref="R2:X2"/>
    <mergeCell ref="Z2:AF2"/>
    <mergeCell ref="AH2:AN2"/>
    <mergeCell ref="R7:X7"/>
    <mergeCell ref="B33:H33"/>
    <mergeCell ref="J33:P33"/>
    <mergeCell ref="R33:X33"/>
    <mergeCell ref="Z33:AF33"/>
    <mergeCell ref="Z45:AF45"/>
    <mergeCell ref="B58:B59"/>
    <mergeCell ref="B45:H45"/>
    <mergeCell ref="J45:P45"/>
    <mergeCell ref="R45:X45"/>
    <mergeCell ref="B57:C5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8"/>
  <sheetViews>
    <sheetView topLeftCell="A14" zoomScale="70" zoomScaleNormal="70" workbookViewId="0">
      <selection activeCell="G35" sqref="G35"/>
    </sheetView>
  </sheetViews>
  <sheetFormatPr defaultRowHeight="14.4" x14ac:dyDescent="0.3"/>
  <cols>
    <col min="1" max="1" width="2.5546875" style="21" bestFit="1" customWidth="1"/>
    <col min="2" max="14" width="15.88671875" customWidth="1"/>
  </cols>
  <sheetData>
    <row r="1" spans="1:14" ht="21" x14ac:dyDescent="0.4">
      <c r="B1" s="37" t="s">
        <v>39</v>
      </c>
    </row>
    <row r="2" spans="1:14" ht="14.25" customHeight="1" x14ac:dyDescent="0.35">
      <c r="B2" s="36"/>
    </row>
    <row r="4" spans="1:14" ht="53.25" customHeight="1" x14ac:dyDescent="0.3">
      <c r="B4" s="96">
        <f>SUM(B19,B28)</f>
        <v>33609494.806818172</v>
      </c>
      <c r="C4" s="176" t="s">
        <v>118</v>
      </c>
      <c r="D4" s="174"/>
      <c r="E4" s="174"/>
      <c r="F4" s="174"/>
      <c r="G4" s="174"/>
      <c r="H4" s="174"/>
      <c r="I4" s="174"/>
      <c r="J4" s="174"/>
      <c r="K4" s="174"/>
      <c r="L4" s="174"/>
      <c r="M4" s="174"/>
      <c r="N4" s="174"/>
    </row>
    <row r="6" spans="1:14" ht="18" x14ac:dyDescent="0.35">
      <c r="C6" s="36" t="s">
        <v>43</v>
      </c>
    </row>
    <row r="7" spans="1:14" x14ac:dyDescent="0.3">
      <c r="C7" s="17"/>
    </row>
    <row r="8" spans="1:14" ht="53.25" customHeight="1" x14ac:dyDescent="0.3">
      <c r="A8" s="21">
        <v>1</v>
      </c>
      <c r="B8" s="94">
        <v>500000</v>
      </c>
      <c r="C8" s="174" t="s">
        <v>117</v>
      </c>
      <c r="D8" s="174"/>
      <c r="E8" s="174"/>
      <c r="F8" s="174"/>
      <c r="G8" s="174"/>
      <c r="H8" s="174"/>
      <c r="I8" s="174"/>
      <c r="J8" s="174"/>
      <c r="K8" s="174"/>
      <c r="L8" s="174"/>
      <c r="M8" s="174"/>
      <c r="N8" s="174"/>
    </row>
    <row r="9" spans="1:14" ht="53.25" customHeight="1" x14ac:dyDescent="0.3">
      <c r="A9" s="21">
        <v>2</v>
      </c>
      <c r="B9" s="94">
        <v>12500</v>
      </c>
      <c r="C9" s="175" t="s">
        <v>109</v>
      </c>
      <c r="D9" s="174"/>
      <c r="E9" s="174"/>
      <c r="F9" s="174"/>
      <c r="G9" s="174"/>
      <c r="H9" s="174"/>
      <c r="I9" s="174"/>
      <c r="J9" s="174"/>
      <c r="K9" s="174"/>
      <c r="L9" s="174"/>
      <c r="M9" s="174"/>
      <c r="N9" s="174"/>
    </row>
    <row r="10" spans="1:14" ht="53.25" customHeight="1" x14ac:dyDescent="0.3">
      <c r="A10" s="21">
        <v>3</v>
      </c>
      <c r="B10" s="94">
        <v>22</v>
      </c>
      <c r="C10" s="175" t="s">
        <v>108</v>
      </c>
      <c r="D10" s="174"/>
      <c r="E10" s="174"/>
      <c r="F10" s="174"/>
      <c r="G10" s="174"/>
      <c r="H10" s="174"/>
      <c r="I10" s="174"/>
      <c r="J10" s="174"/>
      <c r="K10" s="174"/>
      <c r="L10" s="174"/>
      <c r="M10" s="174"/>
      <c r="N10" s="174"/>
    </row>
    <row r="11" spans="1:14" ht="53.25" customHeight="1" x14ac:dyDescent="0.3">
      <c r="B11" s="95">
        <f>B8*B9/B10</f>
        <v>284090909.09090906</v>
      </c>
      <c r="C11" s="173" t="s">
        <v>22</v>
      </c>
      <c r="D11" s="173"/>
      <c r="E11" s="173"/>
      <c r="F11" s="173"/>
      <c r="G11" s="173"/>
      <c r="H11" s="173"/>
      <c r="I11" s="173"/>
      <c r="J11" s="173"/>
      <c r="K11" s="173"/>
      <c r="L11" s="173"/>
      <c r="M11" s="173"/>
      <c r="N11" s="173"/>
    </row>
    <row r="12" spans="1:14" ht="53.25" customHeight="1" x14ac:dyDescent="0.3">
      <c r="B12" s="127">
        <v>0.09</v>
      </c>
      <c r="C12" s="174" t="s">
        <v>110</v>
      </c>
      <c r="D12" s="174"/>
      <c r="E12" s="174"/>
      <c r="F12" s="174"/>
      <c r="G12" s="174"/>
      <c r="H12" s="174"/>
      <c r="I12" s="174"/>
      <c r="J12" s="174"/>
      <c r="K12" s="174"/>
      <c r="L12" s="174"/>
      <c r="M12" s="174"/>
      <c r="N12" s="174"/>
    </row>
    <row r="13" spans="1:14" ht="53.25" customHeight="1" x14ac:dyDescent="0.3">
      <c r="B13" s="95">
        <f>(1-B12)*B11</f>
        <v>258522727.27272725</v>
      </c>
      <c r="C13" s="174" t="s">
        <v>111</v>
      </c>
      <c r="D13" s="174"/>
      <c r="E13" s="174"/>
      <c r="F13" s="174"/>
      <c r="G13" s="174"/>
      <c r="H13" s="174"/>
      <c r="I13" s="174"/>
      <c r="J13" s="174"/>
      <c r="K13" s="174"/>
      <c r="L13" s="174"/>
      <c r="M13" s="174"/>
      <c r="N13" s="174"/>
    </row>
    <row r="14" spans="1:14" ht="53.25" customHeight="1" x14ac:dyDescent="0.3">
      <c r="B14" s="95">
        <f>fossilBtu</f>
        <v>121258.5</v>
      </c>
      <c r="C14" s="174" t="s">
        <v>99</v>
      </c>
      <c r="D14" s="174"/>
      <c r="E14" s="174"/>
      <c r="F14" s="174"/>
      <c r="G14" s="174"/>
      <c r="H14" s="174"/>
      <c r="I14" s="174"/>
      <c r="J14" s="174"/>
      <c r="K14" s="174"/>
      <c r="L14" s="174"/>
      <c r="M14" s="174"/>
      <c r="N14" s="174"/>
    </row>
    <row r="15" spans="1:14" ht="53.25" customHeight="1" x14ac:dyDescent="0.3">
      <c r="B15" s="95">
        <f>B13*B14/1000000</f>
        <v>31348078.124999996</v>
      </c>
      <c r="C15" s="174" t="s">
        <v>40</v>
      </c>
      <c r="D15" s="174"/>
      <c r="E15" s="174"/>
      <c r="F15" s="174"/>
      <c r="G15" s="174"/>
      <c r="H15" s="174"/>
      <c r="I15" s="174"/>
      <c r="J15" s="174"/>
      <c r="K15" s="174"/>
      <c r="L15" s="174"/>
      <c r="M15" s="174"/>
      <c r="N15" s="174"/>
    </row>
    <row r="16" spans="1:14" ht="53.25" customHeight="1" x14ac:dyDescent="0.3">
      <c r="B16" s="95">
        <f>B11-B13</f>
        <v>25568181.818181813</v>
      </c>
      <c r="C16" s="174" t="s">
        <v>112</v>
      </c>
      <c r="D16" s="174"/>
      <c r="E16" s="174"/>
      <c r="F16" s="174"/>
      <c r="G16" s="174"/>
      <c r="H16" s="174"/>
      <c r="I16" s="174"/>
      <c r="J16" s="174"/>
      <c r="K16" s="174"/>
      <c r="L16" s="174"/>
      <c r="M16" s="174"/>
      <c r="N16" s="174"/>
    </row>
    <row r="17" spans="1:14" ht="53.25" customHeight="1" x14ac:dyDescent="0.3">
      <c r="B17" s="95">
        <v>84710</v>
      </c>
      <c r="C17" s="174" t="s">
        <v>41</v>
      </c>
      <c r="D17" s="174"/>
      <c r="E17" s="174"/>
      <c r="F17" s="174"/>
      <c r="G17" s="174"/>
      <c r="H17" s="174"/>
      <c r="I17" s="174"/>
      <c r="J17" s="174"/>
      <c r="K17" s="174"/>
      <c r="L17" s="174"/>
      <c r="M17" s="174"/>
      <c r="N17" s="174"/>
    </row>
    <row r="18" spans="1:14" ht="53.25" customHeight="1" x14ac:dyDescent="0.3">
      <c r="B18" s="95">
        <f>B16*B17/1000000</f>
        <v>2165880.6818181812</v>
      </c>
      <c r="C18" s="174" t="s">
        <v>42</v>
      </c>
      <c r="D18" s="174"/>
      <c r="E18" s="174"/>
      <c r="F18" s="174"/>
      <c r="G18" s="174"/>
      <c r="H18" s="174"/>
      <c r="I18" s="174"/>
      <c r="J18" s="174"/>
      <c r="K18" s="174"/>
      <c r="L18" s="174"/>
      <c r="M18" s="174"/>
      <c r="N18" s="174"/>
    </row>
    <row r="19" spans="1:14" ht="53.25" customHeight="1" x14ac:dyDescent="0.3">
      <c r="B19" s="96">
        <f>B15+B18</f>
        <v>33513958.806818176</v>
      </c>
      <c r="C19" s="176" t="s">
        <v>113</v>
      </c>
      <c r="D19" s="174"/>
      <c r="E19" s="174"/>
      <c r="F19" s="174"/>
      <c r="G19" s="174"/>
      <c r="H19" s="174"/>
      <c r="I19" s="174"/>
      <c r="J19" s="174"/>
      <c r="K19" s="174"/>
      <c r="L19" s="174"/>
      <c r="M19" s="174"/>
      <c r="N19" s="174"/>
    </row>
    <row r="20" spans="1:14" x14ac:dyDescent="0.3">
      <c r="B20" s="3"/>
    </row>
    <row r="21" spans="1:14" ht="18" x14ac:dyDescent="0.35">
      <c r="B21" s="3"/>
      <c r="C21" s="36" t="s">
        <v>46</v>
      </c>
    </row>
    <row r="22" spans="1:14" x14ac:dyDescent="0.3">
      <c r="B22" s="3"/>
      <c r="C22" s="17"/>
    </row>
    <row r="23" spans="1:14" ht="53.25" customHeight="1" x14ac:dyDescent="0.3">
      <c r="A23" s="21">
        <v>1</v>
      </c>
      <c r="B23" s="97">
        <v>12000</v>
      </c>
      <c r="C23" s="175" t="s">
        <v>114</v>
      </c>
      <c r="D23" s="174"/>
      <c r="E23" s="174"/>
      <c r="F23" s="174"/>
      <c r="G23" s="174"/>
      <c r="H23" s="174"/>
      <c r="I23" s="174"/>
      <c r="J23" s="174"/>
      <c r="K23" s="174"/>
      <c r="L23" s="174"/>
      <c r="M23" s="174"/>
      <c r="N23" s="42"/>
    </row>
    <row r="24" spans="1:14" ht="53.25" customHeight="1" x14ac:dyDescent="0.3">
      <c r="B24" s="97">
        <v>7000</v>
      </c>
      <c r="C24" s="174" t="s">
        <v>115</v>
      </c>
      <c r="D24" s="174"/>
      <c r="E24" s="174"/>
      <c r="F24" s="174"/>
      <c r="G24" s="174"/>
      <c r="H24" s="174"/>
      <c r="I24" s="174"/>
      <c r="J24" s="174"/>
      <c r="K24" s="174"/>
      <c r="L24" s="174"/>
      <c r="M24" s="174"/>
      <c r="N24" s="174"/>
    </row>
    <row r="25" spans="1:14" ht="53.25" customHeight="1" x14ac:dyDescent="0.3">
      <c r="B25" s="95">
        <v>3</v>
      </c>
      <c r="C25" s="173" t="s">
        <v>116</v>
      </c>
      <c r="D25" s="173"/>
      <c r="E25" s="173"/>
      <c r="F25" s="173"/>
      <c r="G25" s="173"/>
      <c r="H25" s="173"/>
      <c r="I25" s="173"/>
      <c r="J25" s="173"/>
      <c r="K25" s="173"/>
      <c r="L25" s="173"/>
      <c r="M25" s="173"/>
      <c r="N25" s="173"/>
    </row>
    <row r="26" spans="1:14" ht="53.25" customHeight="1" x14ac:dyDescent="0.3">
      <c r="B26" s="95">
        <f>B23*B24/B25</f>
        <v>28000000</v>
      </c>
      <c r="C26" s="173" t="s">
        <v>44</v>
      </c>
      <c r="D26" s="173"/>
      <c r="E26" s="173"/>
      <c r="F26" s="173"/>
      <c r="G26" s="173"/>
      <c r="H26" s="173"/>
      <c r="I26" s="173"/>
      <c r="J26" s="173"/>
      <c r="K26" s="173"/>
      <c r="L26" s="173"/>
      <c r="M26" s="173"/>
      <c r="N26" s="173"/>
    </row>
    <row r="27" spans="1:14" ht="53.25" customHeight="1" x14ac:dyDescent="0.3">
      <c r="B27" s="95">
        <v>3412</v>
      </c>
      <c r="C27" s="173" t="s">
        <v>100</v>
      </c>
      <c r="D27" s="173"/>
      <c r="E27" s="173"/>
      <c r="F27" s="173"/>
      <c r="G27" s="173"/>
      <c r="H27" s="173"/>
      <c r="I27" s="173"/>
      <c r="J27" s="173"/>
      <c r="K27" s="173"/>
      <c r="L27" s="173"/>
      <c r="M27" s="173"/>
      <c r="N27" s="173"/>
    </row>
    <row r="28" spans="1:14" ht="53.25" customHeight="1" x14ac:dyDescent="0.3">
      <c r="B28" s="96">
        <f>B26*B27/1000000</f>
        <v>95536</v>
      </c>
      <c r="C28" s="177" t="s">
        <v>45</v>
      </c>
      <c r="D28" s="173"/>
      <c r="E28" s="173"/>
      <c r="F28" s="173"/>
      <c r="G28" s="173"/>
      <c r="H28" s="173"/>
      <c r="I28" s="173"/>
      <c r="J28" s="173"/>
      <c r="K28" s="173"/>
      <c r="L28" s="173"/>
      <c r="M28" s="173"/>
      <c r="N28" s="173"/>
    </row>
    <row r="29" spans="1:14" x14ac:dyDescent="0.3">
      <c r="B29" s="3"/>
    </row>
    <row r="31" spans="1:14" x14ac:dyDescent="0.3">
      <c r="C31" s="17"/>
    </row>
    <row r="33" spans="2:2" x14ac:dyDescent="0.3">
      <c r="B33" s="3"/>
    </row>
    <row r="38" spans="2:2" x14ac:dyDescent="0.3">
      <c r="B38" s="3"/>
    </row>
    <row r="40" spans="2:2" x14ac:dyDescent="0.3">
      <c r="B40" s="3"/>
    </row>
    <row r="42" spans="2:2" x14ac:dyDescent="0.3">
      <c r="B42" s="15"/>
    </row>
    <row r="43" spans="2:2" x14ac:dyDescent="0.3">
      <c r="B43" s="15"/>
    </row>
    <row r="44" spans="2:2" x14ac:dyDescent="0.3">
      <c r="B44" s="15"/>
    </row>
    <row r="58" spans="2:2" x14ac:dyDescent="0.3">
      <c r="B58" s="3"/>
    </row>
  </sheetData>
  <mergeCells count="19">
    <mergeCell ref="C23:M23"/>
    <mergeCell ref="C24:N24"/>
    <mergeCell ref="C28:N28"/>
    <mergeCell ref="C27:N27"/>
    <mergeCell ref="C26:N26"/>
    <mergeCell ref="C25:N25"/>
    <mergeCell ref="C12:N12"/>
    <mergeCell ref="C19:N19"/>
    <mergeCell ref="C18:N18"/>
    <mergeCell ref="C17:N17"/>
    <mergeCell ref="C16:N16"/>
    <mergeCell ref="C15:N15"/>
    <mergeCell ref="C14:N14"/>
    <mergeCell ref="C13:N13"/>
    <mergeCell ref="C11:N11"/>
    <mergeCell ref="C8:N8"/>
    <mergeCell ref="C9:N9"/>
    <mergeCell ref="C10:N10"/>
    <mergeCell ref="C4:N4"/>
  </mergeCells>
  <pageMargins left="0.7" right="0.7" top="0.75" bottom="0.75" header="0.3" footer="0.3"/>
  <pageSetup orientation="portrait" horizontalDpi="20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2"/>
  <sheetViews>
    <sheetView topLeftCell="A15" zoomScale="70" zoomScaleNormal="70" workbookViewId="0">
      <selection activeCell="H18" sqref="H18"/>
    </sheetView>
  </sheetViews>
  <sheetFormatPr defaultRowHeight="14.4" x14ac:dyDescent="0.3"/>
  <cols>
    <col min="1" max="1" width="2.5546875" style="39" bestFit="1" customWidth="1"/>
    <col min="2" max="14" width="14.5546875" customWidth="1"/>
  </cols>
  <sheetData>
    <row r="1" spans="1:14" ht="21" x14ac:dyDescent="0.4">
      <c r="A1" s="41"/>
      <c r="B1" s="37" t="s">
        <v>49</v>
      </c>
    </row>
    <row r="2" spans="1:14" x14ac:dyDescent="0.3">
      <c r="A2" s="41"/>
      <c r="B2" s="38"/>
    </row>
    <row r="3" spans="1:14" x14ac:dyDescent="0.3">
      <c r="A3" s="41"/>
    </row>
    <row r="4" spans="1:14" ht="69.75" customHeight="1" x14ac:dyDescent="0.3">
      <c r="A4" s="41"/>
      <c r="B4" s="40">
        <f>SUM(B10,B33)</f>
        <v>48875000</v>
      </c>
      <c r="C4" s="176" t="s">
        <v>119</v>
      </c>
      <c r="D4" s="174"/>
      <c r="E4" s="174"/>
      <c r="F4" s="174"/>
      <c r="G4" s="174"/>
      <c r="H4" s="174"/>
      <c r="I4" s="174"/>
      <c r="J4" s="174"/>
      <c r="K4" s="174"/>
      <c r="L4" s="174"/>
      <c r="M4" s="174"/>
      <c r="N4" s="174"/>
    </row>
    <row r="5" spans="1:14" x14ac:dyDescent="0.3">
      <c r="A5" s="41"/>
      <c r="B5" s="39"/>
    </row>
    <row r="6" spans="1:14" ht="18" x14ac:dyDescent="0.35">
      <c r="B6" s="39"/>
      <c r="C6" s="36" t="s">
        <v>47</v>
      </c>
    </row>
    <row r="7" spans="1:14" x14ac:dyDescent="0.3">
      <c r="B7" s="39"/>
      <c r="C7" s="17"/>
    </row>
    <row r="8" spans="1:14" ht="69.75" customHeight="1" x14ac:dyDescent="0.3">
      <c r="A8" s="39">
        <v>1</v>
      </c>
      <c r="B8" s="22">
        <v>262500</v>
      </c>
      <c r="C8" s="175" t="s">
        <v>120</v>
      </c>
      <c r="D8" s="174"/>
      <c r="E8" s="174"/>
      <c r="F8" s="174"/>
      <c r="G8" s="174"/>
      <c r="H8" s="174"/>
      <c r="I8" s="174"/>
      <c r="J8" s="174"/>
      <c r="K8" s="174"/>
      <c r="L8" s="174"/>
      <c r="M8" s="174"/>
      <c r="N8" s="174"/>
    </row>
    <row r="9" spans="1:14" ht="69.75" customHeight="1" x14ac:dyDescent="0.3">
      <c r="A9" s="39">
        <v>2</v>
      </c>
      <c r="B9" s="22">
        <v>110</v>
      </c>
      <c r="C9" s="175" t="s">
        <v>121</v>
      </c>
      <c r="D9" s="174"/>
      <c r="E9" s="174"/>
      <c r="F9" s="174"/>
      <c r="G9" s="174"/>
      <c r="H9" s="174"/>
      <c r="I9" s="174"/>
      <c r="J9" s="174"/>
      <c r="K9" s="174"/>
      <c r="L9" s="174"/>
      <c r="M9" s="174"/>
      <c r="N9" s="174"/>
    </row>
    <row r="10" spans="1:14" ht="69.75" customHeight="1" x14ac:dyDescent="0.3">
      <c r="B10" s="40">
        <f>B8*B9</f>
        <v>28875000</v>
      </c>
      <c r="C10" s="177" t="s">
        <v>122</v>
      </c>
      <c r="D10" s="173"/>
      <c r="E10" s="173"/>
      <c r="F10" s="173"/>
      <c r="G10" s="173"/>
      <c r="H10" s="173"/>
      <c r="I10" s="173"/>
      <c r="J10" s="173"/>
      <c r="K10" s="173"/>
      <c r="L10" s="173"/>
      <c r="M10" s="173"/>
      <c r="N10" s="173"/>
    </row>
    <row r="11" spans="1:14" x14ac:dyDescent="0.3">
      <c r="B11" s="41"/>
      <c r="C11" s="18"/>
      <c r="D11" s="18"/>
      <c r="E11" s="18"/>
      <c r="F11" s="18"/>
      <c r="G11" s="18"/>
      <c r="H11" s="18"/>
    </row>
    <row r="12" spans="1:14" ht="18" x14ac:dyDescent="0.35">
      <c r="B12" s="39"/>
      <c r="C12" s="36" t="s">
        <v>48</v>
      </c>
    </row>
    <row r="13" spans="1:14" ht="15.6" x14ac:dyDescent="0.3">
      <c r="B13" s="39"/>
      <c r="C13" s="43"/>
    </row>
    <row r="14" spans="1:14" ht="69.75" customHeight="1" x14ac:dyDescent="0.3">
      <c r="A14" s="39">
        <v>1</v>
      </c>
      <c r="B14" s="131">
        <f>J31</f>
        <v>18617</v>
      </c>
      <c r="C14" s="174" t="s">
        <v>123</v>
      </c>
      <c r="D14" s="174"/>
      <c r="E14" s="174"/>
      <c r="F14" s="174"/>
      <c r="G14" s="174"/>
      <c r="H14" s="174"/>
      <c r="I14" s="174"/>
      <c r="J14" s="174"/>
      <c r="K14" s="174"/>
      <c r="L14" s="174"/>
      <c r="M14" s="174"/>
      <c r="N14" s="174"/>
    </row>
    <row r="15" spans="1:14" ht="69.75" customHeight="1" x14ac:dyDescent="0.3">
      <c r="A15" s="39">
        <v>2</v>
      </c>
      <c r="B15" s="41">
        <f>K31</f>
        <v>1074.2869420422194</v>
      </c>
      <c r="C15" s="174" t="s">
        <v>125</v>
      </c>
      <c r="D15" s="174"/>
      <c r="E15" s="174"/>
      <c r="F15" s="174"/>
      <c r="G15" s="174"/>
      <c r="H15" s="174"/>
      <c r="I15" s="174"/>
      <c r="J15" s="174"/>
      <c r="K15" s="174"/>
      <c r="L15" s="174"/>
      <c r="M15" s="174"/>
      <c r="N15" s="174"/>
    </row>
    <row r="16" spans="1:14" ht="54" customHeight="1" x14ac:dyDescent="0.3">
      <c r="B16" s="39"/>
      <c r="D16" s="23" t="s">
        <v>38</v>
      </c>
      <c r="E16" s="34" t="s">
        <v>52</v>
      </c>
      <c r="F16" s="34" t="s">
        <v>51</v>
      </c>
      <c r="G16" s="34" t="s">
        <v>50</v>
      </c>
      <c r="H16" s="34" t="s">
        <v>37</v>
      </c>
      <c r="I16" s="34" t="s">
        <v>55</v>
      </c>
      <c r="J16" s="130" t="s">
        <v>53</v>
      </c>
      <c r="K16" s="35" t="s">
        <v>54</v>
      </c>
    </row>
    <row r="17" spans="2:17" ht="47.25" customHeight="1" x14ac:dyDescent="0.3">
      <c r="B17" s="39"/>
      <c r="C17">
        <v>3</v>
      </c>
      <c r="D17" s="31" t="s">
        <v>25</v>
      </c>
      <c r="E17" s="24">
        <v>1418</v>
      </c>
      <c r="F17" s="24">
        <v>9210</v>
      </c>
      <c r="G17" s="24">
        <f>F17/E17</f>
        <v>6.4950634696755998</v>
      </c>
      <c r="H17" s="24">
        <f>G17/SUM($G$17:$G$30)*$H$31</f>
        <v>779542.16036442167</v>
      </c>
      <c r="I17" s="24">
        <f>H17/E17</f>
        <v>549.7476448268136</v>
      </c>
      <c r="J17" s="129">
        <v>1418</v>
      </c>
      <c r="K17" s="25">
        <f>IF(J17="","",J17/$J$31)</f>
        <v>7.6166944190793368E-2</v>
      </c>
    </row>
    <row r="18" spans="2:17" ht="47.25" customHeight="1" x14ac:dyDescent="0.3">
      <c r="B18" s="39"/>
      <c r="C18">
        <v>4</v>
      </c>
      <c r="D18" s="32" t="s">
        <v>26</v>
      </c>
      <c r="E18" s="26">
        <v>3134</v>
      </c>
      <c r="F18" s="26">
        <v>37178</v>
      </c>
      <c r="G18" s="26">
        <f t="shared" ref="G18:G30" si="0">F18/E18</f>
        <v>11.862795149968091</v>
      </c>
      <c r="H18" s="26">
        <f t="shared" ref="H18:H30" si="1">G18/SUM($G$17:$G$30)*$H$31</f>
        <v>1423781.1535394562</v>
      </c>
      <c r="I18" s="26">
        <f t="shared" ref="I18:I30" si="2">H18/E18</f>
        <v>454.301580580554</v>
      </c>
      <c r="J18" s="122">
        <v>3134</v>
      </c>
      <c r="K18" s="27">
        <f t="shared" ref="K18:K30" si="3">IF(J18="","",J18/$J$31)</f>
        <v>0.1683407638180158</v>
      </c>
    </row>
    <row r="19" spans="2:17" ht="47.25" customHeight="1" x14ac:dyDescent="0.3">
      <c r="B19" s="39"/>
      <c r="C19">
        <v>5</v>
      </c>
      <c r="D19" s="32" t="s">
        <v>27</v>
      </c>
      <c r="E19" s="26">
        <v>549</v>
      </c>
      <c r="F19" s="26">
        <v>6436</v>
      </c>
      <c r="G19" s="26">
        <f t="shared" si="0"/>
        <v>11.723132969034609</v>
      </c>
      <c r="H19" s="26">
        <f t="shared" si="1"/>
        <v>1407018.798751947</v>
      </c>
      <c r="I19" s="26">
        <f t="shared" si="2"/>
        <v>2562.8757718614697</v>
      </c>
      <c r="J19" s="122">
        <v>549</v>
      </c>
      <c r="K19" s="27">
        <f t="shared" si="3"/>
        <v>2.9489176559058923E-2</v>
      </c>
    </row>
    <row r="20" spans="2:17" ht="47.25" customHeight="1" x14ac:dyDescent="0.3">
      <c r="B20" s="39"/>
      <c r="C20">
        <v>6</v>
      </c>
      <c r="D20" s="32" t="s">
        <v>23</v>
      </c>
      <c r="E20" s="26">
        <v>483</v>
      </c>
      <c r="F20" s="26">
        <v>4689</v>
      </c>
      <c r="G20" s="26">
        <f t="shared" si="0"/>
        <v>9.70807453416149</v>
      </c>
      <c r="H20" s="26">
        <f t="shared" si="1"/>
        <v>1165170.0450152883</v>
      </c>
      <c r="I20" s="26">
        <f t="shared" si="2"/>
        <v>2412.3603416465594</v>
      </c>
      <c r="J20" s="122">
        <v>483</v>
      </c>
      <c r="K20" s="27">
        <f t="shared" si="3"/>
        <v>2.5944029650319601E-2</v>
      </c>
    </row>
    <row r="21" spans="2:17" ht="47.25" customHeight="1" x14ac:dyDescent="0.3">
      <c r="B21" s="39"/>
      <c r="C21">
        <v>7</v>
      </c>
      <c r="D21" s="33" t="s">
        <v>28</v>
      </c>
      <c r="E21" s="26">
        <v>944</v>
      </c>
      <c r="F21" s="26">
        <v>8692</v>
      </c>
      <c r="G21" s="26">
        <f t="shared" si="0"/>
        <v>9.2076271186440675</v>
      </c>
      <c r="H21" s="26">
        <f t="shared" si="1"/>
        <v>1105105.9884802522</v>
      </c>
      <c r="I21" s="26">
        <f t="shared" si="2"/>
        <v>1170.6631233900978</v>
      </c>
      <c r="J21" s="122">
        <v>944</v>
      </c>
      <c r="K21" s="27">
        <f t="shared" si="3"/>
        <v>5.0706343664392757E-2</v>
      </c>
    </row>
    <row r="22" spans="2:17" ht="47.25" customHeight="1" x14ac:dyDescent="0.3">
      <c r="B22" s="39"/>
      <c r="C22">
        <v>8</v>
      </c>
      <c r="D22" s="32" t="s">
        <v>29</v>
      </c>
      <c r="E22" s="26">
        <v>716</v>
      </c>
      <c r="F22" s="26">
        <v>2837</v>
      </c>
      <c r="G22" s="26">
        <f t="shared" si="0"/>
        <v>3.9622905027932962</v>
      </c>
      <c r="H22" s="26">
        <f t="shared" si="1"/>
        <v>475556.93842868437</v>
      </c>
      <c r="I22" s="26">
        <f t="shared" si="2"/>
        <v>664.18566819648652</v>
      </c>
      <c r="J22" s="122">
        <v>716</v>
      </c>
      <c r="K22" s="27">
        <f t="shared" si="3"/>
        <v>3.8459472525111456E-2</v>
      </c>
    </row>
    <row r="23" spans="2:17" ht="47.25" customHeight="1" x14ac:dyDescent="0.3">
      <c r="B23" s="39"/>
      <c r="C23">
        <v>9</v>
      </c>
      <c r="D23" s="33" t="s">
        <v>30</v>
      </c>
      <c r="E23" s="26">
        <v>3170</v>
      </c>
      <c r="F23" s="26">
        <v>14050</v>
      </c>
      <c r="G23" s="26">
        <f t="shared" si="0"/>
        <v>4.4321766561514195</v>
      </c>
      <c r="H23" s="26">
        <f t="shared" si="1"/>
        <v>531953.01043387665</v>
      </c>
      <c r="I23" s="26">
        <f t="shared" si="2"/>
        <v>167.80852064160146</v>
      </c>
      <c r="J23" s="122">
        <v>3170</v>
      </c>
      <c r="K23" s="27">
        <f t="shared" si="3"/>
        <v>0.1702744803136918</v>
      </c>
    </row>
    <row r="24" spans="2:17" ht="47.25" customHeight="1" x14ac:dyDescent="0.3">
      <c r="B24" s="39"/>
      <c r="C24">
        <v>10</v>
      </c>
      <c r="D24" s="33" t="s">
        <v>31</v>
      </c>
      <c r="E24" s="26">
        <v>112</v>
      </c>
      <c r="F24" s="26">
        <v>2213</v>
      </c>
      <c r="G24" s="26">
        <f t="shared" si="0"/>
        <v>19.758928571428573</v>
      </c>
      <c r="H24" s="26">
        <f t="shared" si="1"/>
        <v>2371480.7310154019</v>
      </c>
      <c r="I24" s="26">
        <f t="shared" si="2"/>
        <v>21173.935098351802</v>
      </c>
      <c r="J24" s="122">
        <v>112</v>
      </c>
      <c r="K24" s="27">
        <f t="shared" si="3"/>
        <v>6.016006875436429E-3</v>
      </c>
    </row>
    <row r="25" spans="2:17" ht="47.25" customHeight="1" x14ac:dyDescent="0.3">
      <c r="B25" s="39"/>
      <c r="C25">
        <v>11</v>
      </c>
      <c r="D25" s="33" t="s">
        <v>32</v>
      </c>
      <c r="E25" s="26">
        <v>1580</v>
      </c>
      <c r="F25" s="26">
        <v>9665</v>
      </c>
      <c r="G25" s="26">
        <f t="shared" si="0"/>
        <v>6.1170886075949369</v>
      </c>
      <c r="H25" s="26">
        <f t="shared" si="1"/>
        <v>734177.34723742679</v>
      </c>
      <c r="I25" s="26">
        <f t="shared" si="2"/>
        <v>464.66920711229545</v>
      </c>
      <c r="J25" s="122">
        <v>1580</v>
      </c>
      <c r="K25" s="27">
        <f t="shared" si="3"/>
        <v>8.4868668421335336E-2</v>
      </c>
    </row>
    <row r="26" spans="2:17" ht="47.25" customHeight="1" x14ac:dyDescent="0.3">
      <c r="B26" s="39"/>
      <c r="C26">
        <v>12</v>
      </c>
      <c r="D26" s="32" t="s">
        <v>33</v>
      </c>
      <c r="E26" s="26">
        <v>422</v>
      </c>
      <c r="F26" s="26">
        <v>10349</v>
      </c>
      <c r="G26" s="26">
        <f t="shared" si="0"/>
        <v>24.523696682464454</v>
      </c>
      <c r="H26" s="26">
        <f t="shared" si="1"/>
        <v>2943351.6056040889</v>
      </c>
      <c r="I26" s="26">
        <f t="shared" si="2"/>
        <v>6974.7668379243814</v>
      </c>
      <c r="J26" s="122">
        <v>422</v>
      </c>
      <c r="K26" s="27">
        <f t="shared" si="3"/>
        <v>2.2667454477090832E-2</v>
      </c>
    </row>
    <row r="27" spans="2:17" ht="47.25" customHeight="1" x14ac:dyDescent="0.3">
      <c r="B27" s="39"/>
      <c r="C27">
        <v>13</v>
      </c>
      <c r="D27" s="33" t="s">
        <v>34</v>
      </c>
      <c r="E27" s="26">
        <v>1888</v>
      </c>
      <c r="F27" s="26">
        <v>49518</v>
      </c>
      <c r="G27" s="26">
        <f t="shared" si="0"/>
        <v>26.227754237288135</v>
      </c>
      <c r="H27" s="26">
        <f t="shared" si="1"/>
        <v>3147873.8114107875</v>
      </c>
      <c r="I27" s="26">
        <f t="shared" si="2"/>
        <v>1667.3060441794426</v>
      </c>
      <c r="J27" s="122">
        <v>1888</v>
      </c>
      <c r="K27" s="27">
        <f t="shared" si="3"/>
        <v>0.10141268732878551</v>
      </c>
    </row>
    <row r="28" spans="2:17" ht="47.25" customHeight="1" x14ac:dyDescent="0.3">
      <c r="B28" s="39"/>
      <c r="C28">
        <v>14</v>
      </c>
      <c r="D28" s="33" t="s">
        <v>35</v>
      </c>
      <c r="E28" s="26">
        <v>412</v>
      </c>
      <c r="F28" s="26">
        <v>3869</v>
      </c>
      <c r="G28" s="26">
        <f t="shared" si="0"/>
        <v>9.3907766990291268</v>
      </c>
      <c r="H28" s="26">
        <f t="shared" si="1"/>
        <v>1127087.7320351519</v>
      </c>
      <c r="I28" s="26">
        <f t="shared" si="2"/>
        <v>2735.6498350367765</v>
      </c>
      <c r="J28" s="122">
        <v>412</v>
      </c>
      <c r="K28" s="27">
        <f t="shared" si="3"/>
        <v>2.2130311006069721E-2</v>
      </c>
    </row>
    <row r="29" spans="2:17" ht="47.25" customHeight="1" x14ac:dyDescent="0.3">
      <c r="B29" s="39"/>
      <c r="C29">
        <v>15</v>
      </c>
      <c r="D29" s="32" t="s">
        <v>36</v>
      </c>
      <c r="E29" s="26">
        <v>1807</v>
      </c>
      <c r="F29" s="26">
        <v>33991</v>
      </c>
      <c r="G29" s="26">
        <f t="shared" si="0"/>
        <v>18.810736026563365</v>
      </c>
      <c r="H29" s="26">
        <f t="shared" si="1"/>
        <v>2257677.9840035117</v>
      </c>
      <c r="I29" s="26">
        <f t="shared" si="2"/>
        <v>1249.406742669348</v>
      </c>
      <c r="J29" s="122">
        <v>1807</v>
      </c>
      <c r="K29" s="27">
        <f t="shared" si="3"/>
        <v>9.706182521351453E-2</v>
      </c>
    </row>
    <row r="30" spans="2:17" ht="47.25" customHeight="1" x14ac:dyDescent="0.3">
      <c r="B30" s="39"/>
      <c r="C30">
        <v>16</v>
      </c>
      <c r="D30" s="33" t="s">
        <v>24</v>
      </c>
      <c r="E30" s="26">
        <v>1982</v>
      </c>
      <c r="F30" s="26">
        <v>8756</v>
      </c>
      <c r="G30" s="26">
        <f t="shared" si="0"/>
        <v>4.4177598385469219</v>
      </c>
      <c r="H30" s="26">
        <f t="shared" si="1"/>
        <v>530222.6936797048</v>
      </c>
      <c r="I30" s="26">
        <f t="shared" si="2"/>
        <v>267.5190180018692</v>
      </c>
      <c r="J30" s="122">
        <v>1982</v>
      </c>
      <c r="K30" s="27">
        <f t="shared" si="3"/>
        <v>0.10646183595638395</v>
      </c>
    </row>
    <row r="31" spans="2:17" ht="33" customHeight="1" x14ac:dyDescent="0.3">
      <c r="B31" s="39"/>
      <c r="D31" s="28"/>
      <c r="E31" s="29"/>
      <c r="F31" s="29"/>
      <c r="G31" s="29"/>
      <c r="H31" s="128">
        <v>20000000</v>
      </c>
      <c r="I31" s="29"/>
      <c r="J31" s="125">
        <f>SUM(J17:J30)</f>
        <v>18617</v>
      </c>
      <c r="K31" s="30">
        <f>SUMPRODUCT(I17:I30,K17:K30)</f>
        <v>1074.2869420422194</v>
      </c>
      <c r="L31" s="178" t="s">
        <v>56</v>
      </c>
      <c r="M31" s="179"/>
      <c r="N31" s="179"/>
      <c r="O31" s="179"/>
      <c r="P31" s="179"/>
      <c r="Q31" s="179"/>
    </row>
    <row r="32" spans="2:17" ht="22.5" customHeight="1" x14ac:dyDescent="0.3">
      <c r="B32" s="39"/>
    </row>
    <row r="33" spans="2:14" ht="69.75" customHeight="1" x14ac:dyDescent="0.3">
      <c r="B33" s="40">
        <f>B14*B15</f>
        <v>20000000</v>
      </c>
      <c r="C33" s="177" t="s">
        <v>124</v>
      </c>
      <c r="D33" s="173"/>
      <c r="E33" s="173"/>
      <c r="F33" s="173"/>
      <c r="G33" s="173"/>
      <c r="H33" s="173"/>
      <c r="I33" s="173"/>
      <c r="J33" s="173"/>
      <c r="K33" s="173"/>
      <c r="L33" s="173"/>
      <c r="M33" s="173"/>
      <c r="N33" s="173"/>
    </row>
    <row r="42" spans="2:14" x14ac:dyDescent="0.3">
      <c r="D42" s="15"/>
    </row>
  </sheetData>
  <mergeCells count="8">
    <mergeCell ref="C4:N4"/>
    <mergeCell ref="C10:N10"/>
    <mergeCell ref="C14:N14"/>
    <mergeCell ref="C15:N15"/>
    <mergeCell ref="C33:N33"/>
    <mergeCell ref="L31:Q31"/>
    <mergeCell ref="C8:N8"/>
    <mergeCell ref="C9:N9"/>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H97"/>
  <sheetViews>
    <sheetView topLeftCell="A25" zoomScale="70" zoomScaleNormal="70" workbookViewId="0">
      <selection activeCell="R28" sqref="R28"/>
    </sheetView>
  </sheetViews>
  <sheetFormatPr defaultRowHeight="14.4" x14ac:dyDescent="0.3"/>
  <cols>
    <col min="1" max="1" width="6.88671875" customWidth="1"/>
    <col min="2" max="2" width="14.77734375" customWidth="1"/>
    <col min="3" max="3" width="15.109375" customWidth="1"/>
    <col min="4" max="4" width="17.77734375" customWidth="1"/>
    <col min="5" max="5" width="13.5546875" customWidth="1"/>
    <col min="6" max="6" width="10.6640625" customWidth="1"/>
    <col min="7" max="19" width="13.5546875" customWidth="1"/>
    <col min="20" max="20" width="11.6640625" customWidth="1"/>
    <col min="22" max="22" width="15" bestFit="1" customWidth="1"/>
    <col min="23" max="23" width="12.5546875" bestFit="1" customWidth="1"/>
    <col min="24" max="25" width="13.88671875" bestFit="1" customWidth="1"/>
    <col min="31" max="33" width="11.109375" bestFit="1" customWidth="1"/>
    <col min="34" max="34" width="13.88671875" bestFit="1" customWidth="1"/>
    <col min="35" max="35" width="10.44140625" customWidth="1"/>
    <col min="36" max="36" width="25.88671875" bestFit="1" customWidth="1"/>
  </cols>
  <sheetData>
    <row r="2" spans="2:15" ht="21" x14ac:dyDescent="0.4">
      <c r="B2" s="37" t="s">
        <v>59</v>
      </c>
    </row>
    <row r="4" spans="2:15" ht="19.5" customHeight="1" x14ac:dyDescent="0.3">
      <c r="B4" s="182" t="s">
        <v>101</v>
      </c>
      <c r="C4" s="183"/>
      <c r="D4" s="183"/>
      <c r="E4" s="183"/>
      <c r="F4" s="183"/>
      <c r="G4" s="183"/>
      <c r="H4" s="183"/>
      <c r="I4" s="183"/>
      <c r="J4" s="183"/>
      <c r="K4" s="183"/>
      <c r="L4" s="183"/>
      <c r="M4" s="183"/>
      <c r="N4" s="184"/>
    </row>
    <row r="5" spans="2:15" ht="19.5" customHeight="1" x14ac:dyDescent="0.3">
      <c r="B5" s="185"/>
      <c r="C5" s="186"/>
      <c r="D5" s="186"/>
      <c r="E5" s="186"/>
      <c r="F5" s="186"/>
      <c r="G5" s="186"/>
      <c r="H5" s="186"/>
      <c r="I5" s="186"/>
      <c r="J5" s="186"/>
      <c r="K5" s="186"/>
      <c r="L5" s="186"/>
      <c r="M5" s="186"/>
      <c r="N5" s="187"/>
    </row>
    <row r="6" spans="2:15" ht="19.5" customHeight="1" x14ac:dyDescent="0.3">
      <c r="B6" s="188"/>
      <c r="C6" s="189"/>
      <c r="D6" s="189"/>
      <c r="E6" s="189"/>
      <c r="F6" s="189"/>
      <c r="G6" s="189"/>
      <c r="H6" s="189"/>
      <c r="I6" s="189"/>
      <c r="J6" s="189"/>
      <c r="K6" s="189"/>
      <c r="L6" s="189"/>
      <c r="M6" s="189"/>
      <c r="N6" s="190"/>
    </row>
    <row r="8" spans="2:15" ht="18" x14ac:dyDescent="0.35">
      <c r="B8" s="36" t="s">
        <v>61</v>
      </c>
    </row>
    <row r="10" spans="2:15" x14ac:dyDescent="0.3">
      <c r="B10" s="50">
        <v>100</v>
      </c>
      <c r="C10" s="51" t="s">
        <v>68</v>
      </c>
      <c r="D10" s="51"/>
      <c r="E10" s="51"/>
      <c r="F10" s="51"/>
      <c r="G10" s="51"/>
      <c r="H10" s="51"/>
      <c r="I10" s="51"/>
      <c r="J10" s="51"/>
      <c r="K10" s="52"/>
    </row>
    <row r="11" spans="2:15" x14ac:dyDescent="0.3">
      <c r="B11" s="5">
        <v>90</v>
      </c>
      <c r="C11" s="53" t="s">
        <v>92</v>
      </c>
      <c r="D11" s="53"/>
      <c r="E11" s="53"/>
      <c r="F11" s="53"/>
      <c r="G11" s="53"/>
      <c r="H11" s="53"/>
      <c r="I11" s="53"/>
      <c r="J11" s="53"/>
      <c r="K11" s="54"/>
      <c r="M11" s="191" t="s">
        <v>78</v>
      </c>
      <c r="N11" s="192"/>
      <c r="O11" s="193"/>
    </row>
    <row r="12" spans="2:15" x14ac:dyDescent="0.3">
      <c r="B12" s="1">
        <v>100</v>
      </c>
      <c r="C12" t="s">
        <v>58</v>
      </c>
      <c r="K12" s="2"/>
      <c r="M12" s="194"/>
      <c r="N12" s="195"/>
      <c r="O12" s="196"/>
    </row>
    <row r="13" spans="2:15" x14ac:dyDescent="0.3">
      <c r="B13" s="5">
        <v>40</v>
      </c>
      <c r="C13" s="53" t="s">
        <v>95</v>
      </c>
      <c r="D13" s="53"/>
      <c r="E13" s="53"/>
      <c r="F13" s="53"/>
      <c r="G13" s="53"/>
      <c r="H13" s="53"/>
      <c r="I13" s="53"/>
      <c r="J13" s="53"/>
      <c r="K13" s="54"/>
    </row>
    <row r="14" spans="2:15" x14ac:dyDescent="0.3">
      <c r="B14" s="1">
        <v>100</v>
      </c>
      <c r="C14" t="s">
        <v>89</v>
      </c>
      <c r="K14" s="2"/>
      <c r="M14" s="191" t="s">
        <v>97</v>
      </c>
      <c r="N14" s="192"/>
      <c r="O14" s="193"/>
    </row>
    <row r="15" spans="2:15" x14ac:dyDescent="0.3">
      <c r="B15" s="1">
        <v>100</v>
      </c>
      <c r="C15" t="s">
        <v>93</v>
      </c>
      <c r="K15" s="2"/>
      <c r="M15" s="194"/>
      <c r="N15" s="195"/>
      <c r="O15" s="196"/>
    </row>
    <row r="16" spans="2:15" x14ac:dyDescent="0.3">
      <c r="B16" s="50">
        <v>100</v>
      </c>
      <c r="C16" s="51" t="s">
        <v>96</v>
      </c>
      <c r="D16" s="51"/>
      <c r="E16" s="51"/>
      <c r="F16" s="51"/>
      <c r="G16" s="51"/>
      <c r="H16" s="51"/>
      <c r="I16" s="51"/>
      <c r="J16" s="51"/>
      <c r="K16" s="52"/>
    </row>
    <row r="17" spans="1:15" x14ac:dyDescent="0.3">
      <c r="B17" s="55">
        <v>40</v>
      </c>
      <c r="C17" s="56" t="s">
        <v>91</v>
      </c>
      <c r="D17" s="56"/>
      <c r="E17" s="56"/>
      <c r="F17" s="56"/>
      <c r="G17" s="56"/>
      <c r="H17" s="56"/>
      <c r="I17" s="56"/>
      <c r="J17" s="56"/>
      <c r="K17" s="57"/>
      <c r="M17" s="191" t="s">
        <v>98</v>
      </c>
      <c r="N17" s="192"/>
      <c r="O17" s="193"/>
    </row>
    <row r="18" spans="1:15" x14ac:dyDescent="0.3">
      <c r="B18" s="1">
        <v>100</v>
      </c>
      <c r="C18" t="s">
        <v>90</v>
      </c>
      <c r="K18" s="2"/>
      <c r="M18" s="194"/>
      <c r="N18" s="195"/>
      <c r="O18" s="196"/>
    </row>
    <row r="19" spans="1:15" x14ac:dyDescent="0.3">
      <c r="B19" s="5">
        <v>250</v>
      </c>
      <c r="C19" s="53" t="s">
        <v>94</v>
      </c>
      <c r="D19" s="53"/>
      <c r="E19" s="53"/>
      <c r="F19" s="53"/>
      <c r="G19" s="53"/>
      <c r="H19" s="53"/>
      <c r="I19" s="53"/>
      <c r="J19" s="53"/>
      <c r="K19" s="54"/>
    </row>
    <row r="20" spans="1:15" x14ac:dyDescent="0.3">
      <c r="B20" s="3"/>
      <c r="C20" s="3"/>
      <c r="D20" s="3"/>
      <c r="E20" s="3"/>
    </row>
    <row r="21" spans="1:15" ht="18" x14ac:dyDescent="0.35">
      <c r="B21" s="36" t="s">
        <v>71</v>
      </c>
    </row>
    <row r="22" spans="1:15" x14ac:dyDescent="0.3">
      <c r="B22" s="17"/>
    </row>
    <row r="23" spans="1:15" x14ac:dyDescent="0.3">
      <c r="B23" s="59">
        <v>2015</v>
      </c>
      <c r="C23" s="60">
        <v>2025</v>
      </c>
      <c r="D23" s="60">
        <v>2035</v>
      </c>
      <c r="E23" s="61">
        <v>2050</v>
      </c>
    </row>
    <row r="24" spans="1:15" ht="56.25" customHeight="1" x14ac:dyDescent="0.3">
      <c r="A24" s="241"/>
      <c r="B24" s="100">
        <f>'LEAP Scenario'!C15*1000</f>
        <v>29443419.056880511</v>
      </c>
      <c r="C24" s="243">
        <f>'LEAP Scenario'!D15*1000</f>
        <v>26964931.993730143</v>
      </c>
      <c r="D24" s="243">
        <f>'LEAP Scenario'!F15*1000</f>
        <v>23226683.305165585</v>
      </c>
      <c r="E24" s="101">
        <f>'LEAP Scenario'!H15*1000</f>
        <v>22414605.716073096</v>
      </c>
      <c r="G24" s="179" t="s">
        <v>152</v>
      </c>
      <c r="H24" s="179"/>
      <c r="I24" s="179"/>
      <c r="J24" s="179"/>
      <c r="K24" s="179"/>
      <c r="L24" s="179"/>
      <c r="M24" s="179"/>
      <c r="N24" s="179"/>
    </row>
    <row r="25" spans="1:15" ht="56.25" customHeight="1" x14ac:dyDescent="0.3">
      <c r="A25" s="241"/>
      <c r="B25" s="100">
        <f>('LEAP Scenario'!C5+'LEAP Scenario'!C6)*(2.4-1)*1000</f>
        <v>36717.999952088947</v>
      </c>
      <c r="C25" s="243">
        <f>('LEAP Scenario'!D5+'LEAP Scenario'!D6)*(2.4-1)*1000</f>
        <v>909145.29735778365</v>
      </c>
      <c r="D25" s="243">
        <f>('LEAP Scenario'!F5+'LEAP Scenario'!F6)*(2.4-1)*1000</f>
        <v>1967200.6767232809</v>
      </c>
      <c r="E25" s="101">
        <f>('LEAP Scenario'!H5+'LEAP Scenario'!H6)*(2.4-1)*1000</f>
        <v>2226567.1807201933</v>
      </c>
      <c r="G25" s="179" t="s">
        <v>102</v>
      </c>
      <c r="H25" s="179"/>
      <c r="I25" s="179"/>
      <c r="J25" s="179"/>
      <c r="K25" s="179"/>
      <c r="L25" s="179"/>
      <c r="M25" s="179"/>
      <c r="N25" s="179"/>
    </row>
    <row r="26" spans="1:15" ht="56.25" customHeight="1" x14ac:dyDescent="0.3">
      <c r="B26" s="100">
        <f>'LEAP Scenario'!K15*1000</f>
        <v>29443419.056880511</v>
      </c>
      <c r="C26" s="243">
        <f>'LEAP Scenario'!L15*1000</f>
        <v>23627515.693266951</v>
      </c>
      <c r="D26" s="243">
        <f>'LEAP Scenario'!N15*1000</f>
        <v>14947357.790484121</v>
      </c>
      <c r="E26" s="101">
        <f>'LEAP Scenario'!P15*1000</f>
        <v>10123743.148261428</v>
      </c>
      <c r="G26" s="179" t="s">
        <v>153</v>
      </c>
      <c r="H26" s="179"/>
      <c r="I26" s="179"/>
      <c r="J26" s="179"/>
      <c r="K26" s="179"/>
      <c r="L26" s="179"/>
      <c r="M26" s="179"/>
      <c r="N26" s="179"/>
    </row>
    <row r="27" spans="1:15" ht="56.25" customHeight="1" thickBot="1" x14ac:dyDescent="0.35">
      <c r="B27" s="123">
        <f>('LEAP Scenario'!K5+'LEAP Scenario'!K6)*(2.4-1)*1000</f>
        <v>36717.999952088947</v>
      </c>
      <c r="C27" s="244">
        <f>('LEAP Scenario'!L5+'LEAP Scenario'!L6)*(2.4-1)*1000</f>
        <v>2003521.7848810318</v>
      </c>
      <c r="D27" s="244">
        <f>('LEAP Scenario'!N5+'LEAP Scenario'!N6)*(2.4-1)*1000</f>
        <v>5000844.235229454</v>
      </c>
      <c r="E27" s="245">
        <f>('LEAP Scenario'!P5+'LEAP Scenario'!P6)*(2.4-1)*1000</f>
        <v>6997331.502940204</v>
      </c>
      <c r="G27" s="179" t="s">
        <v>102</v>
      </c>
      <c r="H27" s="179"/>
      <c r="I27" s="179"/>
      <c r="J27" s="179"/>
      <c r="K27" s="179"/>
      <c r="L27" s="179"/>
      <c r="M27" s="179"/>
      <c r="N27" s="179"/>
    </row>
    <row r="28" spans="1:15" ht="56.25" customHeight="1" thickTop="1" x14ac:dyDescent="0.3">
      <c r="B28" s="100">
        <f>B24+B25-B26-B27</f>
        <v>9.4587448984384537E-11</v>
      </c>
      <c r="C28" s="243">
        <f>C24+C25-C26-C27</f>
        <v>2243039.8129399428</v>
      </c>
      <c r="D28" s="243">
        <f>D24+D25-D26-D27</f>
        <v>5245681.9561752928</v>
      </c>
      <c r="E28" s="101">
        <f>E24+E25-E26-E27</f>
        <v>7520098.2455916591</v>
      </c>
      <c r="G28" s="242" t="s">
        <v>154</v>
      </c>
      <c r="H28" s="242"/>
      <c r="I28" s="242"/>
      <c r="J28" s="242"/>
      <c r="K28" s="242"/>
      <c r="L28" s="242"/>
      <c r="M28" s="242"/>
      <c r="N28" s="242"/>
    </row>
    <row r="29" spans="1:15" ht="56.25" customHeight="1" x14ac:dyDescent="0.3">
      <c r="B29" s="180">
        <f>0.25*'1.Current Heat'!B9</f>
        <v>27.5</v>
      </c>
      <c r="C29" s="246"/>
      <c r="D29" s="246"/>
      <c r="E29" s="181"/>
      <c r="G29" s="179" t="s">
        <v>142</v>
      </c>
      <c r="H29" s="179"/>
      <c r="I29" s="179"/>
      <c r="J29" s="179"/>
      <c r="K29" s="179"/>
      <c r="L29" s="179"/>
      <c r="M29" s="179"/>
      <c r="N29" s="179"/>
    </row>
    <row r="30" spans="1:15" ht="56.25" customHeight="1" x14ac:dyDescent="0.3">
      <c r="A30" s="241"/>
      <c r="B30" s="100">
        <f>B28/$B$29</f>
        <v>3.4395435994321649E-12</v>
      </c>
      <c r="C30" s="243">
        <f>'LEAP Scenario'!T4</f>
        <v>25555</v>
      </c>
      <c r="D30" s="243">
        <f>'LEAP Scenario'!V4</f>
        <v>49337</v>
      </c>
      <c r="E30" s="101">
        <f>'LEAP Scenario'!X4</f>
        <v>86697</v>
      </c>
      <c r="G30" s="242" t="s">
        <v>155</v>
      </c>
      <c r="H30" s="242"/>
      <c r="I30" s="242"/>
      <c r="J30" s="242"/>
      <c r="K30" s="242"/>
      <c r="L30" s="242"/>
      <c r="M30" s="242"/>
      <c r="N30" s="242"/>
    </row>
    <row r="31" spans="1:15" ht="56.25" customHeight="1" x14ac:dyDescent="0.3">
      <c r="A31" s="241"/>
      <c r="B31" s="100">
        <v>0</v>
      </c>
      <c r="C31" s="243">
        <f>'LEAP Scenario'!T5</f>
        <v>69639.090909090912</v>
      </c>
      <c r="D31" s="243">
        <f>'LEAP Scenario'!V5</f>
        <v>150503.75</v>
      </c>
      <c r="E31" s="101">
        <f>'LEAP Scenario'!X5</f>
        <v>243485</v>
      </c>
      <c r="G31" s="242" t="s">
        <v>156</v>
      </c>
      <c r="H31" s="242"/>
      <c r="I31" s="242"/>
      <c r="J31" s="242"/>
      <c r="K31" s="242"/>
      <c r="L31" s="242"/>
      <c r="M31" s="242"/>
      <c r="N31" s="242"/>
    </row>
    <row r="32" spans="1:15" ht="56.25" customHeight="1" x14ac:dyDescent="0.3">
      <c r="B32" s="284">
        <f>'1.Current Heat'!B8</f>
        <v>262500</v>
      </c>
      <c r="C32" s="285">
        <v>267000</v>
      </c>
      <c r="D32" s="285">
        <v>277000</v>
      </c>
      <c r="E32" s="286">
        <v>290000</v>
      </c>
      <c r="G32" s="179" t="s">
        <v>157</v>
      </c>
      <c r="H32" s="179"/>
      <c r="I32" s="179"/>
      <c r="J32" s="179"/>
      <c r="K32" s="179"/>
      <c r="L32" s="179"/>
      <c r="M32" s="179"/>
      <c r="N32" s="179"/>
      <c r="O32" s="126">
        <f>(E32/B32)^(1/(E23-B23))-1</f>
        <v>2.8506222027646633E-3</v>
      </c>
    </row>
    <row r="33" spans="1:34" ht="56.25" customHeight="1" x14ac:dyDescent="0.3">
      <c r="A33" s="241"/>
      <c r="B33" s="154">
        <f>B30/B$32</f>
        <v>1.3103023235932057E-17</v>
      </c>
      <c r="C33" s="248">
        <f t="shared" ref="C33:E33" si="0">C30/C$32</f>
        <v>9.5711610486891391E-2</v>
      </c>
      <c r="D33" s="248">
        <f t="shared" si="0"/>
        <v>0.17811191335740073</v>
      </c>
      <c r="E33" s="252">
        <f t="shared" si="0"/>
        <v>0.2989551724137931</v>
      </c>
      <c r="G33" s="242" t="s">
        <v>206</v>
      </c>
      <c r="H33" s="242"/>
      <c r="I33" s="242"/>
      <c r="J33" s="242"/>
      <c r="K33" s="242"/>
      <c r="L33" s="242"/>
      <c r="M33" s="242"/>
      <c r="N33" s="242"/>
      <c r="O33" s="126"/>
    </row>
    <row r="34" spans="1:34" ht="56.25" customHeight="1" x14ac:dyDescent="0.3">
      <c r="A34" s="241"/>
      <c r="B34" s="253">
        <f>B31/B$32</f>
        <v>0</v>
      </c>
      <c r="C34" s="254">
        <f t="shared" ref="C34:D34" si="1">C31/C$32</f>
        <v>0.26082056520258767</v>
      </c>
      <c r="D34" s="254">
        <f t="shared" si="1"/>
        <v>0.54333483754512635</v>
      </c>
      <c r="E34" s="255">
        <f>E31/E$32</f>
        <v>0.83960344827586209</v>
      </c>
      <c r="G34" s="242" t="s">
        <v>207</v>
      </c>
      <c r="H34" s="242"/>
      <c r="I34" s="242"/>
      <c r="J34" s="242"/>
      <c r="K34" s="242"/>
      <c r="L34" s="242"/>
      <c r="M34" s="242"/>
      <c r="N34" s="242"/>
    </row>
    <row r="35" spans="1:34" x14ac:dyDescent="0.3">
      <c r="B35" s="42"/>
      <c r="C35" s="42"/>
      <c r="D35" s="42"/>
      <c r="E35" s="42"/>
      <c r="G35" s="98"/>
      <c r="H35" s="98"/>
      <c r="I35" s="98"/>
      <c r="J35" s="98"/>
      <c r="K35" s="98"/>
      <c r="L35" s="98"/>
      <c r="M35" s="98"/>
      <c r="N35" s="98"/>
    </row>
    <row r="36" spans="1:34" ht="18" x14ac:dyDescent="0.3">
      <c r="B36" s="105" t="s">
        <v>72</v>
      </c>
      <c r="C36" s="42"/>
      <c r="D36" s="42"/>
      <c r="E36" s="42"/>
      <c r="G36" s="98"/>
      <c r="H36" s="98"/>
      <c r="I36" s="98"/>
      <c r="J36" s="98"/>
      <c r="K36" s="98"/>
      <c r="L36" s="98"/>
      <c r="M36" s="98"/>
      <c r="N36" s="98"/>
    </row>
    <row r="37" spans="1:34" x14ac:dyDescent="0.3">
      <c r="B37" s="106"/>
      <c r="C37" s="42"/>
      <c r="D37" s="42"/>
      <c r="E37" s="42"/>
      <c r="G37" s="98"/>
      <c r="H37" s="98"/>
      <c r="I37" s="98"/>
      <c r="J37" s="98"/>
      <c r="K37" s="98"/>
      <c r="L37" s="98"/>
      <c r="M37" s="98"/>
      <c r="N37" s="98"/>
    </row>
    <row r="38" spans="1:34" x14ac:dyDescent="0.3">
      <c r="B38" s="107">
        <v>2015</v>
      </c>
      <c r="C38" s="108">
        <v>2025</v>
      </c>
      <c r="D38" s="108">
        <v>2035</v>
      </c>
      <c r="E38" s="109">
        <v>2050</v>
      </c>
      <c r="G38" s="98"/>
      <c r="H38" s="98"/>
      <c r="I38" s="98"/>
      <c r="J38" s="98"/>
      <c r="K38" s="98"/>
      <c r="L38" s="98"/>
      <c r="M38" s="98"/>
      <c r="N38" s="98"/>
    </row>
    <row r="39" spans="1:34" ht="56.25" customHeight="1" x14ac:dyDescent="0.3">
      <c r="A39" s="241"/>
      <c r="B39" s="100">
        <f>('LEAP Scenario'!AA18-'LEAP Scenario'!AA4)*1000</f>
        <v>17660659.143662054</v>
      </c>
      <c r="C39" s="243">
        <f>('LEAP Scenario'!AB18-'LEAP Scenario'!AB4)*1000</f>
        <v>16181243.805456487</v>
      </c>
      <c r="D39" s="243">
        <f>('LEAP Scenario'!AD18-'LEAP Scenario'!AD4)*1000</f>
        <v>15569042.162150348</v>
      </c>
      <c r="E39" s="101">
        <f>('LEAP Scenario'!AF18-'LEAP Scenario'!AF4)*1000</f>
        <v>15987292.92709229</v>
      </c>
      <c r="G39" s="179" t="s">
        <v>208</v>
      </c>
      <c r="H39" s="179"/>
      <c r="I39" s="179"/>
      <c r="J39" s="179"/>
      <c r="K39" s="179"/>
      <c r="L39" s="179"/>
      <c r="M39" s="179"/>
      <c r="N39" s="179"/>
    </row>
    <row r="40" spans="1:34" ht="56.25" customHeight="1" x14ac:dyDescent="0.3">
      <c r="A40" s="241"/>
      <c r="B40" s="100">
        <f>'LEAP Scenario'!AA4*1000</f>
        <v>6861952.8883227007</v>
      </c>
      <c r="C40" s="243">
        <f>'LEAP Scenario'!AB4*1000</f>
        <v>6664544.2889282666</v>
      </c>
      <c r="D40" s="243">
        <f>'LEAP Scenario'!AD4*1000</f>
        <v>6752940.9567144765</v>
      </c>
      <c r="E40" s="101">
        <f>'LEAP Scenario'!AF4*1000</f>
        <v>6647549.8606004203</v>
      </c>
      <c r="F40" s="124"/>
      <c r="G40" s="179" t="s">
        <v>209</v>
      </c>
      <c r="H40" s="179"/>
      <c r="I40" s="179"/>
      <c r="J40" s="179"/>
      <c r="K40" s="179"/>
      <c r="L40" s="179"/>
      <c r="M40" s="179"/>
      <c r="N40" s="179"/>
    </row>
    <row r="41" spans="1:34" ht="56.25" customHeight="1" x14ac:dyDescent="0.3">
      <c r="A41" s="241"/>
      <c r="B41" s="256">
        <f>0.004*B40</f>
        <v>27447.811553290805</v>
      </c>
      <c r="C41" s="257">
        <f>B41-(($B$41-$E$41)/3)</f>
        <v>151249.53824753559</v>
      </c>
      <c r="D41" s="257">
        <f>C41-(($B$41-$E$41)/3)</f>
        <v>275051.26494178036</v>
      </c>
      <c r="E41" s="258">
        <f>0.06*E40</f>
        <v>398852.9916360252</v>
      </c>
      <c r="G41" s="242" t="s">
        <v>145</v>
      </c>
      <c r="H41" s="242"/>
      <c r="I41" s="242"/>
      <c r="J41" s="242"/>
      <c r="K41" s="242"/>
      <c r="L41" s="242"/>
      <c r="M41" s="242"/>
      <c r="N41" s="242"/>
      <c r="V41" s="3"/>
      <c r="W41" s="3"/>
      <c r="X41" s="3"/>
      <c r="Y41" s="3"/>
      <c r="AH41" s="3"/>
    </row>
    <row r="42" spans="1:34" ht="56.25" customHeight="1" thickBot="1" x14ac:dyDescent="0.35">
      <c r="A42" s="241"/>
      <c r="B42" s="123">
        <f>B41*(2.4-1)</f>
        <v>38426.936174607123</v>
      </c>
      <c r="C42" s="244">
        <f>C41*(2.6-1)</f>
        <v>241999.26119605696</v>
      </c>
      <c r="D42" s="244">
        <f>D41*(2.8-1)</f>
        <v>495092.27689520462</v>
      </c>
      <c r="E42" s="245">
        <f>E41*(3-1)</f>
        <v>797705.98327205039</v>
      </c>
      <c r="G42" s="179" t="s">
        <v>105</v>
      </c>
      <c r="H42" s="179"/>
      <c r="I42" s="179"/>
      <c r="J42" s="179"/>
      <c r="K42" s="179"/>
      <c r="L42" s="179"/>
      <c r="M42" s="179"/>
      <c r="N42" s="179"/>
      <c r="V42" s="3"/>
      <c r="W42" s="3"/>
      <c r="X42" s="3"/>
      <c r="Y42" s="3"/>
      <c r="AH42" s="3"/>
    </row>
    <row r="43" spans="1:34" ht="56.25" customHeight="1" thickTop="1" x14ac:dyDescent="0.3">
      <c r="A43" s="241"/>
      <c r="B43" s="100">
        <f>('LEAP Scenario'!AI18-'LEAP Scenario'!AI4)*1000</f>
        <v>17660659.143662054</v>
      </c>
      <c r="C43" s="243">
        <f>('LEAP Scenario'!AJ18-'LEAP Scenario'!AJ4)*1000</f>
        <v>13811878.421148235</v>
      </c>
      <c r="D43" s="243">
        <f>('LEAP Scenario'!AL18-'LEAP Scenario'!AL4)*1000</f>
        <v>8544360.1710922793</v>
      </c>
      <c r="E43" s="101">
        <f>('LEAP Scenario'!AN18-'LEAP Scenario'!AN4)*1000</f>
        <v>7384819.8900281843</v>
      </c>
      <c r="G43" s="179" t="s">
        <v>210</v>
      </c>
      <c r="H43" s="179"/>
      <c r="I43" s="179"/>
      <c r="J43" s="179"/>
      <c r="K43" s="179"/>
      <c r="L43" s="179"/>
      <c r="M43" s="179"/>
      <c r="N43" s="179"/>
      <c r="AH43" s="3"/>
    </row>
    <row r="44" spans="1:34" ht="56.25" customHeight="1" x14ac:dyDescent="0.3">
      <c r="A44" s="241"/>
      <c r="B44" s="100">
        <f>'LEAP Scenario'!AI4*1000</f>
        <v>6861952.8883227007</v>
      </c>
      <c r="C44" s="243">
        <f>'LEAP Scenario'!AJ4*1000</f>
        <v>7264031.9132343717</v>
      </c>
      <c r="D44" s="243">
        <f>'LEAP Scenario'!AL4*1000</f>
        <v>8575524.9406326376</v>
      </c>
      <c r="E44" s="101">
        <f>'LEAP Scenario'!AN4*1000</f>
        <v>8861546.0742262825</v>
      </c>
      <c r="G44" s="179" t="s">
        <v>211</v>
      </c>
      <c r="H44" s="179"/>
      <c r="I44" s="179"/>
      <c r="J44" s="179"/>
      <c r="K44" s="179"/>
      <c r="L44" s="179"/>
      <c r="M44" s="179"/>
      <c r="N44" s="179"/>
      <c r="V44" s="19"/>
      <c r="W44" s="19"/>
      <c r="X44" s="19"/>
      <c r="Y44" s="19"/>
      <c r="AH44" s="3"/>
    </row>
    <row r="45" spans="1:34" ht="56.25" customHeight="1" x14ac:dyDescent="0.3">
      <c r="A45" s="241"/>
      <c r="B45" s="256">
        <f>0.004*B44</f>
        <v>27447.811553290805</v>
      </c>
      <c r="C45" s="257">
        <f>B45-(($B$41-$E$41)/3)</f>
        <v>151249.53824753559</v>
      </c>
      <c r="D45" s="257">
        <f>C45-(($B$41-$E$41)/3)</f>
        <v>275051.26494178036</v>
      </c>
      <c r="E45" s="258">
        <f>0.28*E44</f>
        <v>2481232.9007833595</v>
      </c>
      <c r="G45" s="242" t="s">
        <v>146</v>
      </c>
      <c r="H45" s="242"/>
      <c r="I45" s="242"/>
      <c r="J45" s="242"/>
      <c r="K45" s="242"/>
      <c r="L45" s="242"/>
      <c r="M45" s="242"/>
      <c r="N45" s="242"/>
      <c r="AH45" s="3"/>
    </row>
    <row r="46" spans="1:34" ht="56.25" customHeight="1" x14ac:dyDescent="0.3">
      <c r="B46" s="100">
        <f>B45*(2.4-1)</f>
        <v>38426.936174607123</v>
      </c>
      <c r="C46" s="243">
        <f>C45*(2.6-1)</f>
        <v>241999.26119605696</v>
      </c>
      <c r="D46" s="243">
        <f>D45*(2.8-1)</f>
        <v>495092.27689520462</v>
      </c>
      <c r="E46" s="101">
        <f>E45*(3-1)</f>
        <v>4962465.8015667191</v>
      </c>
      <c r="F46" s="3"/>
      <c r="G46" s="179" t="s">
        <v>57</v>
      </c>
      <c r="H46" s="179"/>
      <c r="I46" s="179"/>
      <c r="J46" s="179"/>
      <c r="K46" s="179"/>
      <c r="L46" s="179"/>
      <c r="M46" s="179"/>
      <c r="N46" s="179"/>
      <c r="V46" s="3"/>
      <c r="W46" s="3"/>
      <c r="X46" s="3"/>
      <c r="Y46" s="3"/>
      <c r="AH46" s="3"/>
    </row>
    <row r="47" spans="1:34" ht="56.25" customHeight="1" x14ac:dyDescent="0.3">
      <c r="B47" s="110">
        <f>B39+B41+B42-B43-B45-B46</f>
        <v>2.8157955966889858E-9</v>
      </c>
      <c r="C47" s="111">
        <f>C39+C41+C42-C43-C45-C46</f>
        <v>2369365.3843082516</v>
      </c>
      <c r="D47" s="111">
        <f>D39+D41+D42-D43-D45-D46</f>
        <v>7024681.9910580683</v>
      </c>
      <c r="E47" s="112">
        <f>E39+E41+E42-E43-E45-E46</f>
        <v>2355333.3096221006</v>
      </c>
      <c r="F47" s="74"/>
      <c r="G47" s="179" t="s">
        <v>77</v>
      </c>
      <c r="H47" s="179"/>
      <c r="I47" s="179"/>
      <c r="J47" s="179"/>
      <c r="K47" s="179"/>
      <c r="L47" s="179"/>
      <c r="M47" s="179"/>
      <c r="N47" s="179"/>
      <c r="AH47" s="3"/>
    </row>
    <row r="48" spans="1:34" ht="56.25" customHeight="1" x14ac:dyDescent="0.3">
      <c r="B48" s="259">
        <f>0.2*'1.Current Heat'!B15</f>
        <v>214.85738840844388</v>
      </c>
      <c r="C48" s="260"/>
      <c r="D48" s="260"/>
      <c r="E48" s="261"/>
      <c r="G48" s="179" t="s">
        <v>73</v>
      </c>
      <c r="H48" s="179"/>
      <c r="I48" s="179"/>
      <c r="J48" s="179"/>
      <c r="K48" s="179"/>
      <c r="L48" s="179"/>
      <c r="M48" s="179"/>
      <c r="N48" s="179"/>
      <c r="AH48" s="3"/>
    </row>
    <row r="49" spans="1:15" ht="56.25" customHeight="1" x14ac:dyDescent="0.3">
      <c r="B49" s="114">
        <f>B47/$B$48</f>
        <v>1.3105416655889713E-11</v>
      </c>
      <c r="C49" s="115">
        <f>C47/$B$48</f>
        <v>11027.61883991668</v>
      </c>
      <c r="D49" s="115">
        <f>D47/$B$48</f>
        <v>32694.626156882015</v>
      </c>
      <c r="E49" s="116">
        <f>E47/$B$48</f>
        <v>10962.310056308663</v>
      </c>
      <c r="G49" s="179" t="s">
        <v>158</v>
      </c>
      <c r="H49" s="179"/>
      <c r="I49" s="179"/>
      <c r="J49" s="179"/>
      <c r="K49" s="179"/>
      <c r="L49" s="179"/>
      <c r="M49" s="179"/>
      <c r="N49" s="179"/>
    </row>
    <row r="50" spans="1:15" ht="56.25" customHeight="1" x14ac:dyDescent="0.3">
      <c r="B50" s="262">
        <f>'1.Current Heat'!B14</f>
        <v>18617</v>
      </c>
      <c r="C50" s="247">
        <v>18500</v>
      </c>
      <c r="D50" s="247">
        <v>19000</v>
      </c>
      <c r="E50" s="263">
        <v>19500</v>
      </c>
      <c r="G50" s="242" t="s">
        <v>225</v>
      </c>
      <c r="H50" s="242"/>
      <c r="I50" s="242"/>
      <c r="J50" s="242"/>
      <c r="K50" s="242"/>
      <c r="L50" s="242"/>
      <c r="M50" s="242"/>
      <c r="N50" s="242"/>
      <c r="O50" s="126">
        <f>(E50/B50)^(1/(E38-B38))-1</f>
        <v>1.3248575287811981E-3</v>
      </c>
    </row>
    <row r="51" spans="1:15" ht="56.25" customHeight="1" x14ac:dyDescent="0.3">
      <c r="B51" s="102">
        <f>B49/B50</f>
        <v>7.0394889917224651E-16</v>
      </c>
      <c r="C51" s="103">
        <f>C49/C50</f>
        <v>0.59608750486036111</v>
      </c>
      <c r="D51" s="103">
        <f>D49/D50</f>
        <v>1.7207697977306324</v>
      </c>
      <c r="E51" s="104">
        <f>E49/E50</f>
        <v>0.56216974647736728</v>
      </c>
      <c r="G51" s="242" t="s">
        <v>212</v>
      </c>
      <c r="H51" s="242"/>
      <c r="I51" s="242"/>
      <c r="J51" s="242"/>
      <c r="K51" s="242"/>
      <c r="L51" s="242"/>
      <c r="M51" s="242"/>
      <c r="N51" s="242"/>
    </row>
    <row r="52" spans="1:15" x14ac:dyDescent="0.3">
      <c r="B52" s="113"/>
      <c r="C52" s="113"/>
      <c r="D52" s="113"/>
      <c r="E52" s="113"/>
      <c r="G52" s="98"/>
      <c r="H52" s="98"/>
      <c r="I52" s="98"/>
      <c r="J52" s="98"/>
      <c r="K52" s="98"/>
      <c r="L52" s="98"/>
      <c r="M52" s="98"/>
      <c r="N52" s="98"/>
    </row>
    <row r="53" spans="1:15" ht="18" x14ac:dyDescent="0.3">
      <c r="B53" s="105" t="s">
        <v>74</v>
      </c>
      <c r="C53" s="42"/>
      <c r="D53" s="42"/>
      <c r="E53" s="42"/>
      <c r="G53" s="98"/>
      <c r="H53" s="98"/>
      <c r="I53" s="98"/>
      <c r="J53" s="98"/>
      <c r="K53" s="98"/>
      <c r="L53" s="98"/>
      <c r="M53" s="98"/>
      <c r="N53" s="98"/>
    </row>
    <row r="54" spans="1:15" x14ac:dyDescent="0.3">
      <c r="B54" s="106"/>
      <c r="C54" s="42"/>
      <c r="D54" s="42"/>
      <c r="E54" s="42"/>
      <c r="G54" s="98"/>
      <c r="H54" s="98"/>
      <c r="I54" s="98"/>
      <c r="J54" s="98"/>
      <c r="K54" s="98"/>
      <c r="L54" s="98"/>
      <c r="M54" s="98"/>
      <c r="N54" s="98"/>
    </row>
    <row r="55" spans="1:15" x14ac:dyDescent="0.3">
      <c r="B55" s="107">
        <v>2015</v>
      </c>
      <c r="C55" s="108">
        <v>2025</v>
      </c>
      <c r="D55" s="108">
        <v>2035</v>
      </c>
      <c r="E55" s="109">
        <v>2050</v>
      </c>
      <c r="G55" s="98"/>
      <c r="H55" s="98"/>
      <c r="I55" s="98"/>
      <c r="J55" s="98"/>
      <c r="K55" s="98"/>
      <c r="L55" s="99"/>
      <c r="M55" s="98"/>
      <c r="N55" s="98"/>
    </row>
    <row r="56" spans="1:15" ht="56.25" customHeight="1" x14ac:dyDescent="0.3">
      <c r="B56" s="118">
        <f>'1.Current Heat'!B9</f>
        <v>110</v>
      </c>
      <c r="C56" s="119">
        <f>C34*($B$56-$B$29)+(1-C34)*$B$56</f>
        <v>102.82743445692884</v>
      </c>
      <c r="D56" s="119">
        <f>D34*($B$56-$B$29)+(1-D34)*$B$56</f>
        <v>95.058291967509021</v>
      </c>
      <c r="E56" s="120">
        <f>E34*($B$56-$B$29)+(1-E34)*$B$56</f>
        <v>86.910905172413806</v>
      </c>
      <c r="F56" s="1"/>
      <c r="G56" s="179" t="s">
        <v>67</v>
      </c>
      <c r="H56" s="179"/>
      <c r="I56" s="179"/>
      <c r="J56" s="179"/>
      <c r="K56" s="179"/>
      <c r="L56" s="179"/>
      <c r="M56" s="179"/>
      <c r="N56" s="179"/>
    </row>
    <row r="57" spans="1:15" ht="56.25" customHeight="1" x14ac:dyDescent="0.3">
      <c r="A57" s="241"/>
      <c r="B57" s="114">
        <f>(SUM('LEAP Scenario'!K11:K12))*1000</f>
        <v>10233901.671403401</v>
      </c>
      <c r="C57" s="115">
        <f>(SUM('LEAP Scenario'!L11:L12))*1000</f>
        <v>7883567.3583138427</v>
      </c>
      <c r="D57" s="115">
        <f>(SUM('LEAP Scenario'!N11:N12))*1000</f>
        <v>3813931.8844388286</v>
      </c>
      <c r="E57" s="116">
        <f>(SUM('LEAP Scenario'!P11:P12))*1000</f>
        <v>1582589.8037472886</v>
      </c>
      <c r="G57" s="179" t="s">
        <v>172</v>
      </c>
      <c r="H57" s="179"/>
      <c r="I57" s="179"/>
      <c r="J57" s="179"/>
      <c r="K57" s="179"/>
      <c r="L57" s="179"/>
      <c r="M57" s="179"/>
      <c r="N57" s="179"/>
    </row>
    <row r="58" spans="1:15" ht="56.25" customHeight="1" x14ac:dyDescent="0.3">
      <c r="A58" s="241"/>
      <c r="B58" s="117">
        <f>(SUM('LEAP Scenario'!K11)*1000)/'2.Heat Targets'!B57</f>
        <v>0</v>
      </c>
      <c r="C58" s="113">
        <f>(SUM('LEAP Scenario'!L11)*1000)/'2.Heat Targets'!C57</f>
        <v>5.7981347029638142E-2</v>
      </c>
      <c r="D58" s="113">
        <f>(SUM('LEAP Scenario'!N11)*1000)/'2.Heat Targets'!D57</f>
        <v>0.67009258645903924</v>
      </c>
      <c r="E58" s="264">
        <f>(SUM('LEAP Scenario'!P11)*1000)/'2.Heat Targets'!E57</f>
        <v>1</v>
      </c>
      <c r="G58" s="179" t="s">
        <v>159</v>
      </c>
      <c r="H58" s="179"/>
      <c r="I58" s="179"/>
      <c r="J58" s="179"/>
      <c r="K58" s="179"/>
      <c r="L58" s="179"/>
      <c r="M58" s="179"/>
      <c r="N58" s="179"/>
    </row>
    <row r="59" spans="1:15" ht="56.25" customHeight="1" x14ac:dyDescent="0.3">
      <c r="B59" s="100">
        <f>B57/B56</f>
        <v>93035.469740030909</v>
      </c>
      <c r="C59" s="243">
        <f>C57/C56</f>
        <v>76667.937889824723</v>
      </c>
      <c r="D59" s="243">
        <f>D57/D56</f>
        <v>40122.032549695221</v>
      </c>
      <c r="E59" s="101">
        <f>E57/E56</f>
        <v>18209.335187658533</v>
      </c>
      <c r="G59" s="179" t="s">
        <v>147</v>
      </c>
      <c r="H59" s="179"/>
      <c r="I59" s="179"/>
      <c r="J59" s="179"/>
      <c r="K59" s="179"/>
      <c r="L59" s="179"/>
      <c r="M59" s="179"/>
      <c r="N59" s="179"/>
    </row>
    <row r="60" spans="1:15" ht="56.25" customHeight="1" x14ac:dyDescent="0.3">
      <c r="B60" s="117">
        <f>B59/B32</f>
        <v>0.35442083710487965</v>
      </c>
      <c r="C60" s="113">
        <f>C59/C32</f>
        <v>0.28714583479335104</v>
      </c>
      <c r="D60" s="113">
        <f>D59/D32</f>
        <v>0.14484488285088529</v>
      </c>
      <c r="E60" s="264">
        <f>E59/E32</f>
        <v>6.2790810991925974E-2</v>
      </c>
      <c r="G60" s="179" t="s">
        <v>148</v>
      </c>
      <c r="H60" s="179"/>
      <c r="I60" s="179"/>
      <c r="J60" s="179"/>
      <c r="K60" s="179"/>
      <c r="L60" s="179"/>
      <c r="M60" s="179"/>
      <c r="N60" s="179"/>
    </row>
    <row r="61" spans="1:15" ht="56.25" customHeight="1" x14ac:dyDescent="0.3">
      <c r="B61" s="114">
        <f>('LEAP Scenario'!K8+'LEAP Scenario'!K10)*1000</f>
        <v>10195377.419994574</v>
      </c>
      <c r="C61" s="115">
        <f>('LEAP Scenario'!L8+'LEAP Scenario'!L10)*1000</f>
        <v>7191364.3701465912</v>
      </c>
      <c r="D61" s="115">
        <f>('LEAP Scenario'!N8+'LEAP Scenario'!N10)*1000</f>
        <v>4035910.0432401183</v>
      </c>
      <c r="E61" s="116">
        <f>('LEAP Scenario'!P8+'LEAP Scenario'!P10)*1000</f>
        <v>2002855.5403542039</v>
      </c>
      <c r="G61" s="179" t="s">
        <v>160</v>
      </c>
      <c r="H61" s="179"/>
      <c r="I61" s="179"/>
      <c r="J61" s="179"/>
      <c r="K61" s="179"/>
      <c r="L61" s="179"/>
      <c r="M61" s="179"/>
      <c r="N61" s="179"/>
    </row>
    <row r="62" spans="1:15" ht="56.25" customHeight="1" x14ac:dyDescent="0.3">
      <c r="B62" s="100">
        <f>B61/B56</f>
        <v>92685.249272677946</v>
      </c>
      <c r="C62" s="243">
        <f>C61/C56</f>
        <v>69936.242289102593</v>
      </c>
      <c r="D62" s="243">
        <f>D61/D56</f>
        <v>42457.211882363663</v>
      </c>
      <c r="E62" s="101">
        <f>E61/E56</f>
        <v>23044.927864701676</v>
      </c>
      <c r="G62" s="179" t="s">
        <v>161</v>
      </c>
      <c r="H62" s="179"/>
      <c r="I62" s="179"/>
      <c r="J62" s="179"/>
      <c r="K62" s="179"/>
      <c r="L62" s="179"/>
      <c r="M62" s="179"/>
      <c r="N62" s="179"/>
    </row>
    <row r="63" spans="1:15" ht="56.25" customHeight="1" x14ac:dyDescent="0.3">
      <c r="B63" s="117">
        <f>B62/B32</f>
        <v>0.35308666389591598</v>
      </c>
      <c r="C63" s="113">
        <f>C62/C32</f>
        <v>0.26193349171948538</v>
      </c>
      <c r="D63" s="113">
        <f>D62/D32</f>
        <v>0.15327513314932731</v>
      </c>
      <c r="E63" s="264">
        <f>E62/E32</f>
        <v>7.94652684989713E-2</v>
      </c>
      <c r="G63" s="179" t="s">
        <v>162</v>
      </c>
      <c r="H63" s="179"/>
      <c r="I63" s="179"/>
      <c r="J63" s="179"/>
      <c r="K63" s="179"/>
      <c r="L63" s="179"/>
      <c r="M63" s="179"/>
      <c r="N63" s="179"/>
    </row>
    <row r="64" spans="1:15" ht="56.25" customHeight="1" x14ac:dyDescent="0.3">
      <c r="B64" s="114">
        <f>(SUM('LEAP Scenario'!K5:K6))*1000</f>
        <v>26227.142822920676</v>
      </c>
      <c r="C64" s="115">
        <f>(SUM('LEAP Scenario'!L5:L6))*1000</f>
        <v>1431086.9892007371</v>
      </c>
      <c r="D64" s="115">
        <f>(SUM('LEAP Scenario'!N5:N6))*1000</f>
        <v>3572031.5965924673</v>
      </c>
      <c r="E64" s="116">
        <f>(SUM('LEAP Scenario'!P5:P6))*1000</f>
        <v>4998093.9306715745</v>
      </c>
      <c r="G64" s="179" t="s">
        <v>213</v>
      </c>
      <c r="H64" s="179"/>
      <c r="I64" s="179"/>
      <c r="J64" s="179"/>
      <c r="K64" s="179"/>
      <c r="L64" s="179"/>
      <c r="M64" s="179"/>
      <c r="N64" s="179"/>
    </row>
    <row r="65" spans="1:20" ht="56.25" customHeight="1" x14ac:dyDescent="0.3">
      <c r="B65" s="256" t="s">
        <v>168</v>
      </c>
      <c r="C65" s="243">
        <f>'LEAP Scenario'!T13/1.3</f>
        <v>74018.79743679511</v>
      </c>
      <c r="D65" s="243">
        <f>'LEAP Scenario'!V13/1.3</f>
        <v>199000.6457431278</v>
      </c>
      <c r="E65" s="101">
        <f>'LEAP Scenario'!X13/1.3</f>
        <v>293271.81220175966</v>
      </c>
      <c r="F65" s="45"/>
      <c r="G65" s="179" t="s">
        <v>169</v>
      </c>
      <c r="H65" s="179"/>
      <c r="I65" s="179"/>
      <c r="J65" s="179"/>
      <c r="K65" s="179"/>
      <c r="L65" s="179"/>
      <c r="M65" s="179"/>
      <c r="N65" s="179"/>
      <c r="P65" s="160"/>
      <c r="Q65" s="160"/>
      <c r="R65" s="160"/>
      <c r="S65" s="160"/>
    </row>
    <row r="66" spans="1:20" ht="56.25" customHeight="1" x14ac:dyDescent="0.3">
      <c r="A66" s="241"/>
      <c r="B66" s="162"/>
      <c r="C66" s="113">
        <f>C65/C32</f>
        <v>0.27722396043743486</v>
      </c>
      <c r="D66" s="113">
        <f>D65/D32</f>
        <v>0.71841388354919777</v>
      </c>
      <c r="E66" s="264">
        <f>E65/E32</f>
        <v>1.0112821110405505</v>
      </c>
      <c r="G66" s="179" t="s">
        <v>170</v>
      </c>
      <c r="H66" s="179"/>
      <c r="I66" s="179"/>
      <c r="J66" s="179"/>
      <c r="K66" s="179"/>
      <c r="L66" s="179"/>
      <c r="M66" s="179"/>
      <c r="N66" s="179"/>
    </row>
    <row r="67" spans="1:20" ht="56.25" customHeight="1" x14ac:dyDescent="0.3">
      <c r="A67" s="241"/>
      <c r="B67" s="267">
        <f>SUM('LEAP Scenario'!K13:K14)*1000</f>
        <v>3680180.7228122167</v>
      </c>
      <c r="C67" s="268">
        <f>SUM('LEAP Scenario'!L13:L14)*1000</f>
        <v>2818159.0826451811</v>
      </c>
      <c r="D67" s="268">
        <f>SUM('LEAP Scenario'!N13:N14)*1000</f>
        <v>1087759.4233652924</v>
      </c>
      <c r="E67" s="269">
        <f>SUM('LEAP Scenario'!P13:P14)*1000</f>
        <v>252074.43356289083</v>
      </c>
      <c r="G67" s="242" t="s">
        <v>171</v>
      </c>
      <c r="H67" s="242"/>
      <c r="I67" s="242"/>
      <c r="J67" s="242"/>
      <c r="K67" s="242"/>
      <c r="L67" s="242"/>
      <c r="M67" s="242"/>
      <c r="N67" s="242"/>
    </row>
    <row r="68" spans="1:20" ht="56.25" customHeight="1" x14ac:dyDescent="0.3">
      <c r="A68" s="241"/>
      <c r="B68" s="162">
        <f>('LEAP Scenario'!K13/'2.Heat Targets'!B67)*1000</f>
        <v>0</v>
      </c>
      <c r="C68" s="266">
        <f>('LEAP Scenario'!L13/'2.Heat Targets'!C67)*1000</f>
        <v>6.5267908465224636E-2</v>
      </c>
      <c r="D68" s="266">
        <f>('LEAP Scenario'!N13/'2.Heat Targets'!D67)*1000</f>
        <v>0.25283024401091608</v>
      </c>
      <c r="E68" s="270">
        <f>('LEAP Scenario'!P13/'2.Heat Targets'!E67)*1000</f>
        <v>0.71540047031367693</v>
      </c>
      <c r="G68" s="242" t="s">
        <v>173</v>
      </c>
      <c r="H68" s="242"/>
      <c r="I68" s="242"/>
      <c r="J68" s="242"/>
      <c r="K68" s="242"/>
      <c r="L68" s="242"/>
      <c r="M68" s="242"/>
      <c r="N68" s="242"/>
    </row>
    <row r="69" spans="1:20" ht="56.25" customHeight="1" x14ac:dyDescent="0.3">
      <c r="A69" s="241"/>
      <c r="B69" s="161">
        <f>B67/B56</f>
        <v>33456.188389201969</v>
      </c>
      <c r="C69" s="265">
        <f t="shared" ref="C69:E69" si="2">C67/C56</f>
        <v>27406.684777549504</v>
      </c>
      <c r="D69" s="265">
        <f>D67/D56</f>
        <v>11443.077724740617</v>
      </c>
      <c r="E69" s="271">
        <f t="shared" si="2"/>
        <v>2900.3774965043308</v>
      </c>
      <c r="G69" s="242" t="s">
        <v>147</v>
      </c>
      <c r="H69" s="242"/>
      <c r="I69" s="242"/>
      <c r="J69" s="242"/>
      <c r="K69" s="242"/>
      <c r="L69" s="242"/>
      <c r="M69" s="242"/>
      <c r="N69" s="242"/>
    </row>
    <row r="70" spans="1:20" ht="56.25" customHeight="1" x14ac:dyDescent="0.3">
      <c r="A70" s="241"/>
      <c r="B70" s="162">
        <f>B69/B32</f>
        <v>0.12745214624457893</v>
      </c>
      <c r="C70" s="266">
        <f t="shared" ref="C70:E70" si="3">C69/C32</f>
        <v>0.10264675946647754</v>
      </c>
      <c r="D70" s="266">
        <f t="shared" si="3"/>
        <v>4.1310749908810888E-2</v>
      </c>
      <c r="E70" s="270">
        <f t="shared" si="3"/>
        <v>1.0001301712083899E-2</v>
      </c>
      <c r="G70" s="242" t="s">
        <v>148</v>
      </c>
      <c r="H70" s="242"/>
      <c r="I70" s="242"/>
      <c r="J70" s="242"/>
      <c r="K70" s="242"/>
      <c r="L70" s="242"/>
      <c r="M70" s="242"/>
      <c r="N70" s="242"/>
    </row>
    <row r="71" spans="1:20" ht="56.25" customHeight="1" x14ac:dyDescent="0.3">
      <c r="A71" s="241"/>
      <c r="B71" s="114">
        <f>('LEAP Scenario'!K9)*1000</f>
        <v>4259407.579318515</v>
      </c>
      <c r="C71" s="115">
        <f>('LEAP Scenario'!L9)*1000</f>
        <v>3367423.205440742</v>
      </c>
      <c r="D71" s="115">
        <f>('LEAP Scenario'!N9)*1000</f>
        <v>1641406.106303921</v>
      </c>
      <c r="E71" s="116">
        <f>('LEAP Scenario'!P9)*1000</f>
        <v>605329.81925955776</v>
      </c>
      <c r="G71" s="179" t="s">
        <v>174</v>
      </c>
      <c r="H71" s="179"/>
      <c r="I71" s="179"/>
      <c r="J71" s="179"/>
      <c r="K71" s="179"/>
      <c r="L71" s="179"/>
      <c r="M71" s="179"/>
      <c r="N71" s="179"/>
    </row>
    <row r="72" spans="1:20" ht="56.25" customHeight="1" x14ac:dyDescent="0.3">
      <c r="A72" s="241"/>
      <c r="B72" s="100">
        <f>B71/B56</f>
        <v>38721.887084713773</v>
      </c>
      <c r="C72" s="243">
        <f>C71/C56</f>
        <v>32748.295464390379</v>
      </c>
      <c r="D72" s="243">
        <f>D71/D56</f>
        <v>17267.36376522476</v>
      </c>
      <c r="E72" s="101">
        <f>E71/E56</f>
        <v>6964.9466664592301</v>
      </c>
      <c r="G72" s="179" t="s">
        <v>175</v>
      </c>
      <c r="H72" s="179"/>
      <c r="I72" s="179"/>
      <c r="J72" s="179"/>
      <c r="K72" s="179"/>
      <c r="L72" s="179"/>
      <c r="M72" s="179"/>
      <c r="N72" s="179"/>
    </row>
    <row r="73" spans="1:20" ht="56.25" customHeight="1" x14ac:dyDescent="0.3">
      <c r="A73" s="272"/>
      <c r="B73" s="102">
        <f>B72/B32</f>
        <v>0.14751195079890961</v>
      </c>
      <c r="C73" s="103">
        <f>C72/C32</f>
        <v>0.12265279200146209</v>
      </c>
      <c r="D73" s="103">
        <f>D72/D32</f>
        <v>6.2337053304060502E-2</v>
      </c>
      <c r="E73" s="104">
        <f>E72/E32</f>
        <v>2.401705747054907E-2</v>
      </c>
      <c r="G73" s="179" t="s">
        <v>176</v>
      </c>
      <c r="H73" s="179"/>
      <c r="I73" s="179"/>
      <c r="J73" s="179"/>
      <c r="K73" s="179"/>
      <c r="L73" s="179"/>
      <c r="M73" s="179"/>
      <c r="N73" s="179"/>
      <c r="Q73" s="3"/>
      <c r="R73" s="3"/>
      <c r="S73" s="3"/>
      <c r="T73" s="3"/>
    </row>
    <row r="74" spans="1:20" x14ac:dyDescent="0.3">
      <c r="B74" s="42"/>
      <c r="C74" s="42"/>
      <c r="D74" s="42"/>
      <c r="E74" s="42"/>
      <c r="G74" s="98"/>
      <c r="H74" s="98"/>
      <c r="I74" s="98"/>
      <c r="J74" s="98"/>
      <c r="K74" s="98"/>
      <c r="L74" s="98"/>
      <c r="M74" s="98"/>
      <c r="N74" s="98"/>
      <c r="Q74" s="3"/>
      <c r="R74" s="3"/>
      <c r="S74" s="3"/>
      <c r="T74" s="3"/>
    </row>
    <row r="75" spans="1:20" ht="18" x14ac:dyDescent="0.3">
      <c r="B75" s="105" t="s">
        <v>75</v>
      </c>
      <c r="C75" s="42"/>
      <c r="D75" s="42"/>
      <c r="E75" s="42"/>
      <c r="G75" s="98"/>
      <c r="H75" s="98"/>
      <c r="I75" s="98"/>
      <c r="J75" s="98"/>
      <c r="K75" s="98"/>
      <c r="L75" s="98"/>
      <c r="M75" s="98"/>
      <c r="N75" s="98"/>
    </row>
    <row r="76" spans="1:20" x14ac:dyDescent="0.3">
      <c r="B76" s="42"/>
      <c r="C76" s="42"/>
      <c r="D76" s="42"/>
      <c r="E76" s="42"/>
      <c r="G76" s="98"/>
      <c r="H76" s="98"/>
      <c r="I76" s="98"/>
      <c r="J76" s="98"/>
      <c r="K76" s="98"/>
      <c r="L76" s="98"/>
      <c r="M76" s="98"/>
      <c r="N76" s="98"/>
    </row>
    <row r="77" spans="1:20" x14ac:dyDescent="0.3">
      <c r="B77" s="107">
        <v>2015</v>
      </c>
      <c r="C77" s="108">
        <v>2025</v>
      </c>
      <c r="D77" s="108">
        <v>2035</v>
      </c>
      <c r="E77" s="109">
        <v>2050</v>
      </c>
      <c r="G77" s="98"/>
      <c r="H77" s="98"/>
      <c r="I77" s="98"/>
      <c r="J77" s="98"/>
      <c r="K77" s="98"/>
      <c r="L77" s="98"/>
      <c r="M77" s="98"/>
      <c r="N77" s="98"/>
    </row>
    <row r="78" spans="1:20" ht="56.25" customHeight="1" x14ac:dyDescent="0.3">
      <c r="B78" s="118">
        <f>'1.Current Heat'!B15</f>
        <v>1074.2869420422194</v>
      </c>
      <c r="C78" s="119">
        <f>C51*($B$78-$B$48)+(1-C51)*$B$78</f>
        <v>946.21313748501666</v>
      </c>
      <c r="D78" s="119">
        <f>D51*($B$78-$B$48)+(1-D51)*$B$78</f>
        <v>704.56683724968957</v>
      </c>
      <c r="E78" s="120">
        <f>E51*($B$78-$B$48)+(1-E51)*$B$78</f>
        <v>953.5006184718552</v>
      </c>
      <c r="G78" s="179" t="s">
        <v>76</v>
      </c>
      <c r="H78" s="179"/>
      <c r="I78" s="179"/>
      <c r="J78" s="179"/>
      <c r="K78" s="179"/>
      <c r="L78" s="179"/>
      <c r="M78" s="179"/>
      <c r="N78" s="179"/>
    </row>
    <row r="79" spans="1:20" ht="56.25" customHeight="1" x14ac:dyDescent="0.3">
      <c r="A79" s="241"/>
      <c r="B79" s="114">
        <f>('LEAP Scenario'!AI6+'LEAP Scenario'!AI12+'LEAP Scenario'!AI14+'LEAP Scenario'!AI15)*1000</f>
        <v>4877957.271054361</v>
      </c>
      <c r="C79" s="115">
        <f>('LEAP Scenario'!AJ6+'LEAP Scenario'!AJ12+'LEAP Scenario'!AJ14+'LEAP Scenario'!AJ15)*1000</f>
        <v>2470538.7475199779</v>
      </c>
      <c r="D79" s="115">
        <f>('LEAP Scenario'!AL6+'LEAP Scenario'!AL12+'LEAP Scenario'!AL14+'LEAP Scenario'!AL15)*1000</f>
        <v>1524072.6239340319</v>
      </c>
      <c r="E79" s="116">
        <f>('LEAP Scenario'!AN6+'LEAP Scenario'!AN12+'LEAP Scenario'!AN14+'LEAP Scenario'!AN15)*1000</f>
        <v>1437254.8960518842</v>
      </c>
      <c r="G79" s="179" t="s">
        <v>216</v>
      </c>
      <c r="H79" s="179"/>
      <c r="I79" s="179"/>
      <c r="J79" s="179"/>
      <c r="K79" s="179"/>
      <c r="L79" s="179"/>
      <c r="M79" s="179"/>
      <c r="N79" s="179"/>
    </row>
    <row r="80" spans="1:20" ht="56.25" customHeight="1" x14ac:dyDescent="0.3">
      <c r="B80" s="117">
        <f>'LEAP Scenario'!AI14*1000/'2.Heat Targets'!B79</f>
        <v>0</v>
      </c>
      <c r="C80" s="113">
        <f>'LEAP Scenario'!AJ14*1000/'2.Heat Targets'!C79</f>
        <v>5.6877116775519806E-2</v>
      </c>
      <c r="D80" s="113">
        <f>'LEAP Scenario'!AL14*1000/'2.Heat Targets'!D79</f>
        <v>0.65013790723323839</v>
      </c>
      <c r="E80" s="264">
        <f>'LEAP Scenario'!AN14*1000/'2.Heat Targets'!E79</f>
        <v>0.96803199563478115</v>
      </c>
      <c r="G80" s="179" t="s">
        <v>217</v>
      </c>
      <c r="H80" s="179"/>
      <c r="I80" s="179"/>
      <c r="J80" s="179"/>
      <c r="K80" s="179"/>
      <c r="L80" s="179"/>
      <c r="M80" s="179"/>
      <c r="N80" s="179"/>
    </row>
    <row r="81" spans="1:14" ht="56.25" customHeight="1" x14ac:dyDescent="0.3">
      <c r="B81" s="100">
        <f>B79/B78</f>
        <v>4540.6465257609525</v>
      </c>
      <c r="C81" s="243">
        <f>C79/C78</f>
        <v>2610.9748952403434</v>
      </c>
      <c r="D81" s="243">
        <f>D79/D78</f>
        <v>2163.1342029711795</v>
      </c>
      <c r="E81" s="101">
        <f>E79/E78</f>
        <v>1507.3455309922363</v>
      </c>
      <c r="G81" s="179" t="s">
        <v>218</v>
      </c>
      <c r="H81" s="179"/>
      <c r="I81" s="179"/>
      <c r="J81" s="179"/>
      <c r="K81" s="179"/>
      <c r="L81" s="179"/>
      <c r="M81" s="179"/>
      <c r="N81" s="179"/>
    </row>
    <row r="82" spans="1:14" ht="56.25" customHeight="1" x14ac:dyDescent="0.3">
      <c r="B82" s="117">
        <f>B81/B50</f>
        <v>0.24389786355271809</v>
      </c>
      <c r="C82" s="113">
        <f>C81/C50</f>
        <v>0.14113377812109965</v>
      </c>
      <c r="D82" s="113">
        <f>D81/D50</f>
        <v>0.11384916857743051</v>
      </c>
      <c r="E82" s="264">
        <f>E81/E50</f>
        <v>7.7299770820114674E-2</v>
      </c>
      <c r="G82" s="179" t="s">
        <v>219</v>
      </c>
      <c r="H82" s="179"/>
      <c r="I82" s="179"/>
      <c r="J82" s="179"/>
      <c r="K82" s="179"/>
      <c r="L82" s="179"/>
      <c r="M82" s="179"/>
      <c r="N82" s="179"/>
    </row>
    <row r="83" spans="1:14" ht="56.25" customHeight="1" x14ac:dyDescent="0.3">
      <c r="B83" s="114">
        <f>('LEAP Scenario'!AI7+'LEAP Scenario'!AI13)*1000</f>
        <v>1636529.5769716627</v>
      </c>
      <c r="C83" s="115">
        <f>('LEAP Scenario'!AJ7+'LEAP Scenario'!AJ13)*1000</f>
        <v>1808389.1256396461</v>
      </c>
      <c r="D83" s="115">
        <f>('LEAP Scenario'!AL7+'LEAP Scenario'!AL13)*1000</f>
        <v>2213967.7205710928</v>
      </c>
      <c r="E83" s="116">
        <f>('LEAP Scenario'!AN7+'LEAP Scenario'!AN13)*1000</f>
        <v>2742453.2740759626</v>
      </c>
      <c r="G83" s="179" t="s">
        <v>220</v>
      </c>
      <c r="H83" s="179"/>
      <c r="I83" s="179"/>
      <c r="J83" s="179"/>
      <c r="K83" s="179"/>
      <c r="L83" s="179"/>
      <c r="M83" s="179"/>
      <c r="N83" s="179"/>
    </row>
    <row r="84" spans="1:14" ht="56.25" customHeight="1" x14ac:dyDescent="0.3">
      <c r="B84" s="100">
        <f>B83/B78</f>
        <v>1523.3635567240724</v>
      </c>
      <c r="C84" s="243">
        <f t="shared" ref="C84:D84" si="4">C83/C78</f>
        <v>1911.185814272508</v>
      </c>
      <c r="D84" s="243">
        <f t="shared" si="4"/>
        <v>3142.3104289344951</v>
      </c>
      <c r="E84" s="101">
        <f>E83/E78</f>
        <v>2876.194541405966</v>
      </c>
      <c r="G84" s="179" t="s">
        <v>221</v>
      </c>
      <c r="H84" s="179"/>
      <c r="I84" s="179"/>
      <c r="J84" s="179"/>
      <c r="K84" s="179"/>
      <c r="L84" s="179"/>
      <c r="M84" s="179"/>
      <c r="N84" s="179"/>
    </row>
    <row r="85" spans="1:14" ht="56.25" customHeight="1" x14ac:dyDescent="0.3">
      <c r="B85" s="117">
        <f>B84/B50</f>
        <v>8.1826478848583142E-2</v>
      </c>
      <c r="C85" s="113">
        <f>C84/C50</f>
        <v>0.10330734131202746</v>
      </c>
      <c r="D85" s="113">
        <f>D84/D50</f>
        <v>0.165384759417605</v>
      </c>
      <c r="E85" s="264">
        <f>E84/E50</f>
        <v>0.14749715596953672</v>
      </c>
      <c r="G85" s="179" t="s">
        <v>222</v>
      </c>
      <c r="H85" s="179"/>
      <c r="I85" s="179"/>
      <c r="J85" s="179"/>
      <c r="K85" s="179"/>
      <c r="L85" s="179"/>
      <c r="M85" s="179"/>
      <c r="N85" s="179"/>
    </row>
    <row r="86" spans="1:14" ht="68.400000000000006" customHeight="1" x14ac:dyDescent="0.3">
      <c r="A86" s="241"/>
      <c r="B86" s="276"/>
      <c r="C86" s="277">
        <f>'LEAP Scenario'!AB23</f>
        <v>50577.717374303138</v>
      </c>
      <c r="D86" s="277">
        <f>'LEAP Scenario'!AD23</f>
        <v>152958.4356883486</v>
      </c>
      <c r="E86" s="278">
        <f>'LEAP Scenario'!AF23</f>
        <v>195619.90115340543</v>
      </c>
      <c r="G86" s="179" t="s">
        <v>226</v>
      </c>
      <c r="H86" s="179"/>
      <c r="I86" s="179"/>
      <c r="J86" s="179"/>
      <c r="K86" s="179"/>
      <c r="L86" s="179"/>
      <c r="M86" s="179"/>
      <c r="N86" s="179"/>
    </row>
    <row r="87" spans="1:14" ht="56.25" customHeight="1" x14ac:dyDescent="0.3">
      <c r="B87" s="280">
        <f>('LEAP Scenario'!AI16+'LEAP Scenario'!AI17)*1000</f>
        <v>6067726.9235532442</v>
      </c>
      <c r="C87" s="281">
        <f>('LEAP Scenario'!AJ16+'LEAP Scenario'!AJ17)*1000</f>
        <v>6004226.6105437828</v>
      </c>
      <c r="D87" s="281">
        <f>('LEAP Scenario'!AL16+'LEAP Scenario'!AL17)*1000</f>
        <v>2346955.6374039459</v>
      </c>
      <c r="E87" s="282">
        <f>('LEAP Scenario'!AN16+'LEAP Scenario'!AN17)*1000</f>
        <v>973470.42563339614</v>
      </c>
      <c r="G87" s="242" t="s">
        <v>227</v>
      </c>
      <c r="H87" s="242"/>
      <c r="I87" s="242"/>
      <c r="J87" s="242"/>
      <c r="K87" s="242"/>
      <c r="L87" s="242"/>
      <c r="M87" s="242"/>
      <c r="N87" s="242"/>
    </row>
    <row r="88" spans="1:14" ht="56.25" customHeight="1" x14ac:dyDescent="0.3">
      <c r="B88" s="117">
        <f>('LEAP Scenario'!AI16*1000)/'2.Heat Targets'!B87</f>
        <v>0</v>
      </c>
      <c r="C88" s="113">
        <f>('LEAP Scenario'!AJ16*1000)/'2.Heat Targets'!C87</f>
        <v>6.5267908465224664E-2</v>
      </c>
      <c r="D88" s="113">
        <f>('LEAP Scenario'!AL16*1000)/'2.Heat Targets'!D87</f>
        <v>0.25283024401091597</v>
      </c>
      <c r="E88" s="264">
        <f>('LEAP Scenario'!AN16*1000)/'2.Heat Targets'!E87</f>
        <v>0.71540047031367682</v>
      </c>
      <c r="G88" s="242" t="s">
        <v>177</v>
      </c>
      <c r="H88" s="242"/>
      <c r="I88" s="242"/>
      <c r="J88" s="242"/>
      <c r="K88" s="242"/>
      <c r="L88" s="242"/>
      <c r="M88" s="242"/>
      <c r="N88" s="242"/>
    </row>
    <row r="89" spans="1:14" ht="56.25" customHeight="1" x14ac:dyDescent="0.3">
      <c r="B89" s="163">
        <f>B87/B78</f>
        <v>5648.1436067895374</v>
      </c>
      <c r="C89" s="279">
        <f>C87/C78</f>
        <v>6345.5329171424237</v>
      </c>
      <c r="D89" s="279">
        <f>D87/D78</f>
        <v>3331.0617436457833</v>
      </c>
      <c r="E89" s="283">
        <f>E87/E78</f>
        <v>1020.9436751006474</v>
      </c>
      <c r="G89" s="242" t="s">
        <v>178</v>
      </c>
      <c r="H89" s="242"/>
      <c r="I89" s="242"/>
      <c r="J89" s="242"/>
      <c r="K89" s="242"/>
      <c r="L89" s="242"/>
      <c r="M89" s="242"/>
      <c r="N89" s="242"/>
    </row>
    <row r="90" spans="1:14" ht="56.25" customHeight="1" x14ac:dyDescent="0.3">
      <c r="B90" s="117">
        <f>B89/B50</f>
        <v>0.30338634617766219</v>
      </c>
      <c r="C90" s="113">
        <f>C89/C50</f>
        <v>0.34300177930499587</v>
      </c>
      <c r="D90" s="113">
        <f>D89/D50</f>
        <v>0.17531903913925176</v>
      </c>
      <c r="E90" s="264">
        <f>E89/E50</f>
        <v>5.2356085902597299E-2</v>
      </c>
      <c r="G90" s="242" t="s">
        <v>228</v>
      </c>
      <c r="H90" s="242"/>
      <c r="I90" s="242"/>
      <c r="J90" s="242"/>
      <c r="K90" s="242"/>
      <c r="L90" s="242"/>
      <c r="M90" s="242"/>
      <c r="N90" s="242"/>
    </row>
    <row r="91" spans="1:14" ht="56.25" customHeight="1" x14ac:dyDescent="0.3">
      <c r="B91" s="114">
        <f>('LEAP Scenario'!AI5+'LEAP Scenario'!AI11)*1000</f>
        <v>4865384.7363593392</v>
      </c>
      <c r="C91" s="115">
        <f>('LEAP Scenario'!AJ5+'LEAP Scenario'!AJ11)*1000</f>
        <v>3035535.4040085673</v>
      </c>
      <c r="D91" s="115">
        <f>('LEAP Scenario'!AL5+'LEAP Scenario'!AL11)*1000</f>
        <v>1431002.5527385373</v>
      </c>
      <c r="E91" s="116">
        <f>('LEAP Scenario'!AN5+'LEAP Scenario'!AN11)*1000</f>
        <v>832261.51054809056</v>
      </c>
      <c r="G91" s="179" t="s">
        <v>229</v>
      </c>
      <c r="H91" s="179"/>
      <c r="I91" s="179"/>
      <c r="J91" s="179"/>
      <c r="K91" s="179"/>
      <c r="L91" s="179"/>
      <c r="M91" s="179"/>
      <c r="N91" s="179"/>
    </row>
    <row r="92" spans="1:14" ht="56.25" customHeight="1" x14ac:dyDescent="0.3">
      <c r="B92" s="100">
        <f>B91/B78</f>
        <v>4528.9433818400912</v>
      </c>
      <c r="C92" s="243">
        <f>C91/C78</f>
        <v>3208.0884144949164</v>
      </c>
      <c r="D92" s="243">
        <f>D91/D78</f>
        <v>2031.0387561306809</v>
      </c>
      <c r="E92" s="101">
        <f>E91/E78</f>
        <v>872.84842235543522</v>
      </c>
      <c r="G92" s="179" t="s">
        <v>179</v>
      </c>
      <c r="H92" s="179"/>
      <c r="I92" s="179"/>
      <c r="J92" s="179"/>
      <c r="K92" s="179"/>
      <c r="L92" s="179"/>
      <c r="M92" s="179"/>
      <c r="N92" s="179"/>
    </row>
    <row r="93" spans="1:14" ht="56.25" customHeight="1" x14ac:dyDescent="0.3">
      <c r="B93" s="102">
        <f>B92/B50</f>
        <v>0.24326923681796697</v>
      </c>
      <c r="C93" s="103">
        <f>C92/C50</f>
        <v>0.17341018456729279</v>
      </c>
      <c r="D93" s="103">
        <f>D92/D50</f>
        <v>0.10689677663845688</v>
      </c>
      <c r="E93" s="104">
        <f>E92/E50</f>
        <v>4.4761457556688984E-2</v>
      </c>
      <c r="G93" s="179" t="s">
        <v>180</v>
      </c>
      <c r="H93" s="179"/>
      <c r="I93" s="179"/>
      <c r="J93" s="179"/>
      <c r="K93" s="179"/>
      <c r="L93" s="179"/>
      <c r="M93" s="179"/>
      <c r="N93" s="179"/>
    </row>
    <row r="95" spans="1:14" x14ac:dyDescent="0.3">
      <c r="B95" s="16"/>
      <c r="C95" s="16"/>
      <c r="D95" s="16"/>
      <c r="E95" s="16"/>
    </row>
    <row r="97" spans="2:5" x14ac:dyDescent="0.3">
      <c r="B97" s="3"/>
      <c r="C97" s="3"/>
      <c r="D97" s="3"/>
      <c r="E97" s="3"/>
    </row>
  </sheetData>
  <mergeCells count="64">
    <mergeCell ref="G92:N92"/>
    <mergeCell ref="G93:N93"/>
    <mergeCell ref="G91:N91"/>
    <mergeCell ref="G27:N27"/>
    <mergeCell ref="G26:N26"/>
    <mergeCell ref="G25:N25"/>
    <mergeCell ref="G24:N24"/>
    <mergeCell ref="G73:N73"/>
    <mergeCell ref="G72:N72"/>
    <mergeCell ref="G71:N71"/>
    <mergeCell ref="G66:N66"/>
    <mergeCell ref="G65:N65"/>
    <mergeCell ref="G64:N64"/>
    <mergeCell ref="G63:N63"/>
    <mergeCell ref="G62:N62"/>
    <mergeCell ref="G34:N34"/>
    <mergeCell ref="G32:N32"/>
    <mergeCell ref="G30:N30"/>
    <mergeCell ref="G29:N29"/>
    <mergeCell ref="B29:E29"/>
    <mergeCell ref="B48:E48"/>
    <mergeCell ref="B4:N6"/>
    <mergeCell ref="M11:O12"/>
    <mergeCell ref="M17:O18"/>
    <mergeCell ref="M14:O15"/>
    <mergeCell ref="G47:N47"/>
    <mergeCell ref="G46:N46"/>
    <mergeCell ref="G45:N45"/>
    <mergeCell ref="G44:N44"/>
    <mergeCell ref="G43:N43"/>
    <mergeCell ref="G42:N42"/>
    <mergeCell ref="G41:N41"/>
    <mergeCell ref="G40:N40"/>
    <mergeCell ref="G39:N39"/>
    <mergeCell ref="G28:N28"/>
    <mergeCell ref="G31:N31"/>
    <mergeCell ref="G33:N33"/>
    <mergeCell ref="G67:N67"/>
    <mergeCell ref="G68:N68"/>
    <mergeCell ref="G69:N69"/>
    <mergeCell ref="G60:N60"/>
    <mergeCell ref="G61:N61"/>
    <mergeCell ref="G59:N59"/>
    <mergeCell ref="G58:N58"/>
    <mergeCell ref="G57:N57"/>
    <mergeCell ref="G56:N56"/>
    <mergeCell ref="G51:N51"/>
    <mergeCell ref="G50:N50"/>
    <mergeCell ref="G49:N49"/>
    <mergeCell ref="G48:N48"/>
    <mergeCell ref="G70:N70"/>
    <mergeCell ref="G87:N87"/>
    <mergeCell ref="G88:N88"/>
    <mergeCell ref="G89:N89"/>
    <mergeCell ref="G90:N90"/>
    <mergeCell ref="G78:N78"/>
    <mergeCell ref="G79:N79"/>
    <mergeCell ref="G86:N86"/>
    <mergeCell ref="G85:N85"/>
    <mergeCell ref="G84:N84"/>
    <mergeCell ref="G83:N83"/>
    <mergeCell ref="G82:N82"/>
    <mergeCell ref="G80:N80"/>
    <mergeCell ref="G81:N81"/>
  </mergeCells>
  <pageMargins left="0.7" right="0.7" top="0.75" bottom="0.75" header="0.3" footer="0.3"/>
  <pageSetup orientation="portrait" horizontalDpi="200" verticalDpi="0" copies="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O28"/>
  <sheetViews>
    <sheetView topLeftCell="A7" zoomScale="70" zoomScaleNormal="70" workbookViewId="0">
      <selection activeCell="F26" sqref="F26"/>
    </sheetView>
  </sheetViews>
  <sheetFormatPr defaultRowHeight="14.4" x14ac:dyDescent="0.3"/>
  <cols>
    <col min="1" max="1" width="5.33203125" customWidth="1"/>
    <col min="2" max="2" width="12" customWidth="1"/>
    <col min="3" max="3" width="14.6640625" customWidth="1"/>
    <col min="4" max="4" width="15.5546875" customWidth="1"/>
    <col min="5" max="5" width="17.44140625" customWidth="1"/>
    <col min="6" max="20" width="12" customWidth="1"/>
  </cols>
  <sheetData>
    <row r="2" spans="2:15" ht="21" x14ac:dyDescent="0.4">
      <c r="B2" s="37" t="s">
        <v>60</v>
      </c>
    </row>
    <row r="3" spans="2:15" ht="21" x14ac:dyDescent="0.4">
      <c r="B3" s="37"/>
    </row>
    <row r="4" spans="2:15" ht="22.5" customHeight="1" x14ac:dyDescent="0.3">
      <c r="B4" s="182" t="s">
        <v>103</v>
      </c>
      <c r="C4" s="183"/>
      <c r="D4" s="183"/>
      <c r="E4" s="183"/>
      <c r="F4" s="183"/>
      <c r="G4" s="183"/>
      <c r="H4" s="183"/>
      <c r="I4" s="183"/>
      <c r="J4" s="183"/>
      <c r="K4" s="183"/>
      <c r="L4" s="183"/>
      <c r="M4" s="183"/>
      <c r="N4" s="184"/>
    </row>
    <row r="5" spans="2:15" ht="22.5" customHeight="1" x14ac:dyDescent="0.3">
      <c r="B5" s="185"/>
      <c r="C5" s="186"/>
      <c r="D5" s="186"/>
      <c r="E5" s="186"/>
      <c r="F5" s="186"/>
      <c r="G5" s="186"/>
      <c r="H5" s="186"/>
      <c r="I5" s="186"/>
      <c r="J5" s="186"/>
      <c r="K5" s="186"/>
      <c r="L5" s="186"/>
      <c r="M5" s="186"/>
      <c r="N5" s="187"/>
    </row>
    <row r="6" spans="2:15" ht="22.5" customHeight="1" x14ac:dyDescent="0.3">
      <c r="B6" s="188"/>
      <c r="C6" s="189"/>
      <c r="D6" s="189"/>
      <c r="E6" s="189"/>
      <c r="F6" s="189"/>
      <c r="G6" s="189"/>
      <c r="H6" s="189"/>
      <c r="I6" s="189"/>
      <c r="J6" s="189"/>
      <c r="K6" s="189"/>
      <c r="L6" s="189"/>
      <c r="M6" s="189"/>
      <c r="N6" s="190"/>
    </row>
    <row r="8" spans="2:15" ht="18" x14ac:dyDescent="0.35">
      <c r="B8" s="36" t="s">
        <v>62</v>
      </c>
    </row>
    <row r="10" spans="2:15" x14ac:dyDescent="0.3">
      <c r="B10" s="50">
        <v>100</v>
      </c>
      <c r="C10" s="51" t="s">
        <v>65</v>
      </c>
      <c r="D10" s="51"/>
      <c r="E10" s="51"/>
      <c r="F10" s="51"/>
      <c r="G10" s="51"/>
      <c r="H10" s="51"/>
      <c r="I10" s="51"/>
      <c r="J10" s="51"/>
      <c r="K10" s="52"/>
    </row>
    <row r="11" spans="2:15" x14ac:dyDescent="0.3">
      <c r="B11" s="55">
        <v>300</v>
      </c>
      <c r="C11" s="56" t="s">
        <v>63</v>
      </c>
      <c r="D11" s="56"/>
      <c r="E11" s="56"/>
      <c r="F11" s="56"/>
      <c r="G11" s="56"/>
      <c r="H11" s="56"/>
      <c r="I11" s="56"/>
      <c r="J11" s="56"/>
      <c r="K11" s="57"/>
      <c r="M11" s="191" t="s">
        <v>79</v>
      </c>
      <c r="N11" s="192"/>
      <c r="O11" s="193"/>
    </row>
    <row r="12" spans="2:15" x14ac:dyDescent="0.3">
      <c r="B12" s="1">
        <v>100</v>
      </c>
      <c r="C12" t="s">
        <v>64</v>
      </c>
      <c r="K12" s="2"/>
      <c r="M12" s="194"/>
      <c r="N12" s="195"/>
      <c r="O12" s="196"/>
    </row>
    <row r="13" spans="2:15" x14ac:dyDescent="0.3">
      <c r="B13" s="5">
        <v>33</v>
      </c>
      <c r="C13" s="53" t="s">
        <v>66</v>
      </c>
      <c r="D13" s="53"/>
      <c r="E13" s="53"/>
      <c r="F13" s="53"/>
      <c r="G13" s="53"/>
      <c r="H13" s="53"/>
      <c r="I13" s="53"/>
      <c r="J13" s="53"/>
      <c r="K13" s="54"/>
    </row>
    <row r="15" spans="2:15" ht="18" x14ac:dyDescent="0.35">
      <c r="B15" s="36" t="s">
        <v>80</v>
      </c>
    </row>
    <row r="17" spans="1:15" x14ac:dyDescent="0.3">
      <c r="B17" s="59">
        <v>2015</v>
      </c>
      <c r="C17" s="60">
        <v>2025</v>
      </c>
      <c r="D17" s="60">
        <v>2035</v>
      </c>
      <c r="E17" s="61">
        <v>2050</v>
      </c>
    </row>
    <row r="18" spans="1:15" ht="54.75" customHeight="1" x14ac:dyDescent="0.3">
      <c r="A18" s="241"/>
      <c r="B18" s="114">
        <f>('LEAP Scenario'!K35+'LEAP Scenario'!AA35)*1000</f>
        <v>10038.291322235902</v>
      </c>
      <c r="C18" s="115">
        <f>('LEAP Scenario'!L35+'LEAP Scenario'!AB35)*1000</f>
        <v>435221.16290002828</v>
      </c>
      <c r="D18" s="115">
        <f>('LEAP Scenario'!N35+'LEAP Scenario'!AD35)*1000</f>
        <v>4655496.6362562217</v>
      </c>
      <c r="E18" s="116">
        <f>('LEAP Scenario'!P35+'LEAP Scenario'!AF35)*1000</f>
        <v>8713582.3622314092</v>
      </c>
      <c r="F18" s="287"/>
      <c r="G18" s="242" t="s">
        <v>230</v>
      </c>
      <c r="H18" s="242"/>
      <c r="I18" s="242"/>
      <c r="J18" s="242"/>
      <c r="K18" s="242"/>
      <c r="L18" s="242"/>
      <c r="M18" s="242"/>
      <c r="N18" s="242"/>
    </row>
    <row r="19" spans="1:15" ht="54.75" customHeight="1" x14ac:dyDescent="0.3">
      <c r="B19" s="100">
        <f>('1.Current Trans'!$B$9/'1.Current Trans'!$B$25)*'1.Current Trans'!$B$27/1000000</f>
        <v>14.216666666666669</v>
      </c>
      <c r="C19" s="243">
        <f>B19-(($B$19-$E$19)/3)</f>
        <v>13.031944444444445</v>
      </c>
      <c r="D19" s="243">
        <f>C19-(($B$19-$E$19)/3)</f>
        <v>11.847222222222221</v>
      </c>
      <c r="E19" s="101">
        <f>('1.Current Trans'!$B$9/4)*'1.Current Trans'!$B$27/1000000</f>
        <v>10.6625</v>
      </c>
      <c r="G19" s="242" t="s">
        <v>104</v>
      </c>
      <c r="H19" s="242"/>
      <c r="I19" s="242"/>
      <c r="J19" s="242"/>
      <c r="K19" s="242"/>
      <c r="L19" s="242"/>
      <c r="M19" s="242"/>
      <c r="N19" s="242"/>
    </row>
    <row r="20" spans="1:15" ht="54.75" customHeight="1" x14ac:dyDescent="0.3">
      <c r="B20" s="100">
        <f>'LEAP Scenario'!K47+'LEAP Scenario'!AA47</f>
        <v>248.0000000002004</v>
      </c>
      <c r="C20" s="243">
        <f>'LEAP Scenario'!L47+'LEAP Scenario'!AB47</f>
        <v>21965.117228883642</v>
      </c>
      <c r="D20" s="243">
        <f>'LEAP Scenario'!N47+'LEAP Scenario'!AD47</f>
        <v>267391.37787255977</v>
      </c>
      <c r="E20" s="101">
        <f>'LEAP Scenario'!P47+'LEAP Scenario'!AF47</f>
        <v>580793.22045655176</v>
      </c>
      <c r="G20" s="242" t="s">
        <v>181</v>
      </c>
      <c r="H20" s="242"/>
      <c r="I20" s="242"/>
      <c r="J20" s="242"/>
      <c r="K20" s="242"/>
      <c r="L20" s="242"/>
      <c r="M20" s="242"/>
      <c r="N20" s="242"/>
    </row>
    <row r="21" spans="1:15" ht="54.75" customHeight="1" x14ac:dyDescent="0.3">
      <c r="B21" s="100">
        <f>'LEAP Scenario'!K48+'LEAP Scenario'!AA48</f>
        <v>865.00000000050181</v>
      </c>
      <c r="C21" s="243">
        <f>'LEAP Scenario'!L48+'LEAP Scenario'!AB48</f>
        <v>3234.320888458773</v>
      </c>
      <c r="D21" s="243">
        <f>'LEAP Scenario'!N48+'LEAP Scenario'!AD48</f>
        <v>3125.1062645769521</v>
      </c>
      <c r="E21" s="101">
        <f>'LEAP Scenario'!P48+'LEAP Scenario'!AF48</f>
        <v>742.45159489768912</v>
      </c>
      <c r="G21" s="242" t="s">
        <v>182</v>
      </c>
      <c r="H21" s="242"/>
      <c r="I21" s="242"/>
      <c r="J21" s="242"/>
      <c r="K21" s="242"/>
      <c r="L21" s="242"/>
      <c r="M21" s="242"/>
      <c r="N21" s="242"/>
    </row>
    <row r="22" spans="1:15" ht="54.75" customHeight="1" x14ac:dyDescent="0.3">
      <c r="B22" s="249">
        <f>'1.Current Trans'!B8+'1.Current Trans'!B23</f>
        <v>512000</v>
      </c>
      <c r="C22" s="250">
        <v>515000</v>
      </c>
      <c r="D22" s="250">
        <v>520000</v>
      </c>
      <c r="E22" s="251">
        <v>525000</v>
      </c>
      <c r="G22" s="242" t="s">
        <v>187</v>
      </c>
      <c r="H22" s="242"/>
      <c r="I22" s="242"/>
      <c r="J22" s="242"/>
      <c r="K22" s="242"/>
      <c r="L22" s="242"/>
      <c r="M22" s="242"/>
      <c r="N22" s="242"/>
      <c r="O22" s="126">
        <f>(E22/B22)^(1/(E17-B17))-1</f>
        <v>7.1664631269530155E-4</v>
      </c>
    </row>
    <row r="23" spans="1:15" ht="54.75" customHeight="1" x14ac:dyDescent="0.3">
      <c r="B23" s="288">
        <f>(B20+B21)/B22</f>
        <v>2.1738281250013713E-3</v>
      </c>
      <c r="C23" s="289">
        <f t="shared" ref="C23:D23" si="0">(C20+C21)/C22</f>
        <v>4.8930947800664884E-2</v>
      </c>
      <c r="D23" s="289">
        <f t="shared" si="0"/>
        <v>0.52022400795603219</v>
      </c>
      <c r="E23" s="290">
        <f>(E20+E21)/E22</f>
        <v>1.1076869943837131</v>
      </c>
      <c r="G23" s="242" t="s">
        <v>186</v>
      </c>
      <c r="H23" s="242"/>
      <c r="I23" s="242"/>
      <c r="J23" s="242"/>
      <c r="K23" s="242"/>
      <c r="L23" s="242"/>
      <c r="M23" s="242"/>
      <c r="N23" s="242"/>
    </row>
    <row r="24" spans="1:15" ht="54.75" customHeight="1" x14ac:dyDescent="0.3">
      <c r="B24" s="291">
        <f>('LEAP Scenario'!K36+'LEAP Scenario'!K37+'LEAP Scenario'!K38+'LEAP Scenario'!K40+'LEAP Scenario'!AA37+'LEAP Scenario'!AA38+'LEAP Scenario'!AA39+'LEAP Scenario'!AA41) *1000</f>
        <v>35222944.679985628</v>
      </c>
      <c r="C24" s="292">
        <f>('LEAP Scenario'!L36+'LEAP Scenario'!L37+'LEAP Scenario'!L38+'LEAP Scenario'!L40+'LEAP Scenario'!AB37+'LEAP Scenario'!AB38+'LEAP Scenario'!AB39+'LEAP Scenario'!AB41) *1000</f>
        <v>28847750.276699614</v>
      </c>
      <c r="D24" s="292">
        <f>('LEAP Scenario'!N36+'LEAP Scenario'!N37+'LEAP Scenario'!N38+'LEAP Scenario'!N40+'LEAP Scenario'!AD37+'LEAP Scenario'!AD38+'LEAP Scenario'!AD39+'LEAP Scenario'!AD41) *1000</f>
        <v>13641715.590990108</v>
      </c>
      <c r="E24" s="293">
        <f>('LEAP Scenario'!P36+'LEAP Scenario'!P37+'LEAP Scenario'!P38+'LEAP Scenario'!P40+'LEAP Scenario'!AF37+'LEAP Scenario'!AF38+'LEAP Scenario'!AF39+'LEAP Scenario'!AF41) *1000</f>
        <v>1823405.9753042641</v>
      </c>
      <c r="G24" s="242" t="s">
        <v>231</v>
      </c>
      <c r="H24" s="242"/>
      <c r="I24" s="242"/>
      <c r="J24" s="242"/>
      <c r="K24" s="242"/>
      <c r="L24" s="242"/>
      <c r="M24" s="242"/>
      <c r="N24" s="242"/>
    </row>
    <row r="25" spans="1:15" ht="54.75" customHeight="1" x14ac:dyDescent="0.3">
      <c r="B25" s="117">
        <f>('LEAP Scenario'!K38+'LEAP Scenario'!K40+'LEAP Scenario'!AA39+'LEAP Scenario'!AA41)*1000/'2.Trans Targets'!B24</f>
        <v>6.3395547408269956E-2</v>
      </c>
      <c r="C25" s="113">
        <f>('LEAP Scenario'!L38+'LEAP Scenario'!L40+'LEAP Scenario'!AB39+'LEAP Scenario'!AB41)*1000/'2.Trans Targets'!C24</f>
        <v>7.8656457262234289E-2</v>
      </c>
      <c r="D25" s="113">
        <f>('LEAP Scenario'!N38+'LEAP Scenario'!N40+'LEAP Scenario'!AD39+'LEAP Scenario'!AD41)*1000/'2.Trans Targets'!D24</f>
        <v>9.5758113413471263E-2</v>
      </c>
      <c r="E25" s="264">
        <f>('LEAP Scenario'!P38+'LEAP Scenario'!P40+'LEAP Scenario'!AF39+'LEAP Scenario'!AF41)*1000/'2.Trans Targets'!E24</f>
        <v>0.1050148624735785</v>
      </c>
      <c r="G25" s="242" t="s">
        <v>188</v>
      </c>
      <c r="H25" s="242"/>
      <c r="I25" s="242"/>
      <c r="J25" s="242"/>
      <c r="K25" s="242"/>
      <c r="L25" s="242"/>
      <c r="M25" s="242"/>
      <c r="N25" s="242"/>
    </row>
    <row r="26" spans="1:15" ht="54.75" customHeight="1" x14ac:dyDescent="0.3">
      <c r="B26" s="110">
        <f>'1.Current Trans'!B19/'1.Current Trans'!B8</f>
        <v>67.027917613636347</v>
      </c>
      <c r="C26" s="111">
        <f>B26-(($B$26-$E$26)/3)</f>
        <v>57.316372159090896</v>
      </c>
      <c r="D26" s="111">
        <f>C26-(($B$26-$E$26)/3)</f>
        <v>47.604826704545445</v>
      </c>
      <c r="E26" s="294">
        <f>('1.Current Trans'!B8*'1.Current Trans'!B9/40)*'1.Current Trans'!B14/'1.Current Trans'!B8/1000000</f>
        <v>37.893281250000001</v>
      </c>
      <c r="G26" s="242" t="s">
        <v>189</v>
      </c>
      <c r="H26" s="242"/>
      <c r="I26" s="242"/>
      <c r="J26" s="242"/>
      <c r="K26" s="242"/>
      <c r="L26" s="242"/>
      <c r="M26" s="242"/>
      <c r="N26" s="242"/>
    </row>
    <row r="27" spans="1:15" x14ac:dyDescent="0.3">
      <c r="B27" s="58"/>
      <c r="C27" s="58"/>
      <c r="D27" s="58"/>
      <c r="E27" s="58"/>
    </row>
    <row r="28" spans="1:15" x14ac:dyDescent="0.3">
      <c r="B28" s="62"/>
      <c r="C28" s="62"/>
      <c r="D28" s="62"/>
      <c r="E28" s="62"/>
    </row>
  </sheetData>
  <mergeCells count="11">
    <mergeCell ref="B4:N6"/>
    <mergeCell ref="M11:O12"/>
    <mergeCell ref="G26:N26"/>
    <mergeCell ref="G25:N25"/>
    <mergeCell ref="G24:N24"/>
    <mergeCell ref="G23:N23"/>
    <mergeCell ref="G22:N22"/>
    <mergeCell ref="G20:N20"/>
    <mergeCell ref="G19:N19"/>
    <mergeCell ref="G18:N18"/>
    <mergeCell ref="G21:N21"/>
  </mergeCells>
  <pageMargins left="0.7" right="0.7" top="0.75" bottom="0.75" header="0.3" footer="0.3"/>
  <ignoredErrors>
    <ignoredError sqref="B22"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4:T47"/>
  <sheetViews>
    <sheetView topLeftCell="A3" zoomScale="70" zoomScaleNormal="70" workbookViewId="0">
      <selection activeCell="M45" sqref="M45"/>
    </sheetView>
  </sheetViews>
  <sheetFormatPr defaultRowHeight="14.4" x14ac:dyDescent="0.3"/>
  <cols>
    <col min="1" max="1" width="2.88671875" customWidth="1"/>
    <col min="3" max="6" width="15" customWidth="1"/>
    <col min="8" max="8" width="19.33203125" customWidth="1"/>
    <col min="9" max="12" width="15.44140625" customWidth="1"/>
    <col min="14" max="14" width="19.33203125" customWidth="1"/>
    <col min="15" max="18" width="13.88671875" customWidth="1"/>
  </cols>
  <sheetData>
    <row r="4" spans="2:20" ht="32.25" customHeight="1" x14ac:dyDescent="0.3">
      <c r="B4" s="169" t="s">
        <v>20</v>
      </c>
      <c r="C4" s="170"/>
      <c r="D4" s="170"/>
      <c r="E4" s="170"/>
      <c r="F4" s="171"/>
      <c r="H4" s="169" t="s">
        <v>21</v>
      </c>
      <c r="I4" s="170"/>
      <c r="J4" s="170"/>
      <c r="K4" s="170"/>
      <c r="L4" s="171"/>
      <c r="N4" s="169" t="s">
        <v>21</v>
      </c>
      <c r="O4" s="170"/>
      <c r="P4" s="170"/>
      <c r="Q4" s="170"/>
      <c r="R4" s="171"/>
    </row>
    <row r="5" spans="2:20" x14ac:dyDescent="0.3">
      <c r="B5" s="9" t="s">
        <v>0</v>
      </c>
      <c r="C5" s="10">
        <v>2015</v>
      </c>
      <c r="D5" s="10">
        <v>2025</v>
      </c>
      <c r="E5" s="10">
        <v>2035</v>
      </c>
      <c r="F5" s="11">
        <v>2050</v>
      </c>
      <c r="H5" s="9" t="s">
        <v>0</v>
      </c>
      <c r="I5" s="10">
        <v>2015</v>
      </c>
      <c r="J5" s="10">
        <v>2025</v>
      </c>
      <c r="K5" s="10">
        <v>2035</v>
      </c>
      <c r="L5" s="11">
        <v>2050</v>
      </c>
      <c r="N5" s="9" t="s">
        <v>0</v>
      </c>
      <c r="O5" s="10">
        <v>2015</v>
      </c>
      <c r="P5" s="10">
        <v>2025</v>
      </c>
      <c r="Q5" s="10">
        <v>2035</v>
      </c>
      <c r="R5" s="11">
        <v>2050</v>
      </c>
    </row>
    <row r="6" spans="2:20" x14ac:dyDescent="0.3">
      <c r="B6" s="1" t="s">
        <v>1</v>
      </c>
      <c r="C6" t="s">
        <v>2</v>
      </c>
      <c r="D6" t="s">
        <v>2</v>
      </c>
      <c r="E6" t="s">
        <v>2</v>
      </c>
      <c r="F6" s="2" t="s">
        <v>2</v>
      </c>
      <c r="H6" s="1" t="s">
        <v>1</v>
      </c>
      <c r="I6" s="3">
        <v>85000</v>
      </c>
      <c r="J6" s="3">
        <v>516000</v>
      </c>
      <c r="K6" s="3">
        <v>978000</v>
      </c>
      <c r="L6" s="4">
        <v>1818000</v>
      </c>
      <c r="M6" s="15"/>
      <c r="N6" s="1" t="s">
        <v>1</v>
      </c>
      <c r="O6" s="66">
        <f>I6-10000-9000+500000</f>
        <v>566000</v>
      </c>
      <c r="P6" s="66">
        <f>J6-10000-9000+500000</f>
        <v>997000</v>
      </c>
      <c r="Q6" s="66">
        <f>K6-10000-9000+500000</f>
        <v>1459000</v>
      </c>
      <c r="R6" s="67">
        <f>L6-10000-9000+500000</f>
        <v>2299000</v>
      </c>
      <c r="T6" t="s">
        <v>106</v>
      </c>
    </row>
    <row r="7" spans="2:20" x14ac:dyDescent="0.3">
      <c r="B7" s="1" t="s">
        <v>3</v>
      </c>
      <c r="C7">
        <v>7018000</v>
      </c>
      <c r="D7">
        <v>6497000</v>
      </c>
      <c r="E7">
        <v>6094000</v>
      </c>
      <c r="F7" s="2">
        <v>5610000</v>
      </c>
      <c r="H7" s="1" t="s">
        <v>3</v>
      </c>
      <c r="I7" s="3">
        <v>7040000</v>
      </c>
      <c r="J7" s="3">
        <v>6646000</v>
      </c>
      <c r="K7" s="3">
        <v>6248000</v>
      </c>
      <c r="L7" s="4">
        <v>6048000</v>
      </c>
      <c r="M7" s="15"/>
      <c r="N7" s="1" t="s">
        <v>3</v>
      </c>
      <c r="O7" s="3">
        <f>I7-500000</f>
        <v>6540000</v>
      </c>
      <c r="P7" s="3">
        <f>J7-500000</f>
        <v>6146000</v>
      </c>
      <c r="Q7" s="3">
        <f>K7-500000</f>
        <v>5748000</v>
      </c>
      <c r="R7" s="4">
        <f>L7-500000</f>
        <v>5548000</v>
      </c>
      <c r="T7" t="s">
        <v>107</v>
      </c>
    </row>
    <row r="8" spans="2:20" x14ac:dyDescent="0.3">
      <c r="B8" s="1" t="s">
        <v>4</v>
      </c>
      <c r="C8">
        <v>1193000</v>
      </c>
      <c r="D8">
        <v>966000</v>
      </c>
      <c r="E8">
        <v>646000</v>
      </c>
      <c r="F8" s="2">
        <v>250000</v>
      </c>
      <c r="H8" s="1" t="s">
        <v>4</v>
      </c>
      <c r="I8" s="3">
        <v>1204000</v>
      </c>
      <c r="J8" s="3">
        <v>1004000</v>
      </c>
      <c r="K8" s="3">
        <v>573000</v>
      </c>
      <c r="L8" s="4">
        <v>174000</v>
      </c>
      <c r="M8" s="15"/>
      <c r="N8" s="1" t="s">
        <v>4</v>
      </c>
      <c r="O8" s="3">
        <f>I8</f>
        <v>1204000</v>
      </c>
      <c r="P8" s="3">
        <f>J8</f>
        <v>1004000</v>
      </c>
      <c r="Q8" s="3">
        <f>K8</f>
        <v>573000</v>
      </c>
      <c r="R8" s="4">
        <f>L8</f>
        <v>174000</v>
      </c>
    </row>
    <row r="9" spans="2:20" x14ac:dyDescent="0.3">
      <c r="B9" s="1" t="s">
        <v>5</v>
      </c>
      <c r="C9">
        <v>111000</v>
      </c>
      <c r="D9">
        <v>633000</v>
      </c>
      <c r="E9">
        <v>1224000</v>
      </c>
      <c r="F9" s="2">
        <v>1689000</v>
      </c>
      <c r="H9" s="1" t="s">
        <v>5</v>
      </c>
      <c r="I9" s="3">
        <v>191000</v>
      </c>
      <c r="J9" s="3">
        <v>1088000</v>
      </c>
      <c r="K9" s="3">
        <v>2180000</v>
      </c>
      <c r="L9" s="4">
        <v>3029000</v>
      </c>
      <c r="M9" s="15"/>
      <c r="N9" s="1" t="s">
        <v>5</v>
      </c>
      <c r="O9" s="66">
        <f>I9-100000-40000</f>
        <v>51000</v>
      </c>
      <c r="P9" s="66">
        <f>J9-100000-40000</f>
        <v>948000</v>
      </c>
      <c r="Q9" s="66">
        <f>K9-100000-40000</f>
        <v>2040000</v>
      </c>
      <c r="R9" s="67">
        <f>L9-100000-40000</f>
        <v>2889000</v>
      </c>
      <c r="T9" t="s">
        <v>84</v>
      </c>
    </row>
    <row r="10" spans="2:20" x14ac:dyDescent="0.3">
      <c r="B10" s="1" t="s">
        <v>6</v>
      </c>
      <c r="C10">
        <v>13000</v>
      </c>
      <c r="D10">
        <v>96000</v>
      </c>
      <c r="E10">
        <v>334000</v>
      </c>
      <c r="F10" s="2">
        <v>697000</v>
      </c>
      <c r="H10" s="1" t="s">
        <v>6</v>
      </c>
      <c r="I10" s="3">
        <v>53000</v>
      </c>
      <c r="J10" s="3">
        <v>334000</v>
      </c>
      <c r="K10" s="3">
        <v>757000</v>
      </c>
      <c r="L10" s="4">
        <v>1256000</v>
      </c>
      <c r="M10" s="15"/>
      <c r="N10" s="1" t="s">
        <v>6</v>
      </c>
      <c r="O10" s="3">
        <f t="shared" ref="O10:R12" si="0">I10</f>
        <v>53000</v>
      </c>
      <c r="P10" s="3">
        <f t="shared" si="0"/>
        <v>334000</v>
      </c>
      <c r="Q10" s="3">
        <f t="shared" si="0"/>
        <v>757000</v>
      </c>
      <c r="R10" s="4">
        <f t="shared" si="0"/>
        <v>1256000</v>
      </c>
    </row>
    <row r="11" spans="2:20" x14ac:dyDescent="0.3">
      <c r="B11" s="1" t="s">
        <v>7</v>
      </c>
      <c r="C11">
        <v>1002000</v>
      </c>
      <c r="D11">
        <v>808000</v>
      </c>
      <c r="E11">
        <v>613000</v>
      </c>
      <c r="F11" s="2">
        <v>287000</v>
      </c>
      <c r="H11" s="1" t="s">
        <v>7</v>
      </c>
      <c r="I11" s="3">
        <v>981000</v>
      </c>
      <c r="J11" s="3">
        <v>699000</v>
      </c>
      <c r="K11" s="3">
        <v>426000</v>
      </c>
      <c r="L11" s="4">
        <v>0</v>
      </c>
      <c r="M11" s="15"/>
      <c r="N11" s="1" t="s">
        <v>7</v>
      </c>
      <c r="O11" s="3">
        <f t="shared" si="0"/>
        <v>981000</v>
      </c>
      <c r="P11" s="3">
        <f t="shared" si="0"/>
        <v>699000</v>
      </c>
      <c r="Q11" s="3">
        <f t="shared" si="0"/>
        <v>426000</v>
      </c>
      <c r="R11" s="4">
        <f t="shared" si="0"/>
        <v>0</v>
      </c>
    </row>
    <row r="12" spans="2:20" x14ac:dyDescent="0.3">
      <c r="B12" s="1" t="s">
        <v>8</v>
      </c>
      <c r="C12">
        <v>5403000</v>
      </c>
      <c r="D12">
        <v>4364000</v>
      </c>
      <c r="E12">
        <v>3266000</v>
      </c>
      <c r="F12" s="2">
        <v>1234000</v>
      </c>
      <c r="H12" s="1" t="s">
        <v>8</v>
      </c>
      <c r="I12" s="3">
        <v>5338000</v>
      </c>
      <c r="J12" s="3">
        <v>4105000</v>
      </c>
      <c r="K12" s="3">
        <v>2899000</v>
      </c>
      <c r="L12" s="4">
        <v>1025000</v>
      </c>
      <c r="M12" s="15"/>
      <c r="N12" s="1" t="s">
        <v>8</v>
      </c>
      <c r="O12" s="3">
        <f t="shared" si="0"/>
        <v>5338000</v>
      </c>
      <c r="P12" s="3">
        <f t="shared" si="0"/>
        <v>4105000</v>
      </c>
      <c r="Q12" s="3">
        <f t="shared" si="0"/>
        <v>2899000</v>
      </c>
      <c r="R12" s="4">
        <f t="shared" si="0"/>
        <v>1025000</v>
      </c>
    </row>
    <row r="13" spans="2:20" x14ac:dyDescent="0.3">
      <c r="B13" s="1" t="s">
        <v>9</v>
      </c>
      <c r="C13">
        <v>4688000</v>
      </c>
      <c r="D13">
        <v>6084000</v>
      </c>
      <c r="E13">
        <v>7847000</v>
      </c>
      <c r="F13" s="2">
        <v>11613000</v>
      </c>
      <c r="H13" s="1" t="s">
        <v>9</v>
      </c>
      <c r="I13" s="3">
        <v>4295000</v>
      </c>
      <c r="J13" s="3">
        <v>3514000</v>
      </c>
      <c r="K13" s="3">
        <v>1942000</v>
      </c>
      <c r="L13" s="4">
        <v>279000</v>
      </c>
      <c r="N13" s="1" t="s">
        <v>9</v>
      </c>
      <c r="O13" s="66">
        <f>I13-100000</f>
        <v>4195000</v>
      </c>
      <c r="P13" s="66">
        <f>J13-100000</f>
        <v>3414000</v>
      </c>
      <c r="Q13" s="66">
        <f>K13-100000</f>
        <v>1842000</v>
      </c>
      <c r="R13" s="67">
        <f>L13-100000</f>
        <v>179000</v>
      </c>
      <c r="T13" t="s">
        <v>85</v>
      </c>
    </row>
    <row r="14" spans="2:20" x14ac:dyDescent="0.3">
      <c r="B14" s="1" t="s">
        <v>10</v>
      </c>
      <c r="C14">
        <v>10203000</v>
      </c>
      <c r="D14">
        <v>8103000</v>
      </c>
      <c r="E14">
        <v>5387000</v>
      </c>
      <c r="F14" s="2">
        <v>1592000</v>
      </c>
      <c r="H14" s="1" t="s">
        <v>10</v>
      </c>
      <c r="I14" s="3">
        <v>9989000</v>
      </c>
      <c r="J14" s="3">
        <v>7181000</v>
      </c>
      <c r="K14" s="3">
        <v>4447000</v>
      </c>
      <c r="L14" s="4">
        <v>0</v>
      </c>
      <c r="N14" s="1" t="s">
        <v>10</v>
      </c>
      <c r="O14" s="3">
        <f>I14</f>
        <v>9989000</v>
      </c>
      <c r="P14" s="3">
        <f>J14</f>
        <v>7181000</v>
      </c>
      <c r="Q14" s="3">
        <f>K14</f>
        <v>4447000</v>
      </c>
      <c r="R14" s="4">
        <f>L14</f>
        <v>0</v>
      </c>
    </row>
    <row r="15" spans="2:20" x14ac:dyDescent="0.3">
      <c r="B15" s="1" t="s">
        <v>11</v>
      </c>
      <c r="C15">
        <v>677000</v>
      </c>
      <c r="D15">
        <v>881000</v>
      </c>
      <c r="E15">
        <v>1068000</v>
      </c>
      <c r="F15" s="2">
        <v>1342000</v>
      </c>
      <c r="H15" s="1" t="s">
        <v>11</v>
      </c>
      <c r="I15" s="3">
        <v>784000</v>
      </c>
      <c r="J15" s="3">
        <v>1425000</v>
      </c>
      <c r="K15" s="3">
        <v>1892000</v>
      </c>
      <c r="L15" s="4">
        <v>2269000</v>
      </c>
      <c r="N15" s="1" t="s">
        <v>11</v>
      </c>
      <c r="O15" s="66">
        <f>I15-90000</f>
        <v>694000</v>
      </c>
      <c r="P15" s="66">
        <f>J15-90000</f>
        <v>1335000</v>
      </c>
      <c r="Q15" s="66">
        <f>K15-90000</f>
        <v>1802000</v>
      </c>
      <c r="R15" s="67">
        <f>L15-90000</f>
        <v>2179000</v>
      </c>
      <c r="T15" t="s">
        <v>88</v>
      </c>
    </row>
    <row r="16" spans="2:20" x14ac:dyDescent="0.3">
      <c r="B16" s="6" t="s">
        <v>12</v>
      </c>
      <c r="C16" s="7">
        <f>SUM(C6:C15)</f>
        <v>30308000</v>
      </c>
      <c r="D16" s="7">
        <f>SUM(D6:D15)</f>
        <v>28432000</v>
      </c>
      <c r="E16" s="7">
        <f>SUM(E6:E15)</f>
        <v>26479000</v>
      </c>
      <c r="F16" s="8">
        <f>SUM(F6:F15)</f>
        <v>24314000</v>
      </c>
      <c r="H16" s="6" t="s">
        <v>12</v>
      </c>
      <c r="I16" s="7">
        <f>SUM(I6:I15)</f>
        <v>29960000</v>
      </c>
      <c r="J16" s="7">
        <f>SUM(J6:J15)</f>
        <v>26512000</v>
      </c>
      <c r="K16" s="7">
        <f>SUM(K6:K15)</f>
        <v>22342000</v>
      </c>
      <c r="L16" s="8">
        <f>SUM(L6:L15)</f>
        <v>15898000</v>
      </c>
      <c r="N16" s="6" t="s">
        <v>12</v>
      </c>
      <c r="O16" s="7">
        <f>SUM(O6:O15)</f>
        <v>29611000</v>
      </c>
      <c r="P16" s="7">
        <f>SUM(P6:P15)</f>
        <v>26163000</v>
      </c>
      <c r="Q16" s="7">
        <f>SUM(Q6:Q15)</f>
        <v>21993000</v>
      </c>
      <c r="R16" s="8">
        <f>SUM(R6:R15)</f>
        <v>15549000</v>
      </c>
    </row>
    <row r="18" spans="8:20" ht="18" x14ac:dyDescent="0.35">
      <c r="H18" s="36" t="s">
        <v>70</v>
      </c>
      <c r="J18" s="3"/>
      <c r="K18" s="3"/>
      <c r="L18" s="3"/>
      <c r="N18" s="36" t="s">
        <v>69</v>
      </c>
    </row>
    <row r="19" spans="8:20" x14ac:dyDescent="0.3">
      <c r="I19" s="3"/>
      <c r="J19" s="3"/>
      <c r="K19" s="3"/>
      <c r="L19" s="20"/>
      <c r="O19" s="17"/>
    </row>
    <row r="20" spans="8:20" x14ac:dyDescent="0.3">
      <c r="I20" s="59">
        <f>'2.Heat Targets'!B23</f>
        <v>2015</v>
      </c>
      <c r="J20" s="60">
        <f>'2.Heat Targets'!C23</f>
        <v>2025</v>
      </c>
      <c r="K20" s="60">
        <f>'2.Heat Targets'!D23</f>
        <v>2035</v>
      </c>
      <c r="L20" s="61">
        <f>'2.Heat Targets'!E23</f>
        <v>2050</v>
      </c>
      <c r="O20" s="59">
        <v>2015</v>
      </c>
      <c r="P20" s="60">
        <v>2025</v>
      </c>
      <c r="Q20" s="60">
        <v>2035</v>
      </c>
      <c r="R20" s="61">
        <v>2050</v>
      </c>
    </row>
    <row r="21" spans="8:20" x14ac:dyDescent="0.3">
      <c r="I21" s="44">
        <f>'2.Heat Targets'!B24</f>
        <v>29443419.056880511</v>
      </c>
      <c r="J21" s="45">
        <f>'2.Heat Targets'!C24</f>
        <v>26964931.993730143</v>
      </c>
      <c r="K21" s="45">
        <f>'2.Heat Targets'!D24</f>
        <v>23226683.305165585</v>
      </c>
      <c r="L21" s="46">
        <f>'2.Heat Targets'!E24</f>
        <v>22414605.716073096</v>
      </c>
      <c r="O21" s="44">
        <f>C16</f>
        <v>30308000</v>
      </c>
      <c r="P21" s="45">
        <f>D16</f>
        <v>28432000</v>
      </c>
      <c r="Q21" s="45">
        <f>E16</f>
        <v>26479000</v>
      </c>
      <c r="R21" s="46">
        <f>F16</f>
        <v>24314000</v>
      </c>
      <c r="T21" t="str">
        <f>'2.Heat Targets'!G24</f>
        <v>Total heat energy consumed by Residential buildings in the Business-As-Usual Scenario, in millions of Btu (taken from Table 1)</v>
      </c>
    </row>
    <row r="22" spans="8:20" x14ac:dyDescent="0.3">
      <c r="I22" s="44">
        <f>'2.Heat Targets'!B25</f>
        <v>36717.999952088947</v>
      </c>
      <c r="J22" s="45">
        <f>'2.Heat Targets'!C25</f>
        <v>909145.29735778365</v>
      </c>
      <c r="K22" s="45">
        <f>'2.Heat Targets'!D25</f>
        <v>1967200.6767232809</v>
      </c>
      <c r="L22" s="46">
        <f>'2.Heat Targets'!E25</f>
        <v>2226567.1807201933</v>
      </c>
      <c r="O22" s="44">
        <f>(C9+C10)*(2.4-1)</f>
        <v>173600</v>
      </c>
      <c r="P22" s="45">
        <f>(D9+D10)*(2.6-1)</f>
        <v>1166400</v>
      </c>
      <c r="Q22" s="45">
        <f>(E9+E10)*(2.8-1)</f>
        <v>2804399.9999999995</v>
      </c>
      <c r="R22" s="46">
        <f>(F9+F10)*(3-1)</f>
        <v>4772000</v>
      </c>
      <c r="T22" t="str">
        <f>'2.Heat Targets'!G25</f>
        <v>This is an adjustment that must be made to account for the superior efficiency of heat pump technology compared to combustion based heating technology. It assumes moderate increases in equipment efficiency</v>
      </c>
    </row>
    <row r="23" spans="8:20" x14ac:dyDescent="0.3">
      <c r="I23" s="44">
        <f>'2.Heat Targets'!B26</f>
        <v>29443419.056880511</v>
      </c>
      <c r="J23" s="45">
        <f>'2.Heat Targets'!C26</f>
        <v>23627515.693266951</v>
      </c>
      <c r="K23" s="45">
        <f>'2.Heat Targets'!D26</f>
        <v>14947357.790484121</v>
      </c>
      <c r="L23" s="46">
        <f>'2.Heat Targets'!E26</f>
        <v>10123743.148261428</v>
      </c>
      <c r="O23" s="44">
        <f>O16</f>
        <v>29611000</v>
      </c>
      <c r="P23" s="45">
        <f>P16</f>
        <v>26163000</v>
      </c>
      <c r="Q23" s="45">
        <f>Q16</f>
        <v>21993000</v>
      </c>
      <c r="R23" s="46">
        <f>R16</f>
        <v>15549000</v>
      </c>
      <c r="T23" t="str">
        <f>'2.Heat Targets'!G26</f>
        <v>Total heat energy consumed by Residential buildings in CAP Central Mitigation Scenario, in millions of Btu (taken from Table 2)</v>
      </c>
    </row>
    <row r="24" spans="8:20" x14ac:dyDescent="0.3">
      <c r="I24" s="44">
        <f>'2.Heat Targets'!B27</f>
        <v>36717.999952088947</v>
      </c>
      <c r="J24" s="45">
        <f>'2.Heat Targets'!C27</f>
        <v>2003521.7848810318</v>
      </c>
      <c r="K24" s="45">
        <f>'2.Heat Targets'!D27</f>
        <v>5000844.235229454</v>
      </c>
      <c r="L24" s="46">
        <f>'2.Heat Targets'!E27</f>
        <v>6997331.502940204</v>
      </c>
      <c r="O24" s="44">
        <f>(O9+O10)*(2.4-1)</f>
        <v>145600</v>
      </c>
      <c r="P24" s="45">
        <f>(P9+P10)*(2.6-1)</f>
        <v>2051200</v>
      </c>
      <c r="Q24" s="45">
        <f>(Q9+Q10)*(2.8-1)</f>
        <v>5034599.9999999991</v>
      </c>
      <c r="R24" s="46">
        <f>(R9+R10)*(3-1)</f>
        <v>8290000</v>
      </c>
      <c r="T24" t="str">
        <f>'2.Heat Targets'!G27</f>
        <v>This is an adjustment that must be made to account for the superior efficiency of heat pump technology compared to combustion based heating technology. It assumes moderate increases in equipment efficiency</v>
      </c>
    </row>
    <row r="25" spans="8:20" x14ac:dyDescent="0.3">
      <c r="I25" s="44">
        <f>'2.Heat Targets'!B28</f>
        <v>9.4587448984384537E-11</v>
      </c>
      <c r="J25" s="45">
        <f>'2.Heat Targets'!C28</f>
        <v>2243039.8129399428</v>
      </c>
      <c r="K25" s="45">
        <f>'2.Heat Targets'!D28</f>
        <v>5245681.9561752928</v>
      </c>
      <c r="L25" s="46">
        <f>'2.Heat Targets'!E28</f>
        <v>7520098.2455916591</v>
      </c>
      <c r="O25" s="44">
        <f>O21+O22-O23-O24</f>
        <v>725000</v>
      </c>
      <c r="P25" s="45">
        <f>P21+P22-P23-P24</f>
        <v>1384200</v>
      </c>
      <c r="Q25" s="45">
        <f>Q21+Q22-Q23-Q24</f>
        <v>2255800.0000000009</v>
      </c>
      <c r="R25" s="46">
        <f>R21+R22-R23-R24</f>
        <v>5247000</v>
      </c>
      <c r="T25" t="str">
        <f>'2.Heat Targets'!G28</f>
        <v>Total heat energy saved in the CAP Central Mitigation Scenario through weatherization or other thermal efficiency improviements of Residential buildings, in millions of Btu</v>
      </c>
    </row>
    <row r="26" spans="8:20" x14ac:dyDescent="0.3">
      <c r="I26" s="205">
        <f>'2.Heat Targets'!B29</f>
        <v>27.5</v>
      </c>
      <c r="J26" s="206">
        <f>'2.Heat Targets'!C29</f>
        <v>0</v>
      </c>
      <c r="K26" s="206">
        <f>'2.Heat Targets'!D29</f>
        <v>0</v>
      </c>
      <c r="L26" s="207">
        <f>'2.Heat Targets'!E29</f>
        <v>0</v>
      </c>
      <c r="O26" s="205">
        <f>I26</f>
        <v>27.5</v>
      </c>
      <c r="P26" s="206"/>
      <c r="Q26" s="206"/>
      <c r="R26" s="207"/>
      <c r="T26" t="str">
        <f>'2.Heat Targets'!G29</f>
        <v xml:space="preserve">Enter an estimate of the typical amount of heat energy that will be saved through future Residential weatherization or thermal efficiency investments, in millions of Btu. Historically, savings of 20 to 30 per cent are typical.   </v>
      </c>
    </row>
    <row r="27" spans="8:20" x14ac:dyDescent="0.3">
      <c r="I27" s="44">
        <f>'2.Heat Targets'!B30</f>
        <v>3.4395435994321649E-12</v>
      </c>
      <c r="J27" s="45">
        <f>'2.Heat Targets'!C30</f>
        <v>25555</v>
      </c>
      <c r="K27" s="45">
        <f>'2.Heat Targets'!D30</f>
        <v>49337</v>
      </c>
      <c r="L27" s="46">
        <f>'2.Heat Targets'!E30</f>
        <v>86697</v>
      </c>
      <c r="O27" s="44">
        <f>O25/$O$26</f>
        <v>26363.636363636364</v>
      </c>
      <c r="P27" s="45">
        <f>P25/$O$26</f>
        <v>50334.545454545456</v>
      </c>
      <c r="Q27" s="45">
        <f>Q25/$O$26</f>
        <v>82029.090909090941</v>
      </c>
      <c r="R27" s="46">
        <f>R25/$O$26</f>
        <v>190800</v>
      </c>
      <c r="T27" t="str">
        <f>'2.Heat Targets'!G30</f>
        <v>This formula  shows the number of residential retrofits (weatherizations) expected in the Business-As-Usual Scenario based on assumptions in the LEAP Vermont Pathways Model (table 3)</v>
      </c>
    </row>
    <row r="28" spans="8:20" x14ac:dyDescent="0.3">
      <c r="I28" s="69">
        <f>'2.Heat Targets'!B32</f>
        <v>262500</v>
      </c>
      <c r="J28" s="68">
        <f>'2.Heat Targets'!C32</f>
        <v>267000</v>
      </c>
      <c r="K28" s="68">
        <f>'2.Heat Targets'!D32</f>
        <v>277000</v>
      </c>
      <c r="L28" s="70">
        <f>'2.Heat Targets'!E32</f>
        <v>290000</v>
      </c>
      <c r="O28" s="69">
        <f>'2.Heat Targets'!B32</f>
        <v>262500</v>
      </c>
      <c r="P28" s="68">
        <f>'2.Heat Targets'!C32</f>
        <v>267000</v>
      </c>
      <c r="Q28" s="68">
        <f>'2.Heat Targets'!D32</f>
        <v>277000</v>
      </c>
      <c r="R28" s="70">
        <f>'2.Heat Targets'!E32</f>
        <v>290000</v>
      </c>
      <c r="T28" t="str">
        <f>'2.Heat Targets'!G32</f>
        <v>Enter a projection of the number of future residences in the area by each year. Note, estimate for 2015 pulled in automatically from the "Current Heat" tab, estimates for 2025, 2035, and 2050 will need to be manually added.</v>
      </c>
    </row>
    <row r="29" spans="8:20" x14ac:dyDescent="0.3">
      <c r="I29" s="71">
        <f>'2.Heat Targets'!B34</f>
        <v>0</v>
      </c>
      <c r="J29" s="72">
        <f>'2.Heat Targets'!C34</f>
        <v>0.26082056520258767</v>
      </c>
      <c r="K29" s="72">
        <f>'2.Heat Targets'!D34</f>
        <v>0.54333483754512635</v>
      </c>
      <c r="L29" s="73">
        <f>'2.Heat Targets'!E34</f>
        <v>0.83960344827586209</v>
      </c>
      <c r="O29" s="83">
        <f>O27/O28</f>
        <v>0.10043290043290043</v>
      </c>
      <c r="P29" s="84">
        <f>P27/P28</f>
        <v>0.18851889683350359</v>
      </c>
      <c r="Q29" s="84">
        <f>Q27/Q28</f>
        <v>0.29613390219888425</v>
      </c>
      <c r="R29" s="85">
        <f>R27/R28</f>
        <v>0.65793103448275858</v>
      </c>
      <c r="T29" t="str">
        <f>'2.Heat Targets'!G34</f>
        <v xml:space="preserve">This formula computes the estimated percentage of area residences weatherized by each yearin the CAP Central Mitigation Scenario based on the values inputed above and on the "1.Current Heat" tab.  If Planners would like to increase the percentage of weatherized residences, adjustments can be made to Table 2 and Table 3 using the exchange rates above. See the "Exchange Example" tab for an example of how to make such adjustments. </v>
      </c>
    </row>
    <row r="31" spans="8:20" ht="18" x14ac:dyDescent="0.35">
      <c r="H31" s="36" t="s">
        <v>86</v>
      </c>
      <c r="N31" s="36" t="s">
        <v>87</v>
      </c>
    </row>
    <row r="33" spans="9:20" x14ac:dyDescent="0.3">
      <c r="I33" s="59">
        <f>'2.Heat Targets'!B55</f>
        <v>2015</v>
      </c>
      <c r="J33" s="60">
        <f>'2.Heat Targets'!C55</f>
        <v>2025</v>
      </c>
      <c r="K33" s="60">
        <f>'2.Heat Targets'!D55</f>
        <v>2035</v>
      </c>
      <c r="L33" s="61">
        <f>'2.Heat Targets'!E55</f>
        <v>2050</v>
      </c>
      <c r="O33" s="59">
        <v>2015</v>
      </c>
      <c r="P33" s="60">
        <v>2025</v>
      </c>
      <c r="Q33" s="60">
        <v>2035</v>
      </c>
      <c r="R33" s="61">
        <v>2050</v>
      </c>
    </row>
    <row r="34" spans="9:20" x14ac:dyDescent="0.3">
      <c r="I34" s="75">
        <f>'2.Heat Targets'!B56</f>
        <v>110</v>
      </c>
      <c r="J34" s="76">
        <f>'2.Heat Targets'!C56</f>
        <v>102.82743445692884</v>
      </c>
      <c r="K34" s="76">
        <f>'2.Heat Targets'!D56</f>
        <v>95.058291967509021</v>
      </c>
      <c r="L34" s="77">
        <f>'2.Heat Targets'!E56</f>
        <v>86.910905172413806</v>
      </c>
      <c r="O34" s="86">
        <f>'1.Current Heat'!B9</f>
        <v>110</v>
      </c>
      <c r="P34" s="87">
        <f>P29*($O$34-$O$26)+(1-P29)*$O$34</f>
        <v>104.81573033707863</v>
      </c>
      <c r="Q34" s="87">
        <f>Q29*($O$34-$O$26)+(1-Q29)*$O$34</f>
        <v>101.85631768953068</v>
      </c>
      <c r="R34" s="89">
        <f>R29*($O$34-$O$26)+(1-R29)*$O$34</f>
        <v>91.906896551724145</v>
      </c>
      <c r="T34" t="str">
        <f>'2.Heat Targets'!G56</f>
        <v>This is a projection of the average area residential heating load, in millions of Btu, computed based on values inputted above and in the "1.Current Heat" tab</v>
      </c>
    </row>
    <row r="35" spans="9:20" x14ac:dyDescent="0.3">
      <c r="I35" s="63">
        <f>'2.Heat Targets'!B57</f>
        <v>10233901.671403401</v>
      </c>
      <c r="J35" s="64">
        <f>'2.Heat Targets'!C57</f>
        <v>7883567.3583138427</v>
      </c>
      <c r="K35" s="64">
        <f>'2.Heat Targets'!D57</f>
        <v>3813931.8844388286</v>
      </c>
      <c r="L35" s="65">
        <f>'2.Heat Targets'!E57</f>
        <v>1582589.8037472886</v>
      </c>
      <c r="O35" s="63">
        <f>O6+O11+O14</f>
        <v>11536000</v>
      </c>
      <c r="P35" s="63">
        <f>P6+P11+P14</f>
        <v>8877000</v>
      </c>
      <c r="Q35" s="63">
        <f>Q6+Q11+Q14</f>
        <v>6332000</v>
      </c>
      <c r="R35" s="81">
        <f>R6+R11+R14</f>
        <v>2299000</v>
      </c>
      <c r="T35" t="str">
        <f>'2.Heat Targets'!G57</f>
        <v>Total biofuel-blended (biodiesel &amp; heating oil) heat energy consumed by Residences in CAP Central Mitigation Scenario, in millions of Btu (table 2).</v>
      </c>
    </row>
    <row r="36" spans="9:20" x14ac:dyDescent="0.3">
      <c r="I36" s="78">
        <f>'2.Heat Targets'!B58</f>
        <v>0</v>
      </c>
      <c r="J36" s="79">
        <f>'2.Heat Targets'!C58</f>
        <v>5.7981347029638142E-2</v>
      </c>
      <c r="K36" s="79">
        <f>'2.Heat Targets'!D58</f>
        <v>0.67009258645903924</v>
      </c>
      <c r="L36" s="80">
        <f>'2.Heat Targets'!E58</f>
        <v>1</v>
      </c>
      <c r="O36" s="78">
        <f>O6/O35</f>
        <v>4.9063800277392509E-2</v>
      </c>
      <c r="P36" s="78">
        <f>P6/P35</f>
        <v>0.11231271826067366</v>
      </c>
      <c r="Q36" s="78">
        <f>Q6/Q35</f>
        <v>0.23041692987997472</v>
      </c>
      <c r="R36" s="90">
        <f>R6/R35</f>
        <v>1</v>
      </c>
      <c r="T36" t="str">
        <f>'2.Heat Targets'!G58</f>
        <v>This formula computes the biofuel share of biofuel-blended heat consumed by Residences in the CAP Central Mitigation Scenario, illustrating that in the Central Mitigation Scenario building heating oil reaches 100 % biodiesel (B100) by 2040.</v>
      </c>
    </row>
    <row r="37" spans="9:20" x14ac:dyDescent="0.3">
      <c r="I37" s="44">
        <f>'2.Heat Targets'!B59</f>
        <v>93035.469740030909</v>
      </c>
      <c r="J37" s="45">
        <f>'2.Heat Targets'!C59</f>
        <v>76667.937889824723</v>
      </c>
      <c r="K37" s="45">
        <f>'2.Heat Targets'!D59</f>
        <v>40122.032549695221</v>
      </c>
      <c r="L37" s="46">
        <f>'2.Heat Targets'!E59</f>
        <v>18209.335187658533</v>
      </c>
      <c r="O37" s="44">
        <f>O35/O34</f>
        <v>104872.72727272728</v>
      </c>
      <c r="P37" s="44">
        <f>P35/P34</f>
        <v>84691.486396672612</v>
      </c>
      <c r="Q37" s="44">
        <f>Q35/Q34</f>
        <v>62166.001516966637</v>
      </c>
      <c r="R37" s="91">
        <f>R35/R34</f>
        <v>25014.444903012791</v>
      </c>
      <c r="T37" t="str">
        <f>'2.Heat Targets'!G59</f>
        <v>This formula computes an estimate the number of residences using biofuel-blended heat energy in the CAP Central Mitigation Scenarion based on values inputted in the "1.Current Heat" tab.</v>
      </c>
    </row>
    <row r="38" spans="9:20" x14ac:dyDescent="0.3">
      <c r="I38" s="47">
        <f>'2.Heat Targets'!B60</f>
        <v>0.35442083710487965</v>
      </c>
      <c r="J38" s="48">
        <f>'2.Heat Targets'!C60</f>
        <v>0.28714583479335104</v>
      </c>
      <c r="K38" s="48">
        <f>'2.Heat Targets'!D60</f>
        <v>0.14484488285088529</v>
      </c>
      <c r="L38" s="49">
        <f>'2.Heat Targets'!E60</f>
        <v>6.2790810991925974E-2</v>
      </c>
      <c r="O38" s="88">
        <f>O37/O28</f>
        <v>0.39951515151515155</v>
      </c>
      <c r="P38" s="88">
        <f>P37/P28</f>
        <v>0.31719657826469144</v>
      </c>
      <c r="Q38" s="88">
        <f>Q37/Q28</f>
        <v>0.22442599825619725</v>
      </c>
      <c r="R38" s="92">
        <f>R37/R28</f>
        <v>8.6256706562113067E-2</v>
      </c>
      <c r="T38" t="str">
        <f>'2.Heat Targets'!G60</f>
        <v xml:space="preserve">This formula computes the estimated share of area residences using biofuel blends in the CAP Central Mitigation Scenario based on values inputted above and in the "1.Current Heat" tab. If Planners find that this percentage is too high or low for the area, adjustments can be made to Table 2 using the exchange rates above. See the "Heat Exchange" tab for an example of how to make such adjustments. </v>
      </c>
    </row>
    <row r="39" spans="9:20" x14ac:dyDescent="0.3">
      <c r="I39" s="63">
        <f>'2.Heat Targets'!B61</f>
        <v>10195377.419994574</v>
      </c>
      <c r="J39" s="64">
        <f>'2.Heat Targets'!C61</f>
        <v>7191364.3701465912</v>
      </c>
      <c r="K39" s="64">
        <f>'2.Heat Targets'!D61</f>
        <v>4035910.0432401183</v>
      </c>
      <c r="L39" s="65">
        <f>'2.Heat Targets'!E61</f>
        <v>2002855.5403542039</v>
      </c>
      <c r="O39" s="63">
        <f>O7+O15</f>
        <v>7234000</v>
      </c>
      <c r="P39" s="63">
        <f>P7+P15</f>
        <v>7481000</v>
      </c>
      <c r="Q39" s="63">
        <f>Q7+Q15</f>
        <v>7550000</v>
      </c>
      <c r="R39" s="81">
        <f>R7+R15</f>
        <v>7727000</v>
      </c>
      <c r="T39" t="str">
        <f>'2.Heat Targets'!G61</f>
        <v>Total wood heat (cord wood + wood pellets) energy consumed by area residences in CAP Central Mitigation Scenario, in millions of Btu (taken from Table 2)</v>
      </c>
    </row>
    <row r="40" spans="9:20" x14ac:dyDescent="0.3">
      <c r="I40" s="44">
        <f>'2.Heat Targets'!B62</f>
        <v>92685.249272677946</v>
      </c>
      <c r="J40" s="45">
        <f>'2.Heat Targets'!C62</f>
        <v>69936.242289102593</v>
      </c>
      <c r="K40" s="45">
        <f>'2.Heat Targets'!D62</f>
        <v>42457.211882363663</v>
      </c>
      <c r="L40" s="46">
        <f>'2.Heat Targets'!E62</f>
        <v>23044.927864701676</v>
      </c>
      <c r="O40" s="44">
        <f>O39/O34</f>
        <v>65763.636363636368</v>
      </c>
      <c r="P40" s="44">
        <f>P39/P34</f>
        <v>71372.874815084811</v>
      </c>
      <c r="Q40" s="44">
        <f>Q39/Q34</f>
        <v>74124.022655258697</v>
      </c>
      <c r="R40" s="91">
        <f>R39/R34</f>
        <v>84074.213034180008</v>
      </c>
      <c r="T40" t="str">
        <f>'2.Heat Targets'!G62</f>
        <v>This formula computes an estimate of the number of area residences using Wood heat energy in the CAP Central Mitigation Scenario based on values inputted above and in the "1.Current Heat" tab.</v>
      </c>
    </row>
    <row r="41" spans="9:20" x14ac:dyDescent="0.3">
      <c r="I41" s="47">
        <f>'2.Heat Targets'!B63</f>
        <v>0.35308666389591598</v>
      </c>
      <c r="J41" s="48">
        <f>'2.Heat Targets'!C63</f>
        <v>0.26193349171948538</v>
      </c>
      <c r="K41" s="48">
        <f>'2.Heat Targets'!D63</f>
        <v>0.15327513314932731</v>
      </c>
      <c r="L41" s="49">
        <f>'2.Heat Targets'!E63</f>
        <v>7.94652684989713E-2</v>
      </c>
      <c r="O41" s="88">
        <f>O40/O28</f>
        <v>0.25052813852813854</v>
      </c>
      <c r="P41" s="88">
        <f>P40/P28</f>
        <v>0.26731413788421277</v>
      </c>
      <c r="Q41" s="88">
        <f>Q40/Q28</f>
        <v>0.26759574965797361</v>
      </c>
      <c r="R41" s="92">
        <f>R40/R28</f>
        <v>0.28991107942820693</v>
      </c>
      <c r="T41" t="str">
        <f>'2.Heat Targets'!G63</f>
        <v>This formula computes the estimated share of area residences using Wood heat in the CAP Central Mitigation Scenario, based on values inputted in the "1.Current Heat" tab.</v>
      </c>
    </row>
    <row r="42" spans="9:20" x14ac:dyDescent="0.3">
      <c r="I42" s="63">
        <f>'2.Heat Targets'!B64</f>
        <v>26227.142822920676</v>
      </c>
      <c r="J42" s="64">
        <f>'2.Heat Targets'!C64</f>
        <v>1431086.9892007371</v>
      </c>
      <c r="K42" s="64">
        <f>'2.Heat Targets'!D64</f>
        <v>3572031.5965924673</v>
      </c>
      <c r="L42" s="65">
        <f>'2.Heat Targets'!E64</f>
        <v>4998093.9306715745</v>
      </c>
      <c r="O42" s="63">
        <f>O9+O10</f>
        <v>104000</v>
      </c>
      <c r="P42" s="63">
        <f>P9+P10</f>
        <v>1282000</v>
      </c>
      <c r="Q42" s="63">
        <f>Q9+Q10</f>
        <v>2797000</v>
      </c>
      <c r="R42" s="81">
        <f>R9+R10</f>
        <v>4145000</v>
      </c>
      <c r="T42" t="str">
        <f>'2.Heat Targets'!G64</f>
        <v>Total heat pump energy consumed by area residences in CAP Central Mitigation Scenario, in millions of Btu (taken from Table 2)</v>
      </c>
    </row>
    <row r="43" spans="9:20" x14ac:dyDescent="0.3">
      <c r="I43" s="44" t="str">
        <f>'2.Heat Targets'!B65</f>
        <v xml:space="preserve"> </v>
      </c>
      <c r="J43" s="45">
        <f>'2.Heat Targets'!C65</f>
        <v>74018.79743679511</v>
      </c>
      <c r="K43" s="45">
        <f>'2.Heat Targets'!D65</f>
        <v>199000.6457431278</v>
      </c>
      <c r="L43" s="46">
        <f>'2.Heat Targets'!E65</f>
        <v>293271.81220175966</v>
      </c>
      <c r="O43" s="44">
        <f>O42/((0.7*O34)/2.4)</f>
        <v>3241.5584415584412</v>
      </c>
      <c r="P43" s="91">
        <f>P42/((0.75*P34)/2.6)</f>
        <v>42400.760385624148</v>
      </c>
      <c r="Q43" s="91">
        <f>Q42/((0.8*Q34)/2.8)</f>
        <v>96110.876792537078</v>
      </c>
      <c r="R43" s="46">
        <f>R42/((0.85*R34)/3)</f>
        <v>159176.43086199323</v>
      </c>
      <c r="T43" t="str">
        <f>'2.Heat Targets'!G65</f>
        <v>This formula computes an estimate the number of area residences using Heat Pumps in the CAP Central Mitigation Scenario based on the assumption made in the LEAP modeling that there are approximately 1.3 heat pumps / residence (table 6). Since the original LEAP modeling, this ration has increased moderately. Values are omitted for 2015 since the LEAP model projected heat pump adoption from 2020 onwards.</v>
      </c>
    </row>
    <row r="44" spans="9:20" x14ac:dyDescent="0.3">
      <c r="I44" s="47">
        <f>'2.Heat Targets'!B66</f>
        <v>0</v>
      </c>
      <c r="J44" s="48">
        <f>'2.Heat Targets'!C66</f>
        <v>0.27722396043743486</v>
      </c>
      <c r="K44" s="48">
        <f>'2.Heat Targets'!D66</f>
        <v>0.71841388354919777</v>
      </c>
      <c r="L44" s="49">
        <f>'2.Heat Targets'!E66</f>
        <v>1.0112821110405505</v>
      </c>
      <c r="O44" s="47">
        <f>O43/O28</f>
        <v>1.2348794063079776E-2</v>
      </c>
      <c r="P44" s="47">
        <f>P43/P28</f>
        <v>0.1588043460135736</v>
      </c>
      <c r="Q44" s="47">
        <f>Q43/Q28</f>
        <v>0.34697067434128909</v>
      </c>
      <c r="R44" s="93">
        <f>R43/R28</f>
        <v>0.5488842443517008</v>
      </c>
      <c r="T44" t="str">
        <f>'2.Heat Targets'!G66</f>
        <v>This formula computes the estimated share of area residences using Heat Pumps in the CAP Central Mitigation Scenario based on values inputted above and in the "1.Current Heat" tab.</v>
      </c>
    </row>
    <row r="45" spans="9:20" x14ac:dyDescent="0.3">
      <c r="I45" s="63">
        <f>'2.Heat Targets'!B71</f>
        <v>4259407.579318515</v>
      </c>
      <c r="J45" s="64">
        <f>'2.Heat Targets'!C71</f>
        <v>3367423.205440742</v>
      </c>
      <c r="K45" s="64">
        <f>'2.Heat Targets'!D71</f>
        <v>1641406.106303921</v>
      </c>
      <c r="L45" s="65">
        <f>'2.Heat Targets'!E71</f>
        <v>605329.81925955776</v>
      </c>
      <c r="O45" s="63">
        <f>O12+O13</f>
        <v>9533000</v>
      </c>
      <c r="P45" s="63">
        <f>P12+P13</f>
        <v>7519000</v>
      </c>
      <c r="Q45" s="63">
        <f>Q12+Q13</f>
        <v>4741000</v>
      </c>
      <c r="R45" s="81">
        <f>R12+R13</f>
        <v>1204000</v>
      </c>
      <c r="T45" t="str">
        <f>'2.Heat Targets'!G71</f>
        <v>Total non-blended fossil heat (propane) energy consumed by Residences in CAP Central Mitigation Scenario, in millions of Btu (taken from Table 2)</v>
      </c>
    </row>
    <row r="46" spans="9:20" x14ac:dyDescent="0.3">
      <c r="I46" s="44">
        <f>'2.Heat Targets'!B72</f>
        <v>38721.887084713773</v>
      </c>
      <c r="J46" s="45">
        <f>'2.Heat Targets'!C72</f>
        <v>32748.295464390379</v>
      </c>
      <c r="K46" s="45">
        <f>'2.Heat Targets'!D72</f>
        <v>17267.36376522476</v>
      </c>
      <c r="L46" s="46">
        <f>'2.Heat Targets'!E72</f>
        <v>6964.9466664592301</v>
      </c>
      <c r="O46" s="44">
        <f>O45/O34</f>
        <v>86663.636363636368</v>
      </c>
      <c r="P46" s="44">
        <f>P45/P34</f>
        <v>71735.415818022011</v>
      </c>
      <c r="Q46" s="44">
        <f>Q45/Q34</f>
        <v>46545.959126964437</v>
      </c>
      <c r="R46" s="91">
        <f>R45/R34</f>
        <v>13100.213859603045</v>
      </c>
      <c r="T46" t="str">
        <f>'2.Heat Targets'!G72</f>
        <v>This formula computes the estimates number of area residences using fossil heat in the CAP Central Mitigation Scenario based on values inputted in the "1.Current Heat" tab.</v>
      </c>
    </row>
    <row r="47" spans="9:20" x14ac:dyDescent="0.3">
      <c r="I47" s="47">
        <f>'2.Heat Targets'!B73</f>
        <v>0.14751195079890961</v>
      </c>
      <c r="J47" s="48">
        <f>'2.Heat Targets'!C73</f>
        <v>0.12265279200146209</v>
      </c>
      <c r="K47" s="48">
        <f>'2.Heat Targets'!D73</f>
        <v>6.2337053304060502E-2</v>
      </c>
      <c r="L47" s="49">
        <f>'2.Heat Targets'!E73</f>
        <v>2.401705747054907E-2</v>
      </c>
      <c r="O47" s="47">
        <f>O46/O28</f>
        <v>0.33014718614718619</v>
      </c>
      <c r="P47" s="47">
        <f>P46/P28</f>
        <v>0.26867196935588766</v>
      </c>
      <c r="Q47" s="47">
        <f>Q46/Q28</f>
        <v>0.16803595352694742</v>
      </c>
      <c r="R47" s="93">
        <f>R46/R28</f>
        <v>4.5173151240010499E-2</v>
      </c>
      <c r="T47" t="str">
        <f>'2.Heat Targets'!G73</f>
        <v>This formula computes the estimated share of area residences using fossil heat in the CAP Central Mitigation Scenario based on values inputted above and in the "1.Current Heat" tab.</v>
      </c>
    </row>
  </sheetData>
  <mergeCells count="5">
    <mergeCell ref="N4:R4"/>
    <mergeCell ref="B4:F4"/>
    <mergeCell ref="O26:R26"/>
    <mergeCell ref="I26:L26"/>
    <mergeCell ref="H4:L4"/>
  </mergeCells>
  <pageMargins left="0.7" right="0.7" top="0.75" bottom="0.75" header="0.3" footer="0.3"/>
  <pageSetup orientation="portrait" horizontalDpi="200" verticalDpi="0" copies="0" r:id="rId1"/>
  <ignoredErrors>
    <ignoredError sqref="P9:R9 O13:R1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7" ma:contentTypeDescription="Create a new document." ma:contentTypeScope="" ma:versionID="343c207e943c017ad979ab92d3118ab0">
  <xsd:schema xmlns:xsd="http://www.w3.org/2001/XMLSchema" xmlns:xs="http://www.w3.org/2001/XMLSchema" xmlns:p="http://schemas.microsoft.com/office/2006/metadata/properties" xmlns:ns1="http://schemas.microsoft.com/sharepoint/v3" xmlns:ns2="2819d22d-c924-42b3-954a-d3b43813cc67" xmlns:ns3="18dbc17e-cec9-4211-a89f-0bf74a616302" targetNamespace="http://schemas.microsoft.com/office/2006/metadata/properties" ma:root="true" ma:fieldsID="b815572db3e04d9de43d4f539f7b7804" ns1:_="" ns2:_="" ns3:_="">
    <xsd:import namespace="http://schemas.microsoft.com/sharepoint/v3"/>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b405ef0-1b2e-414d-886f-c62305e7680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29ce464a-492c-41bd-8c04-ef1f2b52060e}" ma:internalName="TaxCatchAll" ma:showField="CatchAllData" ma:web="18dbc17e-cec9-4211-a89f-0bf74a6163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8dbc17e-cec9-4211-a89f-0bf74a616302" xsi:nil="true"/>
    <lcf76f155ced4ddcb4097134ff3c332f xmlns="2819d22d-c924-42b3-954a-d3b43813cc67">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20CD10-7D77-41D4-AEB7-79F564B049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16CB30-A41D-4080-A3A5-11AF449B19CB}">
  <ds:schemaRefs>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microsoft.com/sharepoint/v3"/>
    <ds:schemaRef ds:uri="http://purl.org/dc/elements/1.1/"/>
    <ds:schemaRef ds:uri="http://schemas.openxmlformats.org/package/2006/metadata/core-properties"/>
    <ds:schemaRef ds:uri="18dbc17e-cec9-4211-a89f-0bf74a616302"/>
    <ds:schemaRef ds:uri="2819d22d-c924-42b3-954a-d3b43813cc67"/>
    <ds:schemaRef ds:uri="http://purl.org/dc/dcmitype/"/>
  </ds:schemaRefs>
</ds:datastoreItem>
</file>

<file path=customXml/itemProps3.xml><?xml version="1.0" encoding="utf-8"?>
<ds:datastoreItem xmlns:ds="http://schemas.openxmlformats.org/officeDocument/2006/customXml" ds:itemID="{A430E91A-2B2B-4942-9025-92DCC999FC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LEAP Scenario</vt:lpstr>
      <vt:lpstr>1.Current Trans</vt:lpstr>
      <vt:lpstr>1.Current Heat</vt:lpstr>
      <vt:lpstr>2.Heat Targets</vt:lpstr>
      <vt:lpstr>2.Trans Targets</vt:lpstr>
      <vt:lpstr>Exchange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McIlvennie, Claire</cp:lastModifiedBy>
  <dcterms:created xsi:type="dcterms:W3CDTF">2016-10-03T13:03:02Z</dcterms:created>
  <dcterms:modified xsi:type="dcterms:W3CDTF">2023-12-22T18:10:25Z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y fmtid="{D5CDD505-2E9C-101B-9397-08002B2CF9AE}" pid="3" name="MediaServiceImageTags">
    <vt:lpwstr/>
  </property>
</Properties>
</file>