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6.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S:\PSD\PSD - Shared\Website\Topics\Renewable Energy\RES Program Report Models\"/>
    </mc:Choice>
  </mc:AlternateContent>
  <xr:revisionPtr revIDLastSave="0" documentId="8_{037EEE81-AB8B-46D1-BA42-286EBE186737}" xr6:coauthVersionLast="43" xr6:coauthVersionMax="43" xr10:uidLastSave="{00000000-0000-0000-0000-000000000000}"/>
  <bookViews>
    <workbookView xWindow="-108" yWindow="-108" windowWidth="20376" windowHeight="12240" firstSheet="4" activeTab="7" xr2:uid="{00000000-000D-0000-FFFF-FFFF00000000}"/>
  </bookViews>
  <sheets>
    <sheet name="Notes" sheetId="15" r:id="rId1"/>
    <sheet name="Summary" sheetId="16" r:id="rId2"/>
    <sheet name="assumptions" sheetId="5" r:id="rId3"/>
    <sheet name="loads" sheetId="1" r:id="rId4"/>
    <sheet name="requirements" sheetId="2" r:id="rId5"/>
    <sheet name="impact" sheetId="7" r:id="rId6"/>
    <sheet name="Tier I" sheetId="4" r:id="rId7"/>
    <sheet name="Tier II" sheetId="6" r:id="rId8"/>
    <sheet name="Tier III" sheetId="8" r:id="rId9"/>
    <sheet name="price forecasts" sheetId="9" r:id="rId10"/>
    <sheet name="emissions" sheetId="13" r:id="rId11"/>
    <sheet name="Tier III PT" sheetId="11" r:id="rId12"/>
    <sheet name="Tier III incentives" sheetId="10" state="hidden" r:id="rId13"/>
    <sheet name="AEO- reference" sheetId="12" state="hidden" r:id="rId14"/>
  </sheets>
  <externalReferences>
    <externalReference r:id="rId15"/>
    <externalReference r:id="rId16"/>
    <externalReference r:id="rId17"/>
  </externalReferences>
  <definedNames>
    <definedName name="base_year">assumptions!$D$4</definedName>
    <definedName name="cap_factor">[1]user_inputs!$A$2</definedName>
    <definedName name="CCHP_incentive_escalation">assumptions!$D$35</definedName>
    <definedName name="CCHP_LMP_multiplier">assumptions!$D$41</definedName>
    <definedName name="COS_depreciation">impact!$B$5</definedName>
    <definedName name="COS_inflation">impact!$B$4</definedName>
    <definedName name="COS_market">impact!$B$3</definedName>
    <definedName name="cust_disc_rate_res">'[2]energy$'!$A$2</definedName>
    <definedName name="custom_incentive_escalation">assumptions!$D$38</definedName>
    <definedName name="Custom_LMP_multiplier">assumptions!$D$44</definedName>
    <definedName name="D_losses">'[2]ELC WS'!$K$1</definedName>
    <definedName name="depreciation_rate">assumptions!$D$7</definedName>
    <definedName name="discount_rate">assumptions!$D$6</definedName>
    <definedName name="ELC_price_trend">'[2]energy$'!$A$4</definedName>
    <definedName name="ELC_price_yr1">'[2]energy$'!$A$3</definedName>
    <definedName name="equip_cost_CCHP_space">'Tier III incentives'!$C$5</definedName>
    <definedName name="equip_cost_EV">[2]EV!$C$3</definedName>
    <definedName name="equip_cost_ICE">[2]EV!$B$3</definedName>
    <definedName name="equip_cost_trend_CCHP">'Tier III incentives'!$C$7</definedName>
    <definedName name="equip_cost_trend_EV">[2]EV!$C$4</definedName>
    <definedName name="equip_cost_trend_ICE">[2]EV!$B$4</definedName>
    <definedName name="EV_incentive_escalation">assumptions!$D$36</definedName>
    <definedName name="EV_LMP_multiplier">assumptions!$D$42</definedName>
    <definedName name="FCA_multiplier">'[2]ELC WS'!$A$3</definedName>
    <definedName name="FCA_multiplier_trend">'[2]ELC WS'!$A$4</definedName>
    <definedName name="FCM_coincidence">assumptions!$D$46</definedName>
    <definedName name="FF_price_case">'[2]energy$'!$A$13</definedName>
    <definedName name="FF_price_high_case_assumption">'[2]energy$'!$A$11</definedName>
    <definedName name="FF_price_htg_cum_chg">[2]AEO!#REF!</definedName>
    <definedName name="FF_price_htg_trend">'[2]energy$'!$A$7</definedName>
    <definedName name="FF_price_htg_yr1">'[2]energy$'!$A$5</definedName>
    <definedName name="FF_price_htg_yr2">'[2]energy$'!$C$13</definedName>
    <definedName name="FF_price_low_case_assumption">'[2]energy$'!$A$10</definedName>
    <definedName name="FF_price_trans_trend">'[2]energy$'!$A$8</definedName>
    <definedName name="FF_price_trans_yr1">'[2]energy$'!$A$6</definedName>
    <definedName name="FF_price_trans_yr2">'[2]energy$'!$C$14</definedName>
    <definedName name="FF_scenario">assumptions!$D$15</definedName>
    <definedName name="fuel_cons_trans_EV">'Tier III incentives'!$C$6</definedName>
    <definedName name="fuel_cons_trans_ICE">[2]EV!$B$6</definedName>
    <definedName name="High_FF_esc">assumptions!$D$18</definedName>
    <definedName name="htg_load_baseline_space">'Tier III incentives'!$B$3</definedName>
    <definedName name="htg_load_baseline_water">'Tier III incentives'!$B$4</definedName>
    <definedName name="htg_load_CCHP_backup">'Tier III incentives'!$C$12</definedName>
    <definedName name="htg_load_CCHP_space">'Tier III incentives'!$C$10</definedName>
    <definedName name="infl_rate">'[2]energy$'!$A$1</definedName>
    <definedName name="inflation_rate">assumptions!$D$5</definedName>
    <definedName name="LMP_mult_CCHP_clg">[2]CCHP!$C$21</definedName>
    <definedName name="LMP_mult_CCHP_htg">[2]CCHP!$C$20</definedName>
    <definedName name="LMP_mult_EV">[2]EV!$C$12</definedName>
    <definedName name="LMP_trend">'[2]ELC WS'!$A$1</definedName>
    <definedName name="losses_yr1">[1]user_inputs!$A$50</definedName>
    <definedName name="Low_FF_esc">assumptions!$D$16</definedName>
    <definedName name="maint_cost_trans_yr1_EV">[2]EV!$C$8</definedName>
    <definedName name="maint_cost_trans_yr1_ICE">[2]EV!$B$8</definedName>
    <definedName name="Mid_FF_esc">assumptions!$D$17</definedName>
    <definedName name="NM_escalation">assumptions!$D$9</definedName>
    <definedName name="NM_growth">'[2]T1&amp;2'!$M$1</definedName>
    <definedName name="overhead_escalation">assumptions!$D$49</definedName>
    <definedName name="peak_contributino_VT_CCHP">[2]CCHP!$C$22</definedName>
    <definedName name="peak_contribution_NE_CCHP">[2]CCHP!$C$23</definedName>
    <definedName name="pk_contribution_NE_EV">[2]EV!$C$14</definedName>
    <definedName name="pk_contribution_VT_EV">[2]EV!$C$13</definedName>
    <definedName name="_xlnm.Print_Area" localSheetId="2">assumptions!$A$1:$K$49</definedName>
    <definedName name="_xlnm.Print_Area" localSheetId="5">impact!$B$33:$N$41</definedName>
    <definedName name="REC_scenario">assumptions!$D$10</definedName>
    <definedName name="Retail_Rate_escalation">assumptions!$D$13</definedName>
    <definedName name="Retail_Rate_yr1">assumptions!$D$12</definedName>
    <definedName name="RNS_coincidence">assumptions!$D$45</definedName>
    <definedName name="RNS_trend">'[2]ELC WS'!$A$2</definedName>
    <definedName name="seasonal_COP">[2]CCHP!#REF!</definedName>
    <definedName name="T1_cost_projection">'[2]RE gen'!$J$6:$J$15</definedName>
    <definedName name="T1_cost_trend">'[2]RE gen'!$I$1</definedName>
    <definedName name="T1_cost_yr1">'[2]RE gen'!$B$1</definedName>
    <definedName name="T2_cost_projection">'[2]RE gen'!$K$6:$K$15</definedName>
    <definedName name="T2_cost_trend">'[2]RE gen'!$I$2</definedName>
    <definedName name="T2_cost_yr1">'[2]RE gen'!$B$3</definedName>
    <definedName name="T3_credit_CCHP_space">[2]CCHP!$C$17</definedName>
    <definedName name="T3_credit_EV">[2]EV!$C$10</definedName>
    <definedName name="T3_share_CCHP">[2]COS!$J$3</definedName>
    <definedName name="T3_share_EV">[2]COS!$K$3</definedName>
    <definedName name="Tier3_Overhead">assumptions!$D$48</definedName>
    <definedName name="UEC_CCHP_clg">[2]CCHP!$C$15</definedName>
    <definedName name="UEC_CCHP_htg_space">[2]CCHP!$C$13</definedName>
    <definedName name="UEC_EV">[2]EV!$C$9</definedName>
    <definedName name="UEC_window_clg">'Tier III incentives'!$B$16</definedName>
    <definedName name="wholesale_cost_trend">'[2]ELC WS'!$H$20</definedName>
    <definedName name="wx_incentive_escalation">assumptions!$D$37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7" i="2" l="1"/>
  <c r="G30" i="16" l="1"/>
  <c r="F30" i="16"/>
  <c r="C30" i="16" s="1"/>
  <c r="D30" i="16"/>
  <c r="AE9" i="9" l="1"/>
  <c r="E30" i="5" l="1"/>
  <c r="F30" i="5"/>
  <c r="E31" i="5"/>
  <c r="F31" i="5"/>
  <c r="E32" i="5"/>
  <c r="F32" i="5"/>
  <c r="F29" i="5"/>
  <c r="E29" i="5"/>
  <c r="D48" i="13" l="1"/>
  <c r="C20" i="13"/>
  <c r="D47" i="13"/>
  <c r="C21" i="13"/>
  <c r="N39" i="2" l="1"/>
  <c r="E39" i="2"/>
  <c r="F39" i="2"/>
  <c r="G39" i="2"/>
  <c r="H39" i="2"/>
  <c r="I39" i="2"/>
  <c r="J39" i="2"/>
  <c r="K39" i="2"/>
  <c r="L39" i="2"/>
  <c r="M39" i="2"/>
  <c r="K38" i="6"/>
  <c r="L38" i="6" s="1"/>
  <c r="M38" i="6" s="1"/>
  <c r="J38" i="6"/>
  <c r="I38" i="6"/>
  <c r="C29" i="16"/>
  <c r="C28" i="16"/>
  <c r="D29" i="16"/>
  <c r="D28" i="16"/>
  <c r="D27" i="16"/>
  <c r="C27" i="16"/>
  <c r="F10" i="4"/>
  <c r="G10" i="4"/>
  <c r="H10" i="4"/>
  <c r="I10" i="4"/>
  <c r="J10" i="4"/>
  <c r="K10" i="4"/>
  <c r="L10" i="4"/>
  <c r="M10" i="4"/>
  <c r="N10" i="4"/>
  <c r="F12" i="4"/>
  <c r="G12" i="4"/>
  <c r="H12" i="4"/>
  <c r="I12" i="4"/>
  <c r="J12" i="4"/>
  <c r="K12" i="4"/>
  <c r="L12" i="4"/>
  <c r="M12" i="4"/>
  <c r="N12" i="4"/>
  <c r="E11" i="4"/>
  <c r="E12" i="4"/>
  <c r="E10" i="4"/>
  <c r="Q3" i="8" l="1"/>
  <c r="Q5" i="8"/>
  <c r="E40" i="11"/>
  <c r="B52" i="11"/>
  <c r="B55" i="11" s="1"/>
  <c r="D40" i="11" s="1"/>
  <c r="H5" i="8" s="1"/>
  <c r="M5" i="8" s="1"/>
  <c r="D5" i="8" s="1"/>
  <c r="F40" i="11" l="1"/>
  <c r="G6" i="8"/>
  <c r="E1" i="8" l="1"/>
  <c r="F4" i="8"/>
  <c r="F5" i="8"/>
  <c r="F6" i="8"/>
  <c r="F3" i="8"/>
  <c r="Q7" i="8" l="1"/>
  <c r="M6" i="8"/>
  <c r="E6" i="6" l="1"/>
  <c r="D6" i="6"/>
  <c r="D19" i="6" s="1"/>
  <c r="E42" i="8"/>
  <c r="F42" i="8" s="1"/>
  <c r="G42" i="8" s="1"/>
  <c r="H42" i="8" s="1"/>
  <c r="I42" i="8" s="1"/>
  <c r="J42" i="8" s="1"/>
  <c r="K42" i="8" s="1"/>
  <c r="L42" i="8" s="1"/>
  <c r="M42" i="8" s="1"/>
  <c r="N42" i="8" s="1"/>
  <c r="F19" i="6" l="1"/>
  <c r="G19" i="6"/>
  <c r="H19" i="6"/>
  <c r="I19" i="6"/>
  <c r="J19" i="6"/>
  <c r="K19" i="6"/>
  <c r="L19" i="6"/>
  <c r="M19" i="6"/>
  <c r="N19" i="6"/>
  <c r="E19" i="6"/>
  <c r="D11" i="9" l="1"/>
  <c r="F22" i="9"/>
  <c r="G22" i="9" l="1"/>
  <c r="F11" i="4"/>
  <c r="H22" i="9" l="1"/>
  <c r="G11" i="4"/>
  <c r="G38" i="6"/>
  <c r="F38" i="6"/>
  <c r="F37" i="6"/>
  <c r="D4" i="2"/>
  <c r="I22" i="9" l="1"/>
  <c r="H11" i="4"/>
  <c r="H38" i="6"/>
  <c r="N38" i="6" s="1"/>
  <c r="H43" i="6"/>
  <c r="I43" i="6"/>
  <c r="J43" i="6"/>
  <c r="K43" i="6"/>
  <c r="L43" i="6"/>
  <c r="M43" i="6"/>
  <c r="N43" i="6"/>
  <c r="G43" i="6"/>
  <c r="F40" i="6"/>
  <c r="G40" i="6"/>
  <c r="F41" i="6"/>
  <c r="G41" i="6"/>
  <c r="I40" i="6"/>
  <c r="J40" i="6"/>
  <c r="K40" i="6"/>
  <c r="L40" i="6"/>
  <c r="M40" i="6"/>
  <c r="N40" i="6"/>
  <c r="I41" i="6"/>
  <c r="J41" i="6"/>
  <c r="K41" i="6"/>
  <c r="L41" i="6"/>
  <c r="M41" i="6"/>
  <c r="N41" i="6"/>
  <c r="H41" i="6"/>
  <c r="G37" i="6"/>
  <c r="H37" i="6" s="1"/>
  <c r="I37" i="6" s="1"/>
  <c r="J37" i="6" s="1"/>
  <c r="K37" i="6" s="1"/>
  <c r="L37" i="6" s="1"/>
  <c r="M37" i="6" s="1"/>
  <c r="N37" i="6" s="1"/>
  <c r="J36" i="6"/>
  <c r="I36" i="6"/>
  <c r="H36" i="6"/>
  <c r="G36" i="6"/>
  <c r="F36" i="6"/>
  <c r="F31" i="6"/>
  <c r="P30" i="6"/>
  <c r="F30" i="6"/>
  <c r="G30" i="6"/>
  <c r="H30" i="6"/>
  <c r="I30" i="6"/>
  <c r="J30" i="6"/>
  <c r="K30" i="6"/>
  <c r="L30" i="6"/>
  <c r="M30" i="6"/>
  <c r="N30" i="6"/>
  <c r="E31" i="6"/>
  <c r="E32" i="6"/>
  <c r="E33" i="6"/>
  <c r="E30" i="6"/>
  <c r="D7" i="6"/>
  <c r="D18" i="1"/>
  <c r="D5" i="6" s="1"/>
  <c r="E18" i="1"/>
  <c r="F18" i="1"/>
  <c r="G18" i="1"/>
  <c r="H18" i="1"/>
  <c r="I18" i="1"/>
  <c r="J18" i="1"/>
  <c r="K18" i="1"/>
  <c r="L18" i="1"/>
  <c r="M18" i="1"/>
  <c r="N18" i="1"/>
  <c r="D19" i="1"/>
  <c r="E19" i="1"/>
  <c r="D20" i="1"/>
  <c r="E20" i="1"/>
  <c r="E7" i="6" s="1"/>
  <c r="F20" i="1"/>
  <c r="F7" i="6" s="1"/>
  <c r="E40" i="1"/>
  <c r="F40" i="1"/>
  <c r="G40" i="1"/>
  <c r="H40" i="1"/>
  <c r="I40" i="1"/>
  <c r="J40" i="1"/>
  <c r="K40" i="1"/>
  <c r="L40" i="1"/>
  <c r="M40" i="1"/>
  <c r="N40" i="1"/>
  <c r="F43" i="1"/>
  <c r="G43" i="1" s="1"/>
  <c r="E43" i="1"/>
  <c r="F42" i="1"/>
  <c r="F19" i="1" s="1"/>
  <c r="F6" i="6" s="1"/>
  <c r="E42" i="1"/>
  <c r="D40" i="1"/>
  <c r="D17" i="1" s="1"/>
  <c r="J22" i="9" l="1"/>
  <c r="I11" i="4"/>
  <c r="H43" i="1"/>
  <c r="H20" i="1" s="1"/>
  <c r="H7" i="6" s="1"/>
  <c r="G20" i="1"/>
  <c r="G7" i="6" s="1"/>
  <c r="G42" i="1"/>
  <c r="K36" i="6"/>
  <c r="L36" i="6" s="1"/>
  <c r="M36" i="6" s="1"/>
  <c r="N36" i="6" s="1"/>
  <c r="I43" i="1"/>
  <c r="I20" i="1" s="1"/>
  <c r="I7" i="6" s="1"/>
  <c r="V21" i="1"/>
  <c r="K22" i="9" l="1"/>
  <c r="J11" i="4"/>
  <c r="H42" i="1"/>
  <c r="G19" i="1"/>
  <c r="G6" i="6" s="1"/>
  <c r="G31" i="6"/>
  <c r="J43" i="1"/>
  <c r="J20" i="1" s="1"/>
  <c r="J7" i="6" s="1"/>
  <c r="L22" i="9" l="1"/>
  <c r="K11" i="4"/>
  <c r="H19" i="1"/>
  <c r="H6" i="6" s="1"/>
  <c r="I42" i="1"/>
  <c r="H31" i="6"/>
  <c r="K43" i="1"/>
  <c r="K20" i="1" s="1"/>
  <c r="K7" i="6" s="1"/>
  <c r="E6" i="2"/>
  <c r="F6" i="2"/>
  <c r="G6" i="2"/>
  <c r="H6" i="2"/>
  <c r="I6" i="2"/>
  <c r="J6" i="2"/>
  <c r="K6" i="2"/>
  <c r="L6" i="2"/>
  <c r="M6" i="2"/>
  <c r="N6" i="2"/>
  <c r="D6" i="2"/>
  <c r="M22" i="9" l="1"/>
  <c r="L11" i="4"/>
  <c r="I19" i="1"/>
  <c r="I6" i="6" s="1"/>
  <c r="J42" i="1"/>
  <c r="I31" i="6"/>
  <c r="L43" i="1"/>
  <c r="L20" i="1" s="1"/>
  <c r="L7" i="6" s="1"/>
  <c r="N22" i="9" l="1"/>
  <c r="N11" i="4" s="1"/>
  <c r="M11" i="4"/>
  <c r="J19" i="1"/>
  <c r="J6" i="6" s="1"/>
  <c r="K42" i="1"/>
  <c r="J31" i="6"/>
  <c r="M43" i="1"/>
  <c r="M20" i="1" s="1"/>
  <c r="M7" i="6" s="1"/>
  <c r="K19" i="1" l="1"/>
  <c r="K6" i="6" s="1"/>
  <c r="L42" i="1"/>
  <c r="K31" i="6"/>
  <c r="N43" i="1"/>
  <c r="N20" i="1" s="1"/>
  <c r="N7" i="6" s="1"/>
  <c r="L19" i="1" l="1"/>
  <c r="L6" i="6" s="1"/>
  <c r="M42" i="1"/>
  <c r="L31" i="6"/>
  <c r="M19" i="1" l="1"/>
  <c r="M6" i="6" s="1"/>
  <c r="N42" i="1"/>
  <c r="N19" i="1" s="1"/>
  <c r="N6" i="6" s="1"/>
  <c r="N31" i="6"/>
  <c r="P31" i="6" s="1"/>
  <c r="M31" i="6"/>
  <c r="E37" i="11" l="1"/>
  <c r="E41" i="11"/>
  <c r="F38" i="11"/>
  <c r="F39" i="11"/>
  <c r="F42" i="11"/>
  <c r="E35" i="11"/>
  <c r="D41" i="11"/>
  <c r="D37" i="11"/>
  <c r="D36" i="11"/>
  <c r="F36" i="11" s="1"/>
  <c r="D35" i="11"/>
  <c r="E33" i="11"/>
  <c r="F41" i="11" l="1"/>
  <c r="F35" i="11"/>
  <c r="F37" i="11"/>
  <c r="E36" i="2"/>
  <c r="F36" i="2"/>
  <c r="G36" i="2"/>
  <c r="H36" i="2"/>
  <c r="I36" i="2"/>
  <c r="J36" i="2"/>
  <c r="K36" i="2"/>
  <c r="L36" i="2"/>
  <c r="M36" i="2"/>
  <c r="N36" i="2"/>
  <c r="D36" i="2"/>
  <c r="A8" i="6" l="1"/>
  <c r="D8" i="6" l="1"/>
  <c r="D20" i="6" s="1"/>
  <c r="E8" i="6"/>
  <c r="G53" i="6"/>
  <c r="G56" i="6"/>
  <c r="G55" i="6"/>
  <c r="G54" i="6"/>
  <c r="I15" i="6"/>
  <c r="J15" i="6" s="1"/>
  <c r="K15" i="6" s="1"/>
  <c r="L15" i="6" s="1"/>
  <c r="M15" i="6" s="1"/>
  <c r="N15" i="6" s="1"/>
  <c r="E20" i="6" l="1"/>
  <c r="E40" i="9" l="1"/>
  <c r="E5" i="6" l="1"/>
  <c r="F5" i="6" s="1"/>
  <c r="G5" i="6" s="1"/>
  <c r="H5" i="6" s="1"/>
  <c r="I5" i="6" s="1"/>
  <c r="J5" i="6" s="1"/>
  <c r="K5" i="6" s="1"/>
  <c r="L5" i="6" s="1"/>
  <c r="M5" i="6" s="1"/>
  <c r="N5" i="6" s="1"/>
  <c r="C40" i="4" l="1"/>
  <c r="E12" i="7"/>
  <c r="D36" i="7"/>
  <c r="D33" i="13"/>
  <c r="E33" i="13" s="1"/>
  <c r="F33" i="13" s="1"/>
  <c r="G33" i="13" s="1"/>
  <c r="H33" i="13" s="1"/>
  <c r="I33" i="13" s="1"/>
  <c r="J33" i="13" s="1"/>
  <c r="K33" i="13" s="1"/>
  <c r="L33" i="13" s="1"/>
  <c r="M33" i="13" s="1"/>
  <c r="N33" i="13" s="1"/>
  <c r="D32" i="13"/>
  <c r="C19" i="13"/>
  <c r="C22" i="13"/>
  <c r="C25" i="13" l="1"/>
  <c r="C26" i="13"/>
  <c r="D34" i="13"/>
  <c r="D29" i="2" l="1"/>
  <c r="F16" i="9"/>
  <c r="G16" i="9"/>
  <c r="H16" i="9"/>
  <c r="I16" i="9"/>
  <c r="J16" i="9"/>
  <c r="K16" i="9"/>
  <c r="L16" i="9"/>
  <c r="M16" i="9"/>
  <c r="N16" i="9"/>
  <c r="O16" i="9"/>
  <c r="E16" i="9"/>
  <c r="F12" i="9"/>
  <c r="G12" i="9" s="1"/>
  <c r="H12" i="9" s="1"/>
  <c r="I12" i="9" s="1"/>
  <c r="J12" i="9" s="1"/>
  <c r="K12" i="9" s="1"/>
  <c r="L12" i="9" s="1"/>
  <c r="M12" i="9" s="1"/>
  <c r="N12" i="9" s="1"/>
  <c r="G68" i="12"/>
  <c r="H68" i="12"/>
  <c r="E11" i="9" s="1"/>
  <c r="I68" i="12"/>
  <c r="F11" i="9" s="1"/>
  <c r="J68" i="12"/>
  <c r="G11" i="9" s="1"/>
  <c r="K68" i="12"/>
  <c r="H11" i="9" s="1"/>
  <c r="L68" i="12"/>
  <c r="I11" i="9" s="1"/>
  <c r="M68" i="12"/>
  <c r="J11" i="9" s="1"/>
  <c r="N68" i="12"/>
  <c r="K11" i="9" s="1"/>
  <c r="O68" i="12"/>
  <c r="L11" i="9" s="1"/>
  <c r="P68" i="12"/>
  <c r="M11" i="9" s="1"/>
  <c r="Q68" i="12"/>
  <c r="N11" i="9" s="1"/>
  <c r="R68" i="12"/>
  <c r="O11" i="9" s="1"/>
  <c r="S68" i="12"/>
  <c r="T68" i="12"/>
  <c r="U68" i="12"/>
  <c r="V68" i="12"/>
  <c r="W68" i="12"/>
  <c r="X68" i="12"/>
  <c r="Y68" i="12"/>
  <c r="Z68" i="12"/>
  <c r="AA68" i="12"/>
  <c r="AB68" i="12"/>
  <c r="AC68" i="12"/>
  <c r="AD68" i="12"/>
  <c r="AE68" i="12"/>
  <c r="AF68" i="12"/>
  <c r="AG68" i="12"/>
  <c r="AH68" i="12"/>
  <c r="AI68" i="12"/>
  <c r="AJ68" i="12"/>
  <c r="AK68" i="12"/>
  <c r="AL68" i="12"/>
  <c r="AM68" i="12"/>
  <c r="AN68" i="12"/>
  <c r="F68" i="12"/>
  <c r="B3" i="9"/>
  <c r="E17" i="6"/>
  <c r="F17" i="6"/>
  <c r="F32" i="2" s="1"/>
  <c r="G17" i="6"/>
  <c r="G32" i="2" s="1"/>
  <c r="H17" i="6"/>
  <c r="H32" i="2" s="1"/>
  <c r="I17" i="6"/>
  <c r="I32" i="2" s="1"/>
  <c r="J17" i="6"/>
  <c r="J32" i="2" s="1"/>
  <c r="K17" i="6"/>
  <c r="K32" i="2" s="1"/>
  <c r="L17" i="6"/>
  <c r="L32" i="2" s="1"/>
  <c r="M17" i="6"/>
  <c r="M32" i="2" s="1"/>
  <c r="N17" i="6"/>
  <c r="N32" i="2" s="1"/>
  <c r="C58" i="6"/>
  <c r="F9" i="6" s="1"/>
  <c r="F21" i="6" s="1"/>
  <c r="N5" i="8"/>
  <c r="C3" i="8"/>
  <c r="C6" i="8"/>
  <c r="C4" i="8"/>
  <c r="O5" i="8"/>
  <c r="E5" i="8" s="1"/>
  <c r="C5" i="8"/>
  <c r="D19" i="11"/>
  <c r="E19" i="11"/>
  <c r="G4" i="8" s="1"/>
  <c r="F19" i="11"/>
  <c r="C19" i="11"/>
  <c r="D10" i="11"/>
  <c r="D33" i="11" s="1"/>
  <c r="F33" i="11" s="1"/>
  <c r="E10" i="11"/>
  <c r="G3" i="8" s="1"/>
  <c r="N3" i="8" s="1"/>
  <c r="F10" i="11"/>
  <c r="C10" i="11"/>
  <c r="C7" i="8"/>
  <c r="O7" i="8"/>
  <c r="P7" i="8"/>
  <c r="F13" i="9"/>
  <c r="G13" i="9" s="1"/>
  <c r="H13" i="9" s="1"/>
  <c r="I13" i="9" s="1"/>
  <c r="J13" i="9" s="1"/>
  <c r="K13" i="9" s="1"/>
  <c r="L13" i="9" s="1"/>
  <c r="M13" i="9" s="1"/>
  <c r="N13" i="9" s="1"/>
  <c r="O13" i="9" s="1"/>
  <c r="P13" i="9" s="1"/>
  <c r="Q13" i="9" s="1"/>
  <c r="R13" i="9" s="1"/>
  <c r="S13" i="9" s="1"/>
  <c r="T13" i="9" s="1"/>
  <c r="U13" i="9" s="1"/>
  <c r="V13" i="9" s="1"/>
  <c r="W13" i="9" s="1"/>
  <c r="X13" i="9" s="1"/>
  <c r="Y13" i="9" s="1"/>
  <c r="Z13" i="9" s="1"/>
  <c r="AA13" i="9" s="1"/>
  <c r="AB13" i="9" s="1"/>
  <c r="AC13" i="9" s="1"/>
  <c r="B1" i="4"/>
  <c r="B7" i="10"/>
  <c r="A21" i="1"/>
  <c r="E13" i="7"/>
  <c r="F13" i="7" s="1"/>
  <c r="G13" i="7" s="1"/>
  <c r="H13" i="7" s="1"/>
  <c r="I13" i="7" s="1"/>
  <c r="J13" i="7" s="1"/>
  <c r="K13" i="7" s="1"/>
  <c r="L13" i="7" s="1"/>
  <c r="M13" i="7" s="1"/>
  <c r="N13" i="7" s="1"/>
  <c r="E14" i="7"/>
  <c r="F14" i="7" s="1"/>
  <c r="G14" i="7" s="1"/>
  <c r="H14" i="7" s="1"/>
  <c r="I14" i="7" s="1"/>
  <c r="J14" i="7" s="1"/>
  <c r="K14" i="7" s="1"/>
  <c r="L14" i="7" s="1"/>
  <c r="M14" i="7" s="1"/>
  <c r="N14" i="7" s="1"/>
  <c r="D4" i="1"/>
  <c r="F14" i="1"/>
  <c r="D24" i="10"/>
  <c r="E24" i="10" s="1"/>
  <c r="F24" i="10" s="1"/>
  <c r="G24" i="10" s="1"/>
  <c r="H24" i="10" s="1"/>
  <c r="F14" i="9"/>
  <c r="O26" i="10"/>
  <c r="O57" i="10" s="1"/>
  <c r="P26" i="10"/>
  <c r="Q26" i="10"/>
  <c r="Q57" i="10" s="1"/>
  <c r="R26" i="10"/>
  <c r="R57" i="10" s="1"/>
  <c r="S26" i="10"/>
  <c r="S57" i="10" s="1"/>
  <c r="T26" i="10"/>
  <c r="T57" i="10" s="1"/>
  <c r="U26" i="10"/>
  <c r="U57" i="10" s="1"/>
  <c r="V26" i="10"/>
  <c r="W26" i="10"/>
  <c r="W57" i="10" s="1"/>
  <c r="X26" i="10"/>
  <c r="Y26" i="10"/>
  <c r="Y57" i="10" s="1"/>
  <c r="Z26" i="10"/>
  <c r="AA26" i="10"/>
  <c r="AA57" i="10" s="1"/>
  <c r="AB26" i="10"/>
  <c r="AB57" i="10" s="1"/>
  <c r="F19" i="9"/>
  <c r="O27" i="10"/>
  <c r="P27" i="10"/>
  <c r="Q27" i="10"/>
  <c r="R27" i="10"/>
  <c r="S27" i="10"/>
  <c r="T27" i="10"/>
  <c r="U27" i="10"/>
  <c r="V27" i="10"/>
  <c r="W27" i="10"/>
  <c r="X27" i="10"/>
  <c r="Y27" i="10"/>
  <c r="Z27" i="10"/>
  <c r="AA27" i="10"/>
  <c r="AB27" i="10"/>
  <c r="E26" i="10"/>
  <c r="E41" i="9"/>
  <c r="E27" i="10" s="1"/>
  <c r="D27" i="10"/>
  <c r="D26" i="10"/>
  <c r="N43" i="9"/>
  <c r="M43" i="9"/>
  <c r="L43" i="9"/>
  <c r="K43" i="9"/>
  <c r="J43" i="9"/>
  <c r="I43" i="9"/>
  <c r="H43" i="9"/>
  <c r="G43" i="9"/>
  <c r="F43" i="9"/>
  <c r="E43" i="9"/>
  <c r="F42" i="9"/>
  <c r="E42" i="9"/>
  <c r="B2" i="9"/>
  <c r="B1" i="9"/>
  <c r="F18" i="9"/>
  <c r="G18" i="9" s="1"/>
  <c r="H18" i="9" s="1"/>
  <c r="I18" i="9" s="1"/>
  <c r="J18" i="9" s="1"/>
  <c r="K18" i="9" s="1"/>
  <c r="L18" i="9" s="1"/>
  <c r="M18" i="9" s="1"/>
  <c r="N18" i="9" s="1"/>
  <c r="AF18" i="9" s="1"/>
  <c r="F17" i="9"/>
  <c r="G17" i="9" s="1"/>
  <c r="H17" i="9" s="1"/>
  <c r="I17" i="9" s="1"/>
  <c r="J17" i="9" s="1"/>
  <c r="K17" i="9" s="1"/>
  <c r="L17" i="9" s="1"/>
  <c r="M17" i="9" s="1"/>
  <c r="N17" i="9" s="1"/>
  <c r="AF17" i="9" s="1"/>
  <c r="D17" i="6"/>
  <c r="D32" i="2" s="1"/>
  <c r="D23" i="7"/>
  <c r="D24" i="7"/>
  <c r="D17" i="7"/>
  <c r="D18" i="7" s="1"/>
  <c r="A17" i="6"/>
  <c r="D62" i="8"/>
  <c r="D70" i="8" s="1"/>
  <c r="D63" i="8"/>
  <c r="D71" i="8" s="1"/>
  <c r="D64" i="8"/>
  <c r="D72" i="8" s="1"/>
  <c r="D65" i="8"/>
  <c r="D73" i="8" s="1"/>
  <c r="E3" i="1"/>
  <c r="E17" i="7" s="1"/>
  <c r="N9" i="9"/>
  <c r="E9" i="9"/>
  <c r="F9" i="9"/>
  <c r="G9" i="9"/>
  <c r="H9" i="9"/>
  <c r="I9" i="9"/>
  <c r="J9" i="9"/>
  <c r="K9" i="9"/>
  <c r="L9" i="9"/>
  <c r="M9" i="9"/>
  <c r="O9" i="9"/>
  <c r="E25" i="10"/>
  <c r="E46" i="10" s="1"/>
  <c r="D25" i="10"/>
  <c r="D46" i="10" s="1"/>
  <c r="D40" i="10"/>
  <c r="E40" i="10"/>
  <c r="F40" i="10" s="1"/>
  <c r="G40" i="10" s="1"/>
  <c r="H3" i="10"/>
  <c r="H7" i="10" s="1"/>
  <c r="H10" i="10" s="1"/>
  <c r="H6" i="10"/>
  <c r="D38" i="10"/>
  <c r="E38" i="10" s="1"/>
  <c r="F38" i="10" s="1"/>
  <c r="G38" i="10" s="1"/>
  <c r="H38" i="10" s="1"/>
  <c r="I38" i="10" s="1"/>
  <c r="J38" i="10" s="1"/>
  <c r="K38" i="10" s="1"/>
  <c r="L38" i="10" s="1"/>
  <c r="M38" i="10" s="1"/>
  <c r="N38" i="10" s="1"/>
  <c r="O38" i="10" s="1"/>
  <c r="P38" i="10" s="1"/>
  <c r="Q38" i="10" s="1"/>
  <c r="R38" i="10" s="1"/>
  <c r="S38" i="10" s="1"/>
  <c r="T38" i="10" s="1"/>
  <c r="U38" i="10" s="1"/>
  <c r="V38" i="10" s="1"/>
  <c r="W38" i="10" s="1"/>
  <c r="X38" i="10" s="1"/>
  <c r="Y38" i="10" s="1"/>
  <c r="Z38" i="10" s="1"/>
  <c r="AA38" i="10" s="1"/>
  <c r="AB38" i="10" s="1"/>
  <c r="G6" i="10"/>
  <c r="G7" i="10" s="1"/>
  <c r="G8" i="10"/>
  <c r="G9" i="10" s="1"/>
  <c r="H40" i="10"/>
  <c r="I40" i="10" s="1"/>
  <c r="J40" i="10" s="1"/>
  <c r="K40" i="10" s="1"/>
  <c r="L40" i="10"/>
  <c r="M40" i="10" s="1"/>
  <c r="N40" i="10" s="1"/>
  <c r="H8" i="10"/>
  <c r="H9" i="10" s="1"/>
  <c r="C18" i="10"/>
  <c r="E35" i="10" s="1"/>
  <c r="D31" i="10"/>
  <c r="E31" i="10" s="1"/>
  <c r="F31" i="10"/>
  <c r="G31" i="10" s="1"/>
  <c r="H31" i="10" s="1"/>
  <c r="I31" i="10" s="1"/>
  <c r="J31" i="10" s="1"/>
  <c r="K31" i="10" s="1"/>
  <c r="L31" i="10" s="1"/>
  <c r="M31" i="10" s="1"/>
  <c r="N31" i="10" s="1"/>
  <c r="C3" i="10"/>
  <c r="C10" i="10"/>
  <c r="J2" i="10" s="1"/>
  <c r="D58" i="10"/>
  <c r="E58" i="10" s="1"/>
  <c r="F58" i="10" s="1"/>
  <c r="D50" i="10"/>
  <c r="E50" i="10" s="1"/>
  <c r="F50" i="10" s="1"/>
  <c r="G50" i="10" s="1"/>
  <c r="P57" i="10"/>
  <c r="Z57" i="10"/>
  <c r="X57" i="10"/>
  <c r="V57" i="10"/>
  <c r="P25" i="10"/>
  <c r="Q25" i="10"/>
  <c r="R25" i="10"/>
  <c r="S25" i="10"/>
  <c r="T25" i="10"/>
  <c r="U25" i="10"/>
  <c r="V25" i="10"/>
  <c r="W25" i="10"/>
  <c r="X25" i="10"/>
  <c r="Y25" i="10"/>
  <c r="Z25" i="10"/>
  <c r="AA25" i="10"/>
  <c r="AB25" i="10"/>
  <c r="D23" i="10"/>
  <c r="E23" i="10" s="1"/>
  <c r="F23" i="10" s="1"/>
  <c r="G23" i="10" s="1"/>
  <c r="H23" i="10" s="1"/>
  <c r="I23" i="10" s="1"/>
  <c r="J23" i="10" s="1"/>
  <c r="K23" i="10" s="1"/>
  <c r="L23" i="10" s="1"/>
  <c r="M23" i="10" s="1"/>
  <c r="N23" i="10" s="1"/>
  <c r="O23" i="10" s="1"/>
  <c r="P23" i="10" s="1"/>
  <c r="Q23" i="10" s="1"/>
  <c r="R23" i="10" s="1"/>
  <c r="S23" i="10" s="1"/>
  <c r="T23" i="10" s="1"/>
  <c r="U23" i="10" s="1"/>
  <c r="V23" i="10" s="1"/>
  <c r="W23" i="10" s="1"/>
  <c r="X23" i="10" s="1"/>
  <c r="Y23" i="10" s="1"/>
  <c r="Z23" i="10" s="1"/>
  <c r="AA23" i="10" s="1"/>
  <c r="AB23" i="10" s="1"/>
  <c r="F15" i="2"/>
  <c r="F16" i="2"/>
  <c r="G16" i="2" s="1"/>
  <c r="H16" i="2" s="1"/>
  <c r="I16" i="2" s="1"/>
  <c r="J16" i="2" s="1"/>
  <c r="K16" i="2" s="1"/>
  <c r="L16" i="2" s="1"/>
  <c r="M16" i="2" s="1"/>
  <c r="N16" i="2" s="1"/>
  <c r="F17" i="2"/>
  <c r="G17" i="2" s="1"/>
  <c r="AE7" i="9"/>
  <c r="AE8" i="9"/>
  <c r="AE6" i="9"/>
  <c r="C19" i="10"/>
  <c r="C4" i="10"/>
  <c r="C13" i="10" s="1"/>
  <c r="C11" i="10"/>
  <c r="B13" i="10"/>
  <c r="B12" i="10"/>
  <c r="C6" i="10"/>
  <c r="E9" i="2"/>
  <c r="E8" i="2"/>
  <c r="E32" i="13" s="1"/>
  <c r="E34" i="13" s="1"/>
  <c r="G48" i="6"/>
  <c r="E43" i="6"/>
  <c r="H40" i="6"/>
  <c r="D47" i="6"/>
  <c r="D5" i="1"/>
  <c r="D24" i="1"/>
  <c r="D25" i="1"/>
  <c r="D26" i="1"/>
  <c r="D27" i="1"/>
  <c r="P8" i="1"/>
  <c r="P9" i="1"/>
  <c r="P10" i="1"/>
  <c r="P7" i="1"/>
  <c r="D7" i="4"/>
  <c r="D19" i="2" s="1"/>
  <c r="E7" i="4"/>
  <c r="E19" i="2" s="1"/>
  <c r="F7" i="4"/>
  <c r="F19" i="2" s="1"/>
  <c r="G7" i="4"/>
  <c r="G19" i="2" s="1"/>
  <c r="H7" i="4"/>
  <c r="H19" i="2" s="1"/>
  <c r="I7" i="4"/>
  <c r="I19" i="2" s="1"/>
  <c r="J7" i="4"/>
  <c r="J19" i="2"/>
  <c r="K7" i="4"/>
  <c r="K19" i="2" s="1"/>
  <c r="L7" i="4"/>
  <c r="L19" i="2" s="1"/>
  <c r="M7" i="4"/>
  <c r="M19" i="2" s="1"/>
  <c r="N7" i="4"/>
  <c r="N19" i="2" s="1"/>
  <c r="F13" i="1"/>
  <c r="E13" i="1"/>
  <c r="G13" i="1"/>
  <c r="H13" i="1"/>
  <c r="I13" i="1"/>
  <c r="J13" i="1"/>
  <c r="K13" i="1"/>
  <c r="L13" i="1"/>
  <c r="M13" i="1"/>
  <c r="N13" i="1"/>
  <c r="D13" i="1"/>
  <c r="D15" i="1"/>
  <c r="D14" i="1"/>
  <c r="E14" i="1"/>
  <c r="G14" i="1"/>
  <c r="H14" i="1"/>
  <c r="I14" i="1"/>
  <c r="J14" i="1"/>
  <c r="K14" i="1"/>
  <c r="L14" i="1"/>
  <c r="M14" i="1"/>
  <c r="N14" i="1"/>
  <c r="E15" i="1"/>
  <c r="F15" i="1"/>
  <c r="G15" i="1"/>
  <c r="H15" i="1"/>
  <c r="I15" i="1"/>
  <c r="J15" i="1"/>
  <c r="K15" i="1"/>
  <c r="L15" i="1"/>
  <c r="M15" i="1"/>
  <c r="N15" i="1"/>
  <c r="C12" i="10" l="1"/>
  <c r="J33" i="9"/>
  <c r="E36" i="9"/>
  <c r="E32" i="2"/>
  <c r="H4" i="8"/>
  <c r="M4" i="8" s="1"/>
  <c r="N4" i="8"/>
  <c r="D4" i="8" s="1"/>
  <c r="P4" i="8" s="1"/>
  <c r="D28" i="1"/>
  <c r="P5" i="8"/>
  <c r="Q59" i="10"/>
  <c r="AB59" i="10"/>
  <c r="X59" i="10"/>
  <c r="T59" i="10"/>
  <c r="O59" i="10"/>
  <c r="S39" i="10"/>
  <c r="Z39" i="10"/>
  <c r="O39" i="10"/>
  <c r="W39" i="10"/>
  <c r="Y39" i="10"/>
  <c r="D59" i="10"/>
  <c r="F3" i="1"/>
  <c r="F17" i="7" s="1"/>
  <c r="E30" i="10"/>
  <c r="D9" i="9"/>
  <c r="I18" i="4"/>
  <c r="I31" i="2" s="1"/>
  <c r="D16" i="9"/>
  <c r="E42" i="6"/>
  <c r="D12" i="9"/>
  <c r="O12" i="9"/>
  <c r="P12" i="9" s="1"/>
  <c r="Q12" i="9" s="1"/>
  <c r="R12" i="9" s="1"/>
  <c r="S12" i="9" s="1"/>
  <c r="T12" i="9" s="1"/>
  <c r="U12" i="9" s="1"/>
  <c r="V12" i="9" s="1"/>
  <c r="W12" i="9" s="1"/>
  <c r="X12" i="9" s="1"/>
  <c r="Y12" i="9" s="1"/>
  <c r="Z12" i="9" s="1"/>
  <c r="AA12" i="9" s="1"/>
  <c r="AB12" i="9" s="1"/>
  <c r="AC12" i="9" s="1"/>
  <c r="E41" i="10"/>
  <c r="E49" i="10" s="1"/>
  <c r="G36" i="9"/>
  <c r="L36" i="9"/>
  <c r="I35" i="9"/>
  <c r="N35" i="9"/>
  <c r="F35" i="9"/>
  <c r="AE17" i="9"/>
  <c r="D17" i="9"/>
  <c r="O17" i="9"/>
  <c r="P17" i="9" s="1"/>
  <c r="Q17" i="9" s="1"/>
  <c r="R17" i="9" s="1"/>
  <c r="S17" i="9" s="1"/>
  <c r="T17" i="9" s="1"/>
  <c r="U17" i="9" s="1"/>
  <c r="V17" i="9" s="1"/>
  <c r="W17" i="9" s="1"/>
  <c r="X17" i="9" s="1"/>
  <c r="Y17" i="9" s="1"/>
  <c r="Z17" i="9" s="1"/>
  <c r="AA17" i="9" s="1"/>
  <c r="AB17" i="9" s="1"/>
  <c r="AC17" i="9" s="1"/>
  <c r="AE18" i="9"/>
  <c r="O18" i="9"/>
  <c r="P18" i="9" s="1"/>
  <c r="Q18" i="9" s="1"/>
  <c r="R18" i="9" s="1"/>
  <c r="S18" i="9" s="1"/>
  <c r="T18" i="9" s="1"/>
  <c r="U18" i="9" s="1"/>
  <c r="V18" i="9" s="1"/>
  <c r="W18" i="9" s="1"/>
  <c r="X18" i="9" s="1"/>
  <c r="Y18" i="9" s="1"/>
  <c r="Z18" i="9" s="1"/>
  <c r="AA18" i="9" s="1"/>
  <c r="AB18" i="9" s="1"/>
  <c r="AC18" i="9" s="1"/>
  <c r="D18" i="9"/>
  <c r="D29" i="7"/>
  <c r="E13" i="2"/>
  <c r="R59" i="10"/>
  <c r="U59" i="10"/>
  <c r="AA59" i="10"/>
  <c r="S59" i="10"/>
  <c r="Z59" i="10"/>
  <c r="D32" i="10"/>
  <c r="P59" i="10"/>
  <c r="Y59" i="10"/>
  <c r="W59" i="10"/>
  <c r="V59" i="10"/>
  <c r="F41" i="9"/>
  <c r="F27" i="10" s="1"/>
  <c r="G19" i="9"/>
  <c r="G42" i="9"/>
  <c r="D13" i="9"/>
  <c r="AE13" i="9"/>
  <c r="G58" i="10"/>
  <c r="F9" i="2"/>
  <c r="G9" i="2" s="1"/>
  <c r="H9" i="2" s="1"/>
  <c r="I9" i="2" s="1"/>
  <c r="J9" i="2" s="1"/>
  <c r="K9" i="2" s="1"/>
  <c r="L9" i="2" s="1"/>
  <c r="M9" i="2" s="1"/>
  <c r="N9" i="2" s="1"/>
  <c r="E33" i="9"/>
  <c r="D61" i="8" s="1"/>
  <c r="D69" i="8" s="1"/>
  <c r="F36" i="9"/>
  <c r="H34" i="9"/>
  <c r="K35" i="9"/>
  <c r="M33" i="9"/>
  <c r="N36" i="9"/>
  <c r="AE36" i="9" s="1"/>
  <c r="E35" i="9"/>
  <c r="G33" i="9"/>
  <c r="H36" i="9"/>
  <c r="J34" i="9"/>
  <c r="M35" i="9"/>
  <c r="G34" i="9"/>
  <c r="J35" i="9"/>
  <c r="L33" i="9"/>
  <c r="M36" i="9"/>
  <c r="I33" i="9"/>
  <c r="J38" i="9" s="1"/>
  <c r="G35" i="9"/>
  <c r="J36" i="9"/>
  <c r="L34" i="9"/>
  <c r="I36" i="9"/>
  <c r="L35" i="9"/>
  <c r="E34" i="9"/>
  <c r="H33" i="9"/>
  <c r="M34" i="9"/>
  <c r="H35" i="9"/>
  <c r="K33" i="9"/>
  <c r="F33" i="9"/>
  <c r="K34" i="9"/>
  <c r="N33" i="9"/>
  <c r="N38" i="9" s="1"/>
  <c r="F34" i="9"/>
  <c r="I34" i="9"/>
  <c r="K36" i="9"/>
  <c r="N34" i="9"/>
  <c r="H48" i="6"/>
  <c r="G9" i="6"/>
  <c r="G21" i="6" s="1"/>
  <c r="F40" i="9"/>
  <c r="F26" i="10" s="1"/>
  <c r="F39" i="10" s="1"/>
  <c r="G14" i="9"/>
  <c r="H50" i="10"/>
  <c r="D41" i="10"/>
  <c r="G3" i="1"/>
  <c r="E18" i="4"/>
  <c r="E31" i="2" s="1"/>
  <c r="J18" i="4"/>
  <c r="J31" i="2" s="1"/>
  <c r="F18" i="4"/>
  <c r="F31" i="2" s="1"/>
  <c r="K18" i="4"/>
  <c r="K31" i="2" s="1"/>
  <c r="L18" i="4"/>
  <c r="L31" i="2" s="1"/>
  <c r="D18" i="4"/>
  <c r="D31" i="2" s="1"/>
  <c r="M18" i="4"/>
  <c r="M31" i="2" s="1"/>
  <c r="N18" i="4"/>
  <c r="N31" i="2" s="1"/>
  <c r="G18" i="4"/>
  <c r="G31" i="2" s="1"/>
  <c r="H18" i="4"/>
  <c r="H31" i="2" s="1"/>
  <c r="P39" i="10"/>
  <c r="AA39" i="10"/>
  <c r="V39" i="10"/>
  <c r="D39" i="10"/>
  <c r="Q39" i="10"/>
  <c r="E9" i="6"/>
  <c r="E21" i="6" s="1"/>
  <c r="D9" i="6"/>
  <c r="D21" i="6" s="1"/>
  <c r="R39" i="10"/>
  <c r="AB39" i="10"/>
  <c r="U39" i="10"/>
  <c r="D57" i="10"/>
  <c r="D30" i="10"/>
  <c r="AE12" i="9"/>
  <c r="X39" i="10"/>
  <c r="T39" i="10"/>
  <c r="F41" i="10"/>
  <c r="G15" i="2"/>
  <c r="D35" i="10"/>
  <c r="E59" i="10"/>
  <c r="E57" i="10"/>
  <c r="E39" i="10"/>
  <c r="E32" i="10"/>
  <c r="F8" i="2"/>
  <c r="F32" i="13" s="1"/>
  <c r="F34" i="13" s="1"/>
  <c r="G25" i="10"/>
  <c r="G46" i="10" s="1"/>
  <c r="H17" i="2"/>
  <c r="F25" i="10"/>
  <c r="F46" i="10" s="1"/>
  <c r="H41" i="10"/>
  <c r="I24" i="10"/>
  <c r="G41" i="10"/>
  <c r="Q14" i="7"/>
  <c r="Q13" i="7"/>
  <c r="E15" i="7"/>
  <c r="E18" i="7" s="1"/>
  <c r="D34" i="11"/>
  <c r="F34" i="11" s="1"/>
  <c r="Q4" i="8" s="1"/>
  <c r="H3" i="8"/>
  <c r="K38" i="9" l="1"/>
  <c r="E51" i="10"/>
  <c r="E62" i="10" s="1"/>
  <c r="F38" i="9"/>
  <c r="F12" i="7" s="1"/>
  <c r="F15" i="7" s="1"/>
  <c r="F35" i="10"/>
  <c r="D36" i="9"/>
  <c r="G38" i="9"/>
  <c r="H38" i="9"/>
  <c r="M3" i="8"/>
  <c r="D3" i="8" s="1"/>
  <c r="Q16" i="8"/>
  <c r="F32" i="6"/>
  <c r="F42" i="6" s="1"/>
  <c r="E25" i="2"/>
  <c r="E11" i="8"/>
  <c r="E15" i="8" s="1"/>
  <c r="E22" i="8" s="1"/>
  <c r="M38" i="9"/>
  <c r="F49" i="10"/>
  <c r="F51" i="10"/>
  <c r="F62" i="10" s="1"/>
  <c r="D35" i="9"/>
  <c r="D34" i="9"/>
  <c r="D33" i="9"/>
  <c r="H9" i="6"/>
  <c r="H21" i="6" s="1"/>
  <c r="I48" i="6"/>
  <c r="G17" i="7"/>
  <c r="H3" i="1"/>
  <c r="F59" i="10"/>
  <c r="E21" i="1"/>
  <c r="E20" i="2"/>
  <c r="D49" i="10"/>
  <c r="D51" i="10"/>
  <c r="D62" i="10" s="1"/>
  <c r="I38" i="9"/>
  <c r="H42" i="9"/>
  <c r="G40" i="9"/>
  <c r="G26" i="10" s="1"/>
  <c r="G49" i="10" s="1"/>
  <c r="H14" i="9"/>
  <c r="G35" i="10"/>
  <c r="H15" i="2"/>
  <c r="G8" i="2"/>
  <c r="D29" i="13"/>
  <c r="D36" i="13" s="1"/>
  <c r="D13" i="2"/>
  <c r="D11" i="2"/>
  <c r="D12" i="2"/>
  <c r="F32" i="10"/>
  <c r="F57" i="10"/>
  <c r="F30" i="10"/>
  <c r="H58" i="10"/>
  <c r="D21" i="1"/>
  <c r="D20" i="2"/>
  <c r="I50" i="10"/>
  <c r="L38" i="9"/>
  <c r="G41" i="9"/>
  <c r="G27" i="10" s="1"/>
  <c r="H19" i="9"/>
  <c r="E14" i="8"/>
  <c r="E18" i="8"/>
  <c r="E25" i="8" s="1"/>
  <c r="E16" i="8"/>
  <c r="E23" i="8" s="1"/>
  <c r="E37" i="8" s="1"/>
  <c r="I17" i="2"/>
  <c r="H25" i="10"/>
  <c r="G32" i="13"/>
  <c r="G34" i="13" s="1"/>
  <c r="H8" i="2"/>
  <c r="I41" i="10"/>
  <c r="J24" i="10"/>
  <c r="O4" i="8"/>
  <c r="E4" i="8" s="1"/>
  <c r="E39" i="8" l="1"/>
  <c r="E32" i="8"/>
  <c r="D37" i="13"/>
  <c r="D39" i="13" s="1"/>
  <c r="D42" i="13" s="1"/>
  <c r="D46" i="13"/>
  <c r="O3" i="8"/>
  <c r="E3" i="8" s="1"/>
  <c r="P3" i="8"/>
  <c r="E21" i="8"/>
  <c r="E36" i="8"/>
  <c r="E44" i="1"/>
  <c r="E4" i="1"/>
  <c r="E17" i="8"/>
  <c r="D44" i="1"/>
  <c r="D45" i="1" s="1"/>
  <c r="G32" i="6"/>
  <c r="G42" i="6" s="1"/>
  <c r="D22" i="1"/>
  <c r="D3" i="4"/>
  <c r="D23" i="2"/>
  <c r="I42" i="9"/>
  <c r="I14" i="9"/>
  <c r="H40" i="9"/>
  <c r="H26" i="10" s="1"/>
  <c r="D3" i="6"/>
  <c r="D11" i="6" s="1"/>
  <c r="D24" i="2"/>
  <c r="I9" i="6"/>
  <c r="J48" i="6"/>
  <c r="I19" i="9"/>
  <c r="H41" i="9"/>
  <c r="H27" i="10" s="1"/>
  <c r="D11" i="8"/>
  <c r="D25" i="2"/>
  <c r="D33" i="2" s="1"/>
  <c r="I15" i="2"/>
  <c r="I58" i="10"/>
  <c r="J50" i="10"/>
  <c r="I3" i="1"/>
  <c r="H17" i="7"/>
  <c r="G57" i="10"/>
  <c r="G39" i="10"/>
  <c r="G59" i="10"/>
  <c r="G32" i="10"/>
  <c r="G30" i="10"/>
  <c r="G51" i="10"/>
  <c r="G62" i="10" s="1"/>
  <c r="J17" i="2"/>
  <c r="I25" i="10"/>
  <c r="H32" i="13"/>
  <c r="H34" i="13" s="1"/>
  <c r="I8" i="2"/>
  <c r="H46" i="10"/>
  <c r="H35" i="10"/>
  <c r="K24" i="10"/>
  <c r="J41" i="10"/>
  <c r="F18" i="7"/>
  <c r="G12" i="7"/>
  <c r="G15" i="7" s="1"/>
  <c r="E89" i="8" l="1"/>
  <c r="E81" i="8"/>
  <c r="E35" i="8"/>
  <c r="K50" i="10"/>
  <c r="D16" i="8"/>
  <c r="D23" i="8" s="1"/>
  <c r="D14" i="8"/>
  <c r="D21" i="8" s="1"/>
  <c r="D17" i="8"/>
  <c r="D15" i="8"/>
  <c r="D22" i="8" s="1"/>
  <c r="D18" i="8"/>
  <c r="D25" i="8" s="1"/>
  <c r="D32" i="8" s="1"/>
  <c r="J58" i="10"/>
  <c r="J19" i="9"/>
  <c r="I41" i="9"/>
  <c r="I27" i="10" s="1"/>
  <c r="K48" i="6"/>
  <c r="J9" i="6"/>
  <c r="I21" i="6"/>
  <c r="H39" i="10"/>
  <c r="H57" i="10"/>
  <c r="H32" i="10"/>
  <c r="H30" i="10"/>
  <c r="H59" i="10"/>
  <c r="H51" i="10"/>
  <c r="H62" i="10" s="1"/>
  <c r="H49" i="10"/>
  <c r="I40" i="9"/>
  <c r="I26" i="10" s="1"/>
  <c r="J14" i="9"/>
  <c r="I17" i="7"/>
  <c r="J3" i="1"/>
  <c r="J42" i="9"/>
  <c r="D8" i="4"/>
  <c r="J15" i="2"/>
  <c r="D12" i="6"/>
  <c r="I46" i="10"/>
  <c r="I35" i="10"/>
  <c r="K17" i="2"/>
  <c r="J25" i="10"/>
  <c r="I32" i="13"/>
  <c r="I34" i="13" s="1"/>
  <c r="J8" i="2"/>
  <c r="L24" i="10"/>
  <c r="K41" i="10"/>
  <c r="G18" i="7"/>
  <c r="H12" i="7"/>
  <c r="H15" i="7" s="1"/>
  <c r="H18" i="7" s="1"/>
  <c r="E29" i="8" l="1"/>
  <c r="D52" i="10"/>
  <c r="D53" i="10" s="1"/>
  <c r="D22" i="6"/>
  <c r="D23" i="6" s="1"/>
  <c r="D28" i="2" s="1"/>
  <c r="D22" i="7" s="1"/>
  <c r="D33" i="10"/>
  <c r="D34" i="10" s="1"/>
  <c r="D28" i="8"/>
  <c r="E28" i="8"/>
  <c r="E77" i="8" s="1"/>
  <c r="J41" i="9"/>
  <c r="J27" i="10" s="1"/>
  <c r="K19" i="9"/>
  <c r="D16" i="4"/>
  <c r="D14" i="4"/>
  <c r="D15" i="4"/>
  <c r="I57" i="10"/>
  <c r="I39" i="10"/>
  <c r="I30" i="10"/>
  <c r="I32" i="10"/>
  <c r="I59" i="10"/>
  <c r="I49" i="10"/>
  <c r="I51" i="10"/>
  <c r="I62" i="10" s="1"/>
  <c r="D19" i="4"/>
  <c r="D27" i="2" s="1"/>
  <c r="D21" i="7" s="1"/>
  <c r="D29" i="8"/>
  <c r="K42" i="9"/>
  <c r="J21" i="6"/>
  <c r="K15" i="2"/>
  <c r="D60" i="10"/>
  <c r="D61" i="10" s="1"/>
  <c r="L50" i="10"/>
  <c r="J40" i="9"/>
  <c r="J26" i="10" s="1"/>
  <c r="K14" i="9"/>
  <c r="K58" i="10"/>
  <c r="L48" i="6"/>
  <c r="K9" i="6"/>
  <c r="E30" i="8"/>
  <c r="D30" i="8"/>
  <c r="J17" i="7"/>
  <c r="K3" i="1"/>
  <c r="J46" i="10"/>
  <c r="J35" i="10"/>
  <c r="J32" i="13"/>
  <c r="J34" i="13" s="1"/>
  <c r="K8" i="2"/>
  <c r="K25" i="10"/>
  <c r="L17" i="2"/>
  <c r="L41" i="10"/>
  <c r="M24" i="10"/>
  <c r="I12" i="7"/>
  <c r="I15" i="7" s="1"/>
  <c r="E60" i="10" l="1"/>
  <c r="E61" i="10" s="1"/>
  <c r="D25" i="7"/>
  <c r="D28" i="7" s="1"/>
  <c r="D30" i="7" s="1"/>
  <c r="D35" i="7" s="1"/>
  <c r="K17" i="7"/>
  <c r="L3" i="1"/>
  <c r="L14" i="9"/>
  <c r="K40" i="9"/>
  <c r="K26" i="10" s="1"/>
  <c r="K41" i="9"/>
  <c r="K27" i="10" s="1"/>
  <c r="L19" i="9"/>
  <c r="L9" i="6"/>
  <c r="M48" i="6"/>
  <c r="L42" i="9"/>
  <c r="L58" i="10"/>
  <c r="E52" i="10"/>
  <c r="E53" i="10" s="1"/>
  <c r="L15" i="2"/>
  <c r="E86" i="8"/>
  <c r="E46" i="8"/>
  <c r="E78" i="8"/>
  <c r="E45" i="8"/>
  <c r="E85" i="8"/>
  <c r="J57" i="10"/>
  <c r="J39" i="10"/>
  <c r="J30" i="10"/>
  <c r="J32" i="10"/>
  <c r="J51" i="10"/>
  <c r="J62" i="10" s="1"/>
  <c r="J49" i="10"/>
  <c r="J59" i="10"/>
  <c r="E33" i="10"/>
  <c r="E34" i="10" s="1"/>
  <c r="E47" i="8"/>
  <c r="E79" i="8"/>
  <c r="E87" i="8"/>
  <c r="E49" i="8"/>
  <c r="E57" i="8" s="1"/>
  <c r="E65" i="8" s="1"/>
  <c r="E73" i="8" s="1"/>
  <c r="K21" i="6"/>
  <c r="M50" i="10"/>
  <c r="L25" i="10"/>
  <c r="M17" i="2"/>
  <c r="K46" i="10"/>
  <c r="K35" i="10"/>
  <c r="K32" i="13"/>
  <c r="K34" i="13" s="1"/>
  <c r="L8" i="2"/>
  <c r="M41" i="10"/>
  <c r="N24" i="10"/>
  <c r="J12" i="7"/>
  <c r="J15" i="7" s="1"/>
  <c r="I18" i="7"/>
  <c r="E94" i="8" l="1"/>
  <c r="E95" i="8"/>
  <c r="E97" i="8"/>
  <c r="F52" i="10"/>
  <c r="F53" i="10" s="1"/>
  <c r="F60" i="10"/>
  <c r="F61" i="10" s="1"/>
  <c r="E93" i="8"/>
  <c r="E61" i="8"/>
  <c r="E69" i="8" s="1"/>
  <c r="E53" i="8"/>
  <c r="E24" i="1"/>
  <c r="M15" i="2"/>
  <c r="L41" i="9"/>
  <c r="L27" i="10" s="1"/>
  <c r="M19" i="9"/>
  <c r="N50" i="10"/>
  <c r="E63" i="8"/>
  <c r="E71" i="8" s="1"/>
  <c r="E26" i="1"/>
  <c r="E55" i="8"/>
  <c r="F33" i="10"/>
  <c r="F34" i="10" s="1"/>
  <c r="M58" i="10"/>
  <c r="K57" i="10"/>
  <c r="K39" i="10"/>
  <c r="K30" i="10"/>
  <c r="K32" i="10"/>
  <c r="K59" i="10"/>
  <c r="K49" i="10"/>
  <c r="K51" i="10"/>
  <c r="M14" i="9"/>
  <c r="L40" i="9"/>
  <c r="L26" i="10" s="1"/>
  <c r="N42" i="9"/>
  <c r="M42" i="9"/>
  <c r="E25" i="1"/>
  <c r="E54" i="8"/>
  <c r="E62" i="8"/>
  <c r="E70" i="8" s="1"/>
  <c r="M3" i="1"/>
  <c r="L17" i="7"/>
  <c r="M9" i="6"/>
  <c r="N48" i="6"/>
  <c r="N9" i="6" s="1"/>
  <c r="L21" i="6"/>
  <c r="N17" i="2"/>
  <c r="N25" i="10" s="1"/>
  <c r="M25" i="10"/>
  <c r="L32" i="13"/>
  <c r="L34" i="13" s="1"/>
  <c r="M8" i="2"/>
  <c r="L46" i="10"/>
  <c r="L35" i="10"/>
  <c r="N41" i="10"/>
  <c r="O24" i="10"/>
  <c r="J18" i="7"/>
  <c r="K12" i="7"/>
  <c r="K15" i="7" s="1"/>
  <c r="G33" i="10" l="1"/>
  <c r="G34" i="10" s="1"/>
  <c r="N15" i="2"/>
  <c r="M17" i="7"/>
  <c r="N3" i="1"/>
  <c r="K62" i="10"/>
  <c r="G52" i="10"/>
  <c r="G53" i="10" s="1"/>
  <c r="M21" i="6"/>
  <c r="G60" i="10"/>
  <c r="G61" i="10" s="1"/>
  <c r="N21" i="6"/>
  <c r="L57" i="10"/>
  <c r="L39" i="10"/>
  <c r="L30" i="10"/>
  <c r="L32" i="10"/>
  <c r="L51" i="10"/>
  <c r="L62" i="10" s="1"/>
  <c r="L49" i="10"/>
  <c r="L59" i="10"/>
  <c r="M40" i="9"/>
  <c r="M26" i="10" s="1"/>
  <c r="N14" i="9"/>
  <c r="N58" i="10"/>
  <c r="N19" i="9"/>
  <c r="M41" i="9"/>
  <c r="M27" i="10" s="1"/>
  <c r="M46" i="10"/>
  <c r="M35" i="10"/>
  <c r="N46" i="10"/>
  <c r="O25" i="10"/>
  <c r="N35" i="10"/>
  <c r="M32" i="13"/>
  <c r="M34" i="13" s="1"/>
  <c r="N8" i="2"/>
  <c r="N32" i="13" s="1"/>
  <c r="N34" i="13" s="1"/>
  <c r="P24" i="10"/>
  <c r="O41" i="10"/>
  <c r="O32" i="10"/>
  <c r="O30" i="10"/>
  <c r="K18" i="7"/>
  <c r="L12" i="7"/>
  <c r="L15" i="7" s="1"/>
  <c r="AE19" i="9" l="1"/>
  <c r="AF19" i="9"/>
  <c r="H60" i="10"/>
  <c r="H61" i="10" s="1"/>
  <c r="N17" i="7"/>
  <c r="P3" i="1"/>
  <c r="M57" i="10"/>
  <c r="M39" i="10"/>
  <c r="M30" i="10"/>
  <c r="M32" i="10"/>
  <c r="M49" i="10"/>
  <c r="M51" i="10"/>
  <c r="M62" i="10" s="1"/>
  <c r="M59" i="10"/>
  <c r="N41" i="9"/>
  <c r="N27" i="10" s="1"/>
  <c r="O19" i="9"/>
  <c r="P19" i="9" s="1"/>
  <c r="Q19" i="9" s="1"/>
  <c r="R19" i="9" s="1"/>
  <c r="S19" i="9" s="1"/>
  <c r="T19" i="9" s="1"/>
  <c r="U19" i="9" s="1"/>
  <c r="V19" i="9" s="1"/>
  <c r="W19" i="9" s="1"/>
  <c r="X19" i="9" s="1"/>
  <c r="Y19" i="9" s="1"/>
  <c r="Z19" i="9" s="1"/>
  <c r="AA19" i="9" s="1"/>
  <c r="AB19" i="9" s="1"/>
  <c r="AC19" i="9" s="1"/>
  <c r="D19" i="9"/>
  <c r="H33" i="10"/>
  <c r="H34" i="10" s="1"/>
  <c r="H52" i="10"/>
  <c r="H53" i="10" s="1"/>
  <c r="O14" i="9"/>
  <c r="P14" i="9" s="1"/>
  <c r="Q14" i="9" s="1"/>
  <c r="R14" i="9" s="1"/>
  <c r="S14" i="9" s="1"/>
  <c r="T14" i="9" s="1"/>
  <c r="U14" i="9" s="1"/>
  <c r="V14" i="9" s="1"/>
  <c r="W14" i="9" s="1"/>
  <c r="X14" i="9" s="1"/>
  <c r="Y14" i="9" s="1"/>
  <c r="Z14" i="9" s="1"/>
  <c r="AA14" i="9" s="1"/>
  <c r="AB14" i="9" s="1"/>
  <c r="AC14" i="9" s="1"/>
  <c r="AE14" i="9"/>
  <c r="D14" i="9"/>
  <c r="N40" i="9"/>
  <c r="N26" i="10" s="1"/>
  <c r="O51" i="10"/>
  <c r="O49" i="10"/>
  <c r="P32" i="10"/>
  <c r="Q24" i="10"/>
  <c r="P30" i="10"/>
  <c r="P41" i="10"/>
  <c r="M12" i="7"/>
  <c r="M15" i="7" s="1"/>
  <c r="L18" i="7"/>
  <c r="I33" i="10" l="1"/>
  <c r="I34" i="10" s="1"/>
  <c r="I52" i="10"/>
  <c r="I53" i="10" s="1"/>
  <c r="D42" i="10"/>
  <c r="N57" i="10"/>
  <c r="N39" i="10"/>
  <c r="F42" i="10" s="1"/>
  <c r="F44" i="10" s="1"/>
  <c r="F45" i="10" s="1"/>
  <c r="N30" i="10"/>
  <c r="N32" i="10"/>
  <c r="N59" i="10"/>
  <c r="N60" i="10" s="1"/>
  <c r="N61" i="10" s="1"/>
  <c r="N49" i="10"/>
  <c r="N51" i="10"/>
  <c r="I60" i="10"/>
  <c r="I61" i="10" s="1"/>
  <c r="Q30" i="10"/>
  <c r="Q41" i="10"/>
  <c r="R24" i="10"/>
  <c r="Q32" i="10"/>
  <c r="P49" i="10"/>
  <c r="P51" i="10"/>
  <c r="N12" i="7"/>
  <c r="M18" i="7"/>
  <c r="F54" i="10" l="1"/>
  <c r="G42" i="10"/>
  <c r="G44" i="10" s="1"/>
  <c r="G45" i="10" s="1"/>
  <c r="K60" i="10"/>
  <c r="K61" i="10" s="1"/>
  <c r="L60" i="10"/>
  <c r="L61" i="10" s="1"/>
  <c r="M60" i="10"/>
  <c r="M61" i="10" s="1"/>
  <c r="D44" i="10"/>
  <c r="D45" i="10" s="1"/>
  <c r="D54" i="10"/>
  <c r="N62" i="10"/>
  <c r="J52" i="10"/>
  <c r="J53" i="10" s="1"/>
  <c r="E42" i="10"/>
  <c r="K52" i="10"/>
  <c r="K53" i="10" s="1"/>
  <c r="K33" i="10"/>
  <c r="K34" i="10" s="1"/>
  <c r="J33" i="10"/>
  <c r="J34" i="10" s="1"/>
  <c r="L33" i="10"/>
  <c r="L34" i="10" s="1"/>
  <c r="J60" i="10"/>
  <c r="J61" i="10" s="1"/>
  <c r="L52" i="10"/>
  <c r="L53" i="10" s="1"/>
  <c r="M33" i="10"/>
  <c r="M34" i="10" s="1"/>
  <c r="R41" i="10"/>
  <c r="S24" i="10"/>
  <c r="R32" i="10"/>
  <c r="R30" i="10"/>
  <c r="Q49" i="10"/>
  <c r="Q51" i="10"/>
  <c r="H42" i="10"/>
  <c r="N15" i="7"/>
  <c r="Q12" i="7"/>
  <c r="M52" i="10" l="1"/>
  <c r="M53" i="10" s="1"/>
  <c r="G54" i="10"/>
  <c r="N33" i="10"/>
  <c r="N34" i="10" s="1"/>
  <c r="E44" i="10"/>
  <c r="E45" i="10" s="1"/>
  <c r="E54" i="10"/>
  <c r="H44" i="10"/>
  <c r="H45" i="10" s="1"/>
  <c r="H54" i="10"/>
  <c r="T24" i="10"/>
  <c r="S32" i="10"/>
  <c r="S41" i="10"/>
  <c r="S30" i="10"/>
  <c r="R51" i="10"/>
  <c r="R49" i="10"/>
  <c r="I42" i="10"/>
  <c r="N18" i="7"/>
  <c r="Q15" i="7"/>
  <c r="C15" i="7"/>
  <c r="C18" i="7" s="1"/>
  <c r="N52" i="10" l="1"/>
  <c r="N53" i="10" s="1"/>
  <c r="I44" i="10"/>
  <c r="I45" i="10" s="1"/>
  <c r="I54" i="10"/>
  <c r="U24" i="10"/>
  <c r="T41" i="10"/>
  <c r="T32" i="10"/>
  <c r="T30" i="10"/>
  <c r="S49" i="10"/>
  <c r="S51" i="10"/>
  <c r="J42" i="10"/>
  <c r="U30" i="10" l="1"/>
  <c r="U41" i="10"/>
  <c r="V24" i="10"/>
  <c r="U32" i="10"/>
  <c r="J44" i="10"/>
  <c r="J45" i="10" s="1"/>
  <c r="J54" i="10"/>
  <c r="T49" i="10"/>
  <c r="T51" i="10"/>
  <c r="K42" i="10"/>
  <c r="L42" i="10"/>
  <c r="K44" i="10" l="1"/>
  <c r="K45" i="10" s="1"/>
  <c r="K54" i="10"/>
  <c r="V41" i="10"/>
  <c r="V32" i="10"/>
  <c r="W24" i="10"/>
  <c r="V30" i="10"/>
  <c r="L44" i="10"/>
  <c r="L45" i="10" s="1"/>
  <c r="L54" i="10"/>
  <c r="U51" i="10"/>
  <c r="U49" i="10"/>
  <c r="V51" i="10" l="1"/>
  <c r="V49" i="10"/>
  <c r="M42" i="10"/>
  <c r="X24" i="10"/>
  <c r="W32" i="10"/>
  <c r="W41" i="10"/>
  <c r="W30" i="10"/>
  <c r="M44" i="10" l="1"/>
  <c r="M45" i="10" s="1"/>
  <c r="M54" i="10"/>
  <c r="W49" i="10"/>
  <c r="W51" i="10"/>
  <c r="N42" i="10"/>
  <c r="Y24" i="10"/>
  <c r="X41" i="10"/>
  <c r="X32" i="10"/>
  <c r="X30" i="10"/>
  <c r="Y30" i="10" l="1"/>
  <c r="Z24" i="10"/>
  <c r="Y41" i="10"/>
  <c r="Y32" i="10"/>
  <c r="N44" i="10"/>
  <c r="N45" i="10" s="1"/>
  <c r="N54" i="10"/>
  <c r="X49" i="10"/>
  <c r="X51" i="10"/>
  <c r="Y51" i="10" l="1"/>
  <c r="Y49" i="10"/>
  <c r="AA24" i="10"/>
  <c r="Z41" i="10"/>
  <c r="Z30" i="10"/>
  <c r="Z32" i="10"/>
  <c r="AB24" i="10" l="1"/>
  <c r="AA41" i="10"/>
  <c r="AA32" i="10"/>
  <c r="AA30" i="10"/>
  <c r="Z51" i="10"/>
  <c r="Z49" i="10"/>
  <c r="AA51" i="10" l="1"/>
  <c r="AA49" i="10"/>
  <c r="AB41" i="10"/>
  <c r="AB32" i="10"/>
  <c r="AB30" i="10"/>
  <c r="AB49" i="10" l="1"/>
  <c r="AB51" i="10"/>
  <c r="F17" i="1" l="1"/>
  <c r="J17" i="1"/>
  <c r="N17" i="1"/>
  <c r="M17" i="1"/>
  <c r="E45" i="1"/>
  <c r="L17" i="1"/>
  <c r="K17" i="1"/>
  <c r="E17" i="1" l="1"/>
  <c r="E22" i="1" s="1"/>
  <c r="G17" i="1"/>
  <c r="H17" i="1"/>
  <c r="I17" i="1"/>
  <c r="F33" i="6"/>
  <c r="F8" i="6" s="1"/>
  <c r="F20" i="6" s="1"/>
  <c r="F20" i="2" l="1"/>
  <c r="F21" i="1"/>
  <c r="F4" i="1" l="1"/>
  <c r="F44" i="1"/>
  <c r="F45" i="1" s="1"/>
  <c r="F31" i="1"/>
  <c r="F22" i="1"/>
  <c r="G33" i="6" l="1"/>
  <c r="G8" i="6" s="1"/>
  <c r="G20" i="6" s="1"/>
  <c r="G21" i="1" l="1"/>
  <c r="G4" i="1" s="1"/>
  <c r="G20" i="2"/>
  <c r="H33" i="6" l="1"/>
  <c r="G31" i="1"/>
  <c r="G44" i="1"/>
  <c r="G45" i="1" s="1"/>
  <c r="G22" i="1"/>
  <c r="I33" i="6" l="1"/>
  <c r="J33" i="6" l="1"/>
  <c r="K33" i="6" l="1"/>
  <c r="L33" i="6" l="1"/>
  <c r="N33" i="6" l="1"/>
  <c r="M33" i="6"/>
  <c r="P33" i="6" l="1"/>
  <c r="H32" i="6" l="1"/>
  <c r="K32" i="6"/>
  <c r="K8" i="6" s="1"/>
  <c r="J32" i="6"/>
  <c r="J8" i="6" s="1"/>
  <c r="L32" i="6"/>
  <c r="L8" i="6" s="1"/>
  <c r="N32" i="6"/>
  <c r="N8" i="6" s="1"/>
  <c r="M32" i="6"/>
  <c r="M8" i="6" s="1"/>
  <c r="I32" i="6"/>
  <c r="I8" i="6" s="1"/>
  <c r="M21" i="1" l="1"/>
  <c r="M20" i="2"/>
  <c r="K20" i="2"/>
  <c r="K21" i="1"/>
  <c r="I20" i="2"/>
  <c r="I21" i="1"/>
  <c r="N20" i="2"/>
  <c r="N21" i="1"/>
  <c r="H42" i="6"/>
  <c r="H8" i="6"/>
  <c r="H20" i="6" s="1"/>
  <c r="I20" i="6" s="1"/>
  <c r="J20" i="6" s="1"/>
  <c r="K20" i="6" s="1"/>
  <c r="L20" i="6" s="1"/>
  <c r="M20" i="6" s="1"/>
  <c r="N20" i="6" s="1"/>
  <c r="L20" i="2"/>
  <c r="L21" i="1"/>
  <c r="J20" i="2"/>
  <c r="J21" i="1"/>
  <c r="I42" i="6"/>
  <c r="N42" i="6"/>
  <c r="L42" i="6"/>
  <c r="J42" i="6"/>
  <c r="M42" i="6"/>
  <c r="K42" i="6"/>
  <c r="P32" i="6"/>
  <c r="J4" i="1" l="1"/>
  <c r="J22" i="1"/>
  <c r="J31" i="1"/>
  <c r="J44" i="1"/>
  <c r="J45" i="1" s="1"/>
  <c r="L4" i="1"/>
  <c r="L44" i="1"/>
  <c r="L45" i="1" s="1"/>
  <c r="L22" i="1"/>
  <c r="L31" i="1"/>
  <c r="N4" i="1"/>
  <c r="P21" i="1"/>
  <c r="N22" i="1"/>
  <c r="N44" i="1"/>
  <c r="N45" i="1" s="1"/>
  <c r="N31" i="1"/>
  <c r="K4" i="1"/>
  <c r="K22" i="1"/>
  <c r="K44" i="1"/>
  <c r="K45" i="1" s="1"/>
  <c r="K31" i="1"/>
  <c r="H20" i="2"/>
  <c r="H21" i="1"/>
  <c r="I4" i="1"/>
  <c r="I44" i="1"/>
  <c r="I45" i="1" s="1"/>
  <c r="I22" i="1"/>
  <c r="M4" i="1"/>
  <c r="M31" i="1"/>
  <c r="M44" i="1"/>
  <c r="M45" i="1" s="1"/>
  <c r="M22" i="1"/>
  <c r="I31" i="1" l="1"/>
  <c r="H44" i="1"/>
  <c r="H45" i="1" s="1"/>
  <c r="H4" i="1"/>
  <c r="H31" i="1"/>
  <c r="H22" i="1"/>
  <c r="P4" i="1"/>
  <c r="N6" i="8" l="1"/>
  <c r="D6" i="8" s="1"/>
  <c r="O6" i="8" l="1"/>
  <c r="P6" i="8"/>
  <c r="E24" i="8"/>
  <c r="D24" i="8"/>
  <c r="D31" i="8" l="1"/>
  <c r="E31" i="8"/>
  <c r="E6" i="8"/>
  <c r="E38" i="8" s="1"/>
  <c r="E40" i="8" s="1"/>
  <c r="Q6" i="8"/>
  <c r="E88" i="8" l="1"/>
  <c r="E90" i="8" s="1"/>
  <c r="E80" i="8"/>
  <c r="E48" i="8"/>
  <c r="D40" i="7" l="1"/>
  <c r="D41" i="7" s="1"/>
  <c r="E40" i="13"/>
  <c r="E43" i="13" s="1"/>
  <c r="E56" i="8"/>
  <c r="E58" i="8" s="1"/>
  <c r="E50" i="8"/>
  <c r="E64" i="8"/>
  <c r="E27" i="1"/>
  <c r="E28" i="1" s="1"/>
  <c r="E5" i="1" s="1"/>
  <c r="E82" i="8"/>
  <c r="E96" i="8"/>
  <c r="E98" i="8" s="1"/>
  <c r="E36" i="7" s="1"/>
  <c r="E66" i="8" l="1"/>
  <c r="E72" i="8"/>
  <c r="E74" i="8" s="1"/>
  <c r="E38" i="7"/>
  <c r="E37" i="7"/>
  <c r="E24" i="7"/>
  <c r="E29" i="7" l="1"/>
  <c r="E4" i="2"/>
  <c r="E40" i="2" s="1"/>
  <c r="E41" i="2" s="1"/>
  <c r="E29" i="2"/>
  <c r="E42" i="2" l="1"/>
  <c r="E43" i="2" s="1"/>
  <c r="E33" i="2"/>
  <c r="E23" i="7"/>
  <c r="E12" i="2"/>
  <c r="E29" i="13"/>
  <c r="E36" i="13" s="1"/>
  <c r="F13" i="2"/>
  <c r="E11" i="2"/>
  <c r="E37" i="13" l="1"/>
  <c r="E39" i="13" s="1"/>
  <c r="E40" i="7" s="1"/>
  <c r="E46" i="13"/>
  <c r="E24" i="2"/>
  <c r="E3" i="6"/>
  <c r="E23" i="2"/>
  <c r="E3" i="4"/>
  <c r="E8" i="4" s="1"/>
  <c r="F25" i="2"/>
  <c r="F11" i="8"/>
  <c r="E47" i="13" l="1"/>
  <c r="E48" i="13" s="1"/>
  <c r="E42" i="13"/>
  <c r="E44" i="13" s="1"/>
  <c r="E16" i="4"/>
  <c r="E15" i="4"/>
  <c r="E14" i="4"/>
  <c r="E19" i="4"/>
  <c r="E27" i="2" s="1"/>
  <c r="E21" i="7" s="1"/>
  <c r="F17" i="8"/>
  <c r="F24" i="8" s="1"/>
  <c r="F15" i="8"/>
  <c r="F22" i="8" s="1"/>
  <c r="F16" i="8"/>
  <c r="F23" i="8" s="1"/>
  <c r="F18" i="8"/>
  <c r="F25" i="8" s="1"/>
  <c r="F32" i="8" s="1"/>
  <c r="F81" i="8" s="1"/>
  <c r="F14" i="8"/>
  <c r="F21" i="8" s="1"/>
  <c r="E12" i="6"/>
  <c r="E11" i="6"/>
  <c r="E49" i="13" l="1"/>
  <c r="E39" i="7" s="1"/>
  <c r="F29" i="8"/>
  <c r="E22" i="6"/>
  <c r="E23" i="6" s="1"/>
  <c r="E28" i="2" s="1"/>
  <c r="E22" i="7" s="1"/>
  <c r="E25" i="7" s="1"/>
  <c r="E34" i="7" s="1"/>
  <c r="F37" i="8"/>
  <c r="F30" i="8"/>
  <c r="F39" i="8"/>
  <c r="F36" i="8"/>
  <c r="F35" i="8"/>
  <c r="F28" i="8"/>
  <c r="F38" i="8"/>
  <c r="F31" i="8"/>
  <c r="F87" i="8" l="1"/>
  <c r="F47" i="8"/>
  <c r="F79" i="8"/>
  <c r="E28" i="7"/>
  <c r="F48" i="8"/>
  <c r="F88" i="8"/>
  <c r="F80" i="8"/>
  <c r="F77" i="8"/>
  <c r="F85" i="8"/>
  <c r="F45" i="8"/>
  <c r="F40" i="8"/>
  <c r="F86" i="8"/>
  <c r="F78" i="8"/>
  <c r="F46" i="8"/>
  <c r="F49" i="8"/>
  <c r="F57" i="8" s="1"/>
  <c r="F65" i="8" s="1"/>
  <c r="F73" i="8" s="1"/>
  <c r="F89" i="8"/>
  <c r="F96" i="8" l="1"/>
  <c r="F95" i="8"/>
  <c r="F94" i="8"/>
  <c r="F90" i="8"/>
  <c r="F40" i="13" s="1"/>
  <c r="F43" i="13" s="1"/>
  <c r="F27" i="1"/>
  <c r="F56" i="8"/>
  <c r="F64" i="8"/>
  <c r="F72" i="8" s="1"/>
  <c r="F97" i="8"/>
  <c r="F82" i="8"/>
  <c r="F93" i="8"/>
  <c r="E30" i="7"/>
  <c r="E35" i="7" s="1"/>
  <c r="F55" i="8"/>
  <c r="F26" i="1"/>
  <c r="F63" i="8"/>
  <c r="F71" i="8" s="1"/>
  <c r="F53" i="8"/>
  <c r="F61" i="8"/>
  <c r="F50" i="8"/>
  <c r="F24" i="1"/>
  <c r="F54" i="8"/>
  <c r="F25" i="1"/>
  <c r="F62" i="8"/>
  <c r="F70" i="8" s="1"/>
  <c r="F28" i="1" l="1"/>
  <c r="F5" i="1" s="1"/>
  <c r="F98" i="8"/>
  <c r="F36" i="7" s="1"/>
  <c r="F66" i="8"/>
  <c r="F69" i="8"/>
  <c r="F74" i="8" s="1"/>
  <c r="F37" i="7"/>
  <c r="F38" i="7"/>
  <c r="F58" i="8"/>
  <c r="E41" i="7"/>
  <c r="F29" i="7" l="1"/>
  <c r="F4" i="2"/>
  <c r="F40" i="2" s="1"/>
  <c r="F24" i="7"/>
  <c r="F29" i="2"/>
  <c r="F42" i="2" l="1"/>
  <c r="F43" i="2" s="1"/>
  <c r="F41" i="2"/>
  <c r="G13" i="2"/>
  <c r="F12" i="2"/>
  <c r="F29" i="13"/>
  <c r="F36" i="13" s="1"/>
  <c r="F11" i="2"/>
  <c r="F33" i="2"/>
  <c r="F23" i="7"/>
  <c r="F37" i="13" l="1"/>
  <c r="F39" i="13" s="1"/>
  <c r="F40" i="7" s="1"/>
  <c r="F41" i="7" s="1"/>
  <c r="F46" i="13"/>
  <c r="F47" i="13" s="1"/>
  <c r="F3" i="6"/>
  <c r="F24" i="2"/>
  <c r="F23" i="2"/>
  <c r="F3" i="4"/>
  <c r="F8" i="4" s="1"/>
  <c r="G25" i="2"/>
  <c r="G11" i="8"/>
  <c r="F49" i="13" l="1"/>
  <c r="F39" i="7" s="1"/>
  <c r="F48" i="13"/>
  <c r="F42" i="13"/>
  <c r="F44" i="13" s="1"/>
  <c r="F14" i="4"/>
  <c r="F15" i="4"/>
  <c r="F16" i="4"/>
  <c r="F19" i="4"/>
  <c r="F27" i="2" s="1"/>
  <c r="F21" i="7" s="1"/>
  <c r="G15" i="8"/>
  <c r="G22" i="8" s="1"/>
  <c r="G16" i="8"/>
  <c r="G23" i="8" s="1"/>
  <c r="G17" i="8"/>
  <c r="G24" i="8" s="1"/>
  <c r="G14" i="8"/>
  <c r="G21" i="8" s="1"/>
  <c r="G18" i="8"/>
  <c r="G25" i="8" s="1"/>
  <c r="G32" i="8" s="1"/>
  <c r="G81" i="8" s="1"/>
  <c r="F12" i="6"/>
  <c r="F11" i="6"/>
  <c r="F22" i="6" l="1"/>
  <c r="F23" i="6" s="1"/>
  <c r="F28" i="2" s="1"/>
  <c r="F22" i="7" s="1"/>
  <c r="F25" i="7" s="1"/>
  <c r="G35" i="8"/>
  <c r="G28" i="8"/>
  <c r="G38" i="8"/>
  <c r="G31" i="8"/>
  <c r="G37" i="8"/>
  <c r="G30" i="8"/>
  <c r="G39" i="8"/>
  <c r="G36" i="8"/>
  <c r="G29" i="8"/>
  <c r="F34" i="7" l="1"/>
  <c r="F28" i="7"/>
  <c r="G80" i="8"/>
  <c r="G48" i="8"/>
  <c r="G88" i="8"/>
  <c r="G86" i="8"/>
  <c r="G78" i="8"/>
  <c r="G46" i="8"/>
  <c r="G77" i="8"/>
  <c r="G85" i="8"/>
  <c r="G45" i="8"/>
  <c r="G87" i="8"/>
  <c r="G47" i="8"/>
  <c r="G79" i="8"/>
  <c r="G49" i="8"/>
  <c r="G57" i="8" s="1"/>
  <c r="G65" i="8" s="1"/>
  <c r="G73" i="8" s="1"/>
  <c r="G89" i="8"/>
  <c r="G40" i="8"/>
  <c r="G95" i="8" l="1"/>
  <c r="G94" i="8"/>
  <c r="G96" i="8"/>
  <c r="G90" i="8"/>
  <c r="G97" i="8"/>
  <c r="G82" i="8"/>
  <c r="G93" i="8"/>
  <c r="G63" i="8"/>
  <c r="G71" i="8" s="1"/>
  <c r="G55" i="8"/>
  <c r="G26" i="1"/>
  <c r="F30" i="7"/>
  <c r="F35" i="7" s="1"/>
  <c r="G50" i="8"/>
  <c r="G61" i="8"/>
  <c r="G53" i="8"/>
  <c r="G24" i="1"/>
  <c r="G62" i="8"/>
  <c r="G70" i="8" s="1"/>
  <c r="G25" i="1"/>
  <c r="G54" i="8"/>
  <c r="G56" i="8"/>
  <c r="G64" i="8"/>
  <c r="G72" i="8" s="1"/>
  <c r="G27" i="1"/>
  <c r="G40" i="13" l="1"/>
  <c r="G43" i="13" s="1"/>
  <c r="G58" i="8"/>
  <c r="G24" i="7" s="1"/>
  <c r="G98" i="8"/>
  <c r="G36" i="7" s="1"/>
  <c r="G66" i="8"/>
  <c r="G69" i="8"/>
  <c r="G74" i="8" s="1"/>
  <c r="G38" i="7"/>
  <c r="G37" i="7"/>
  <c r="G28" i="1"/>
  <c r="G29" i="2" l="1"/>
  <c r="G5" i="1"/>
  <c r="G23" i="7" l="1"/>
  <c r="G33" i="2"/>
  <c r="G29" i="7"/>
  <c r="G4" i="2"/>
  <c r="G40" i="2" s="1"/>
  <c r="G42" i="2" l="1"/>
  <c r="G43" i="2" s="1"/>
  <c r="G41" i="2"/>
  <c r="H13" i="2"/>
  <c r="G11" i="2"/>
  <c r="G12" i="2"/>
  <c r="G29" i="13"/>
  <c r="G36" i="13" s="1"/>
  <c r="G37" i="13" l="1"/>
  <c r="G39" i="13" s="1"/>
  <c r="G40" i="7" s="1"/>
  <c r="G46" i="13"/>
  <c r="G47" i="13" s="1"/>
  <c r="G24" i="2"/>
  <c r="G3" i="6"/>
  <c r="G23" i="2"/>
  <c r="G3" i="4"/>
  <c r="G8" i="4" s="1"/>
  <c r="H25" i="2"/>
  <c r="H11" i="8"/>
  <c r="G49" i="13" l="1"/>
  <c r="G39" i="7" s="1"/>
  <c r="G48" i="13"/>
  <c r="G42" i="13"/>
  <c r="G44" i="13" s="1"/>
  <c r="H14" i="8"/>
  <c r="H21" i="8" s="1"/>
  <c r="H16" i="8"/>
  <c r="H23" i="8" s="1"/>
  <c r="H17" i="8"/>
  <c r="H24" i="8" s="1"/>
  <c r="H15" i="8"/>
  <c r="H22" i="8" s="1"/>
  <c r="H18" i="8"/>
  <c r="H25" i="8" s="1"/>
  <c r="H32" i="8" s="1"/>
  <c r="H81" i="8" s="1"/>
  <c r="G12" i="6"/>
  <c r="G11" i="6"/>
  <c r="G15" i="4"/>
  <c r="G16" i="4"/>
  <c r="G14" i="4"/>
  <c r="G19" i="4"/>
  <c r="G27" i="2" s="1"/>
  <c r="G21" i="7" s="1"/>
  <c r="G22" i="6" l="1"/>
  <c r="G23" i="6" s="1"/>
  <c r="G28" i="2" s="1"/>
  <c r="G22" i="7" s="1"/>
  <c r="H38" i="8"/>
  <c r="H31" i="8"/>
  <c r="H36" i="8"/>
  <c r="H29" i="8"/>
  <c r="H37" i="8"/>
  <c r="H30" i="8"/>
  <c r="H39" i="8"/>
  <c r="H35" i="8"/>
  <c r="H28" i="8"/>
  <c r="H85" i="8" l="1"/>
  <c r="H77" i="8"/>
  <c r="H45" i="8"/>
  <c r="H89" i="8"/>
  <c r="H49" i="8"/>
  <c r="H57" i="8" s="1"/>
  <c r="H65" i="8" s="1"/>
  <c r="H73" i="8" s="1"/>
  <c r="H79" i="8"/>
  <c r="H47" i="8"/>
  <c r="H87" i="8"/>
  <c r="H48" i="8"/>
  <c r="H80" i="8"/>
  <c r="H88" i="8"/>
  <c r="H78" i="8"/>
  <c r="H86" i="8"/>
  <c r="H46" i="8"/>
  <c r="H40" i="8"/>
  <c r="G25" i="7"/>
  <c r="H96" i="8" l="1"/>
  <c r="H97" i="8"/>
  <c r="H26" i="1"/>
  <c r="H55" i="8"/>
  <c r="H63" i="8"/>
  <c r="H71" i="8" s="1"/>
  <c r="H54" i="8"/>
  <c r="H25" i="1"/>
  <c r="H62" i="8"/>
  <c r="H70" i="8" s="1"/>
  <c r="H95" i="8"/>
  <c r="H53" i="8"/>
  <c r="H50" i="8"/>
  <c r="H61" i="8"/>
  <c r="H24" i="1"/>
  <c r="H93" i="8"/>
  <c r="H82" i="8"/>
  <c r="G28" i="7"/>
  <c r="G34" i="7"/>
  <c r="H56" i="8"/>
  <c r="H27" i="1"/>
  <c r="H64" i="8"/>
  <c r="H72" i="8" s="1"/>
  <c r="H94" i="8"/>
  <c r="H90" i="8"/>
  <c r="H40" i="13" s="1"/>
  <c r="H43" i="13" s="1"/>
  <c r="H58" i="8" l="1"/>
  <c r="H24" i="7" s="1"/>
  <c r="H98" i="8"/>
  <c r="H36" i="7" s="1"/>
  <c r="H28" i="1"/>
  <c r="G30" i="7"/>
  <c r="G35" i="7" s="1"/>
  <c r="H69" i="8"/>
  <c r="H74" i="8" s="1"/>
  <c r="H66" i="8"/>
  <c r="G41" i="7"/>
  <c r="H38" i="7"/>
  <c r="H37" i="7"/>
  <c r="H29" i="2" l="1"/>
  <c r="H5" i="1"/>
  <c r="H29" i="7" l="1"/>
  <c r="H4" i="2"/>
  <c r="H40" i="2" s="1"/>
  <c r="H33" i="2"/>
  <c r="H23" i="7"/>
  <c r="H42" i="2" l="1"/>
  <c r="H43" i="2" s="1"/>
  <c r="H41" i="2"/>
  <c r="I13" i="2"/>
  <c r="H29" i="13"/>
  <c r="H36" i="13" s="1"/>
  <c r="H11" i="2"/>
  <c r="H12" i="2"/>
  <c r="H37" i="13" l="1"/>
  <c r="H39" i="13" s="1"/>
  <c r="H40" i="7" s="1"/>
  <c r="H46" i="13"/>
  <c r="H47" i="13" s="1"/>
  <c r="I11" i="8"/>
  <c r="I25" i="2"/>
  <c r="H24" i="2"/>
  <c r="H3" i="6"/>
  <c r="H23" i="2"/>
  <c r="H3" i="4"/>
  <c r="H8" i="4" s="1"/>
  <c r="H42" i="13"/>
  <c r="H44" i="13" s="1"/>
  <c r="H49" i="13" l="1"/>
  <c r="H39" i="7" s="1"/>
  <c r="H48" i="13"/>
  <c r="H12" i="6"/>
  <c r="H11" i="6"/>
  <c r="H16" i="4"/>
  <c r="H15" i="4"/>
  <c r="H14" i="4"/>
  <c r="H19" i="4"/>
  <c r="H27" i="2" s="1"/>
  <c r="H21" i="7" s="1"/>
  <c r="I17" i="8"/>
  <c r="I24" i="8" s="1"/>
  <c r="I16" i="8"/>
  <c r="I23" i="8" s="1"/>
  <c r="I15" i="8"/>
  <c r="I22" i="8" s="1"/>
  <c r="I18" i="8"/>
  <c r="I25" i="8" s="1"/>
  <c r="I32" i="8" s="1"/>
  <c r="I81" i="8" s="1"/>
  <c r="I14" i="8"/>
  <c r="I21" i="8" s="1"/>
  <c r="H22" i="6" l="1"/>
  <c r="H23" i="6" s="1"/>
  <c r="H28" i="2" s="1"/>
  <c r="H22" i="7" s="1"/>
  <c r="H25" i="7" s="1"/>
  <c r="I37" i="8"/>
  <c r="I30" i="8"/>
  <c r="I35" i="8"/>
  <c r="I28" i="8"/>
  <c r="I39" i="8"/>
  <c r="I38" i="8"/>
  <c r="I31" i="8"/>
  <c r="I36" i="8"/>
  <c r="I29" i="8"/>
  <c r="I40" i="8" l="1"/>
  <c r="I46" i="8"/>
  <c r="I86" i="8"/>
  <c r="I78" i="8"/>
  <c r="I87" i="8"/>
  <c r="I47" i="8"/>
  <c r="I79" i="8"/>
  <c r="I80" i="8"/>
  <c r="I88" i="8"/>
  <c r="I48" i="8"/>
  <c r="I49" i="8"/>
  <c r="I57" i="8" s="1"/>
  <c r="I65" i="8" s="1"/>
  <c r="I73" i="8" s="1"/>
  <c r="I89" i="8"/>
  <c r="H28" i="7"/>
  <c r="H34" i="7"/>
  <c r="I45" i="8"/>
  <c r="I77" i="8"/>
  <c r="I85" i="8"/>
  <c r="I96" i="8" l="1"/>
  <c r="I94" i="8"/>
  <c r="I95" i="8"/>
  <c r="I97" i="8"/>
  <c r="I90" i="8"/>
  <c r="I40" i="13" s="1"/>
  <c r="I43" i="13" s="1"/>
  <c r="I50" i="8"/>
  <c r="I61" i="8"/>
  <c r="I53" i="8"/>
  <c r="I24" i="1"/>
  <c r="I82" i="8"/>
  <c r="I93" i="8"/>
  <c r="H30" i="7"/>
  <c r="H35" i="7" s="1"/>
  <c r="I27" i="1"/>
  <c r="I56" i="8"/>
  <c r="I64" i="8"/>
  <c r="I72" i="8" s="1"/>
  <c r="I26" i="1"/>
  <c r="I55" i="8"/>
  <c r="I63" i="8"/>
  <c r="I71" i="8" s="1"/>
  <c r="I54" i="8"/>
  <c r="I25" i="1"/>
  <c r="I62" i="8"/>
  <c r="I70" i="8" s="1"/>
  <c r="I98" i="8" l="1"/>
  <c r="I36" i="7" s="1"/>
  <c r="I66" i="8"/>
  <c r="I69" i="8"/>
  <c r="I74" i="8" s="1"/>
  <c r="I37" i="7"/>
  <c r="I38" i="7"/>
  <c r="I58" i="8"/>
  <c r="I28" i="1"/>
  <c r="H41" i="7"/>
  <c r="I5" i="1" l="1"/>
  <c r="I29" i="2"/>
  <c r="I24" i="7"/>
  <c r="I33" i="2" l="1"/>
  <c r="I23" i="7"/>
  <c r="I29" i="7"/>
  <c r="I4" i="2"/>
  <c r="I40" i="2" s="1"/>
  <c r="I42" i="2" l="1"/>
  <c r="I43" i="2" s="1"/>
  <c r="I41" i="2"/>
  <c r="J13" i="2"/>
  <c r="I12" i="2"/>
  <c r="I29" i="13"/>
  <c r="I36" i="13" s="1"/>
  <c r="I11" i="2"/>
  <c r="I37" i="13" l="1"/>
  <c r="I39" i="13" s="1"/>
  <c r="I40" i="7" s="1"/>
  <c r="I46" i="13"/>
  <c r="I47" i="13" s="1"/>
  <c r="I23" i="2"/>
  <c r="I3" i="4"/>
  <c r="I8" i="4" s="1"/>
  <c r="I24" i="2"/>
  <c r="I3" i="6"/>
  <c r="J25" i="2"/>
  <c r="J11" i="8"/>
  <c r="I42" i="13" l="1"/>
  <c r="I44" i="13" s="1"/>
  <c r="I49" i="13"/>
  <c r="I39" i="7" s="1"/>
  <c r="I48" i="13"/>
  <c r="J18" i="8"/>
  <c r="J25" i="8" s="1"/>
  <c r="J32" i="8" s="1"/>
  <c r="J81" i="8" s="1"/>
  <c r="J16" i="8"/>
  <c r="J23" i="8" s="1"/>
  <c r="J15" i="8"/>
  <c r="J22" i="8" s="1"/>
  <c r="J14" i="8"/>
  <c r="J21" i="8" s="1"/>
  <c r="J17" i="8"/>
  <c r="J24" i="8" s="1"/>
  <c r="I12" i="6"/>
  <c r="I11" i="6"/>
  <c r="I15" i="4"/>
  <c r="I16" i="4"/>
  <c r="I19" i="4"/>
  <c r="I27" i="2" s="1"/>
  <c r="I21" i="7" s="1"/>
  <c r="I14" i="4"/>
  <c r="J29" i="8" l="1"/>
  <c r="I22" i="6"/>
  <c r="I23" i="6" s="1"/>
  <c r="I28" i="2" s="1"/>
  <c r="I22" i="7" s="1"/>
  <c r="I25" i="7" s="1"/>
  <c r="J35" i="8"/>
  <c r="J28" i="8"/>
  <c r="J37" i="8"/>
  <c r="J30" i="8"/>
  <c r="J36" i="8"/>
  <c r="J38" i="8"/>
  <c r="J31" i="8"/>
  <c r="J39" i="8"/>
  <c r="I34" i="7" l="1"/>
  <c r="I28" i="7"/>
  <c r="J85" i="8"/>
  <c r="J77" i="8"/>
  <c r="J45" i="8"/>
  <c r="J47" i="8"/>
  <c r="J87" i="8"/>
  <c r="J79" i="8"/>
  <c r="J88" i="8"/>
  <c r="J48" i="8"/>
  <c r="J80" i="8"/>
  <c r="J86" i="8"/>
  <c r="J46" i="8"/>
  <c r="J78" i="8"/>
  <c r="J89" i="8"/>
  <c r="J49" i="8"/>
  <c r="J57" i="8" s="1"/>
  <c r="J65" i="8" s="1"/>
  <c r="J73" i="8" s="1"/>
  <c r="J40" i="8"/>
  <c r="J94" i="8" l="1"/>
  <c r="J96" i="8"/>
  <c r="J50" i="8"/>
  <c r="J53" i="8"/>
  <c r="J24" i="1"/>
  <c r="J61" i="8"/>
  <c r="I30" i="7"/>
  <c r="I35" i="7" s="1"/>
  <c r="J90" i="8"/>
  <c r="J40" i="13" s="1"/>
  <c r="J43" i="13" s="1"/>
  <c r="J27" i="1"/>
  <c r="J56" i="8"/>
  <c r="J64" i="8"/>
  <c r="J72" i="8" s="1"/>
  <c r="J55" i="8"/>
  <c r="J26" i="1"/>
  <c r="J63" i="8"/>
  <c r="J71" i="8" s="1"/>
  <c r="J25" i="1"/>
  <c r="J54" i="8"/>
  <c r="J62" i="8"/>
  <c r="J70" i="8" s="1"/>
  <c r="J97" i="8"/>
  <c r="J95" i="8"/>
  <c r="J93" i="8"/>
  <c r="J82" i="8"/>
  <c r="J98" i="8" l="1"/>
  <c r="J36" i="7" s="1"/>
  <c r="J69" i="8"/>
  <c r="J74" i="8" s="1"/>
  <c r="J29" i="2" s="1"/>
  <c r="J66" i="8"/>
  <c r="I41" i="7"/>
  <c r="J58" i="8"/>
  <c r="J24" i="7" s="1"/>
  <c r="J28" i="1"/>
  <c r="J5" i="1" s="1"/>
  <c r="J37" i="7"/>
  <c r="J38" i="7"/>
  <c r="J29" i="7" l="1"/>
  <c r="J4" i="2"/>
  <c r="J40" i="2" s="1"/>
  <c r="J33" i="2"/>
  <c r="J23" i="7"/>
  <c r="J42" i="2" l="1"/>
  <c r="J43" i="2" s="1"/>
  <c r="J41" i="2"/>
  <c r="J11" i="2"/>
  <c r="J29" i="13"/>
  <c r="J36" i="13" s="1"/>
  <c r="K13" i="2"/>
  <c r="J12" i="2"/>
  <c r="J37" i="13" l="1"/>
  <c r="J39" i="13" s="1"/>
  <c r="J40" i="7" s="1"/>
  <c r="J46" i="13"/>
  <c r="J47" i="13" s="1"/>
  <c r="K25" i="2"/>
  <c r="K11" i="8"/>
  <c r="J24" i="2"/>
  <c r="J3" i="6"/>
  <c r="J3" i="4"/>
  <c r="J8" i="4" s="1"/>
  <c r="J23" i="2"/>
  <c r="J42" i="13" l="1"/>
  <c r="J44" i="13" s="1"/>
  <c r="J49" i="13"/>
  <c r="J39" i="7" s="1"/>
  <c r="J48" i="13"/>
  <c r="K18" i="8"/>
  <c r="K25" i="8" s="1"/>
  <c r="K32" i="8" s="1"/>
  <c r="K81" i="8" s="1"/>
  <c r="K17" i="8"/>
  <c r="K24" i="8" s="1"/>
  <c r="K15" i="8"/>
  <c r="K22" i="8" s="1"/>
  <c r="K14" i="8"/>
  <c r="K21" i="8" s="1"/>
  <c r="K16" i="8"/>
  <c r="K23" i="8" s="1"/>
  <c r="J12" i="6"/>
  <c r="J11" i="6"/>
  <c r="J16" i="4"/>
  <c r="J15" i="4"/>
  <c r="J14" i="4"/>
  <c r="J19" i="4"/>
  <c r="J27" i="2" s="1"/>
  <c r="J21" i="7" s="1"/>
  <c r="K29" i="8" l="1"/>
  <c r="J22" i="6"/>
  <c r="J23" i="6" s="1"/>
  <c r="J28" i="2" s="1"/>
  <c r="J22" i="7" s="1"/>
  <c r="J25" i="7" s="1"/>
  <c r="K35" i="8"/>
  <c r="K28" i="8"/>
  <c r="K38" i="8"/>
  <c r="K31" i="8"/>
  <c r="K36" i="8"/>
  <c r="K37" i="8"/>
  <c r="K30" i="8"/>
  <c r="K39" i="8"/>
  <c r="K49" i="8" l="1"/>
  <c r="K57" i="8" s="1"/>
  <c r="K65" i="8" s="1"/>
  <c r="K73" i="8" s="1"/>
  <c r="K89" i="8"/>
  <c r="K46" i="8"/>
  <c r="K78" i="8"/>
  <c r="K86" i="8"/>
  <c r="J34" i="7"/>
  <c r="J28" i="7"/>
  <c r="J30" i="7" s="1"/>
  <c r="J35" i="7" s="1"/>
  <c r="K77" i="8"/>
  <c r="K85" i="8"/>
  <c r="K45" i="8"/>
  <c r="K47" i="8"/>
  <c r="K87" i="8"/>
  <c r="K79" i="8"/>
  <c r="K88" i="8"/>
  <c r="K80" i="8"/>
  <c r="K48" i="8"/>
  <c r="K40" i="8"/>
  <c r="K94" i="8" l="1"/>
  <c r="K97" i="8"/>
  <c r="K27" i="1"/>
  <c r="K64" i="8"/>
  <c r="K72" i="8" s="1"/>
  <c r="K56" i="8"/>
  <c r="K82" i="8"/>
  <c r="K93" i="8"/>
  <c r="K61" i="8"/>
  <c r="K50" i="8"/>
  <c r="K24" i="1"/>
  <c r="K53" i="8"/>
  <c r="K96" i="8"/>
  <c r="K63" i="8"/>
  <c r="K71" i="8" s="1"/>
  <c r="K26" i="1"/>
  <c r="K55" i="8"/>
  <c r="K25" i="1"/>
  <c r="K54" i="8"/>
  <c r="K62" i="8"/>
  <c r="K70" i="8" s="1"/>
  <c r="K95" i="8"/>
  <c r="K90" i="8"/>
  <c r="J41" i="7" l="1"/>
  <c r="K40" i="13"/>
  <c r="K43" i="13" s="1"/>
  <c r="K28" i="1"/>
  <c r="K5" i="1" s="1"/>
  <c r="K29" i="7" s="1"/>
  <c r="K38" i="7"/>
  <c r="K37" i="7"/>
  <c r="K66" i="8"/>
  <c r="K69" i="8"/>
  <c r="K74" i="8" s="1"/>
  <c r="K29" i="2" s="1"/>
  <c r="K58" i="8"/>
  <c r="K24" i="7" s="1"/>
  <c r="K98" i="8"/>
  <c r="K36" i="7" s="1"/>
  <c r="K4" i="2" l="1"/>
  <c r="K23" i="7"/>
  <c r="K33" i="2"/>
  <c r="K12" i="2" l="1"/>
  <c r="K24" i="2" s="1"/>
  <c r="K40" i="2"/>
  <c r="K29" i="13"/>
  <c r="K36" i="13" s="1"/>
  <c r="L13" i="2"/>
  <c r="L25" i="2" s="1"/>
  <c r="K11" i="2"/>
  <c r="K3" i="4" s="1"/>
  <c r="K8" i="4" s="1"/>
  <c r="K37" i="13" l="1"/>
  <c r="K39" i="13" s="1"/>
  <c r="K42" i="13" s="1"/>
  <c r="K44" i="13" s="1"/>
  <c r="K46" i="13"/>
  <c r="K47" i="13" s="1"/>
  <c r="K3" i="6"/>
  <c r="K11" i="6" s="1"/>
  <c r="K42" i="2"/>
  <c r="K43" i="2" s="1"/>
  <c r="K41" i="2"/>
  <c r="L11" i="8"/>
  <c r="L18" i="8" s="1"/>
  <c r="L25" i="8" s="1"/>
  <c r="L32" i="8" s="1"/>
  <c r="L81" i="8" s="1"/>
  <c r="K23" i="2"/>
  <c r="K15" i="4"/>
  <c r="K16" i="4"/>
  <c r="K14" i="4"/>
  <c r="K19" i="4"/>
  <c r="K27" i="2" s="1"/>
  <c r="K21" i="7" s="1"/>
  <c r="K40" i="7" l="1"/>
  <c r="K12" i="6"/>
  <c r="K22" i="6" s="1"/>
  <c r="K23" i="6" s="1"/>
  <c r="K28" i="2" s="1"/>
  <c r="K22" i="7" s="1"/>
  <c r="K25" i="7" s="1"/>
  <c r="K49" i="13"/>
  <c r="K39" i="7" s="1"/>
  <c r="K48" i="13"/>
  <c r="L16" i="8"/>
  <c r="L23" i="8" s="1"/>
  <c r="L37" i="8" s="1"/>
  <c r="L14" i="8"/>
  <c r="L21" i="8" s="1"/>
  <c r="L28" i="8" s="1"/>
  <c r="L17" i="8"/>
  <c r="L24" i="8" s="1"/>
  <c r="L38" i="8" s="1"/>
  <c r="L15" i="8"/>
  <c r="L22" i="8" s="1"/>
  <c r="L29" i="8" s="1"/>
  <c r="L39" i="8"/>
  <c r="L35" i="8" l="1"/>
  <c r="L30" i="8"/>
  <c r="L79" i="8" s="1"/>
  <c r="L31" i="8"/>
  <c r="L88" i="8" s="1"/>
  <c r="L36" i="8"/>
  <c r="L85" i="8"/>
  <c r="L45" i="8"/>
  <c r="L77" i="8"/>
  <c r="L89" i="8"/>
  <c r="L49" i="8"/>
  <c r="L57" i="8" s="1"/>
  <c r="L65" i="8" s="1"/>
  <c r="L73" i="8" s="1"/>
  <c r="L86" i="8"/>
  <c r="L46" i="8"/>
  <c r="L78" i="8"/>
  <c r="L47" i="8"/>
  <c r="L87" i="8"/>
  <c r="K34" i="7"/>
  <c r="K28" i="7"/>
  <c r="K30" i="7" s="1"/>
  <c r="K35" i="7" s="1"/>
  <c r="L40" i="8" l="1"/>
  <c r="L48" i="8"/>
  <c r="L80" i="8"/>
  <c r="L82" i="8" s="1"/>
  <c r="L94" i="8"/>
  <c r="L97" i="8"/>
  <c r="L25" i="1"/>
  <c r="L62" i="8"/>
  <c r="L70" i="8" s="1"/>
  <c r="L54" i="8"/>
  <c r="L95" i="8"/>
  <c r="L93" i="8"/>
  <c r="L26" i="1"/>
  <c r="L55" i="8"/>
  <c r="L63" i="8"/>
  <c r="L71" i="8" s="1"/>
  <c r="L50" i="8"/>
  <c r="L53" i="8"/>
  <c r="L61" i="8"/>
  <c r="L24" i="1"/>
  <c r="L27" i="1"/>
  <c r="L56" i="8"/>
  <c r="L64" i="8"/>
  <c r="L72" i="8" s="1"/>
  <c r="L90" i="8"/>
  <c r="L96" i="8" l="1"/>
  <c r="L98" i="8" s="1"/>
  <c r="L36" i="7" s="1"/>
  <c r="K41" i="7"/>
  <c r="L40" i="13"/>
  <c r="L43" i="13" s="1"/>
  <c r="L38" i="7"/>
  <c r="L37" i="7"/>
  <c r="L28" i="1"/>
  <c r="L5" i="1" s="1"/>
  <c r="L58" i="8"/>
  <c r="L24" i="7" s="1"/>
  <c r="L66" i="8"/>
  <c r="L69" i="8"/>
  <c r="L74" i="8" s="1"/>
  <c r="L29" i="2" s="1"/>
  <c r="L23" i="7" l="1"/>
  <c r="L33" i="2"/>
  <c r="L29" i="7"/>
  <c r="L4" i="2"/>
  <c r="L40" i="2" s="1"/>
  <c r="L42" i="2" l="1"/>
  <c r="L43" i="2" s="1"/>
  <c r="L41" i="2"/>
  <c r="L29" i="13"/>
  <c r="L36" i="13" s="1"/>
  <c r="L11" i="2"/>
  <c r="M13" i="2"/>
  <c r="L12" i="2"/>
  <c r="L37" i="13" l="1"/>
  <c r="L39" i="13" s="1"/>
  <c r="L40" i="7" s="1"/>
  <c r="L46" i="13"/>
  <c r="L47" i="13" s="1"/>
  <c r="L24" i="2"/>
  <c r="L3" i="6"/>
  <c r="M25" i="2"/>
  <c r="M11" i="8"/>
  <c r="L23" i="2"/>
  <c r="L3" i="4"/>
  <c r="L8" i="4" s="1"/>
  <c r="L42" i="13"/>
  <c r="L44" i="13" s="1"/>
  <c r="L49" i="13" l="1"/>
  <c r="L39" i="7" s="1"/>
  <c r="L48" i="13"/>
  <c r="L14" i="4"/>
  <c r="L16" i="4"/>
  <c r="L15" i="4"/>
  <c r="L19" i="4"/>
  <c r="L27" i="2" s="1"/>
  <c r="L21" i="7" s="1"/>
  <c r="M17" i="8"/>
  <c r="M24" i="8" s="1"/>
  <c r="M14" i="8"/>
  <c r="M21" i="8" s="1"/>
  <c r="M15" i="8"/>
  <c r="M22" i="8" s="1"/>
  <c r="M29" i="8" s="1"/>
  <c r="M18" i="8"/>
  <c r="M25" i="8" s="1"/>
  <c r="M32" i="8" s="1"/>
  <c r="M81" i="8" s="1"/>
  <c r="M16" i="8"/>
  <c r="M23" i="8" s="1"/>
  <c r="L11" i="6"/>
  <c r="L12" i="6"/>
  <c r="M39" i="8" l="1"/>
  <c r="M36" i="8"/>
  <c r="M35" i="8"/>
  <c r="M28" i="8"/>
  <c r="L22" i="6"/>
  <c r="L23" i="6" s="1"/>
  <c r="L28" i="2" s="1"/>
  <c r="L22" i="7" s="1"/>
  <c r="L25" i="7" s="1"/>
  <c r="M37" i="8"/>
  <c r="M30" i="8"/>
  <c r="M38" i="8"/>
  <c r="M31" i="8"/>
  <c r="L34" i="7" l="1"/>
  <c r="L28" i="7"/>
  <c r="L30" i="7" s="1"/>
  <c r="L35" i="7" s="1"/>
  <c r="M78" i="8"/>
  <c r="M86" i="8"/>
  <c r="M46" i="8"/>
  <c r="M48" i="8"/>
  <c r="M88" i="8"/>
  <c r="M80" i="8"/>
  <c r="M79" i="8"/>
  <c r="M47" i="8"/>
  <c r="M87" i="8"/>
  <c r="M45" i="8"/>
  <c r="M77" i="8"/>
  <c r="M85" i="8"/>
  <c r="M89" i="8"/>
  <c r="M49" i="8"/>
  <c r="M57" i="8" s="1"/>
  <c r="M65" i="8" s="1"/>
  <c r="M73" i="8" s="1"/>
  <c r="M40" i="8"/>
  <c r="M96" i="8" l="1"/>
  <c r="M97" i="8"/>
  <c r="M94" i="8"/>
  <c r="M50" i="8"/>
  <c r="M61" i="8"/>
  <c r="M53" i="8"/>
  <c r="M24" i="1"/>
  <c r="M90" i="8"/>
  <c r="M26" i="1"/>
  <c r="M55" i="8"/>
  <c r="M63" i="8"/>
  <c r="M71" i="8" s="1"/>
  <c r="M56" i="8"/>
  <c r="M27" i="1"/>
  <c r="M64" i="8"/>
  <c r="M72" i="8" s="1"/>
  <c r="M82" i="8"/>
  <c r="M93" i="8"/>
  <c r="M95" i="8"/>
  <c r="M54" i="8"/>
  <c r="M25" i="1"/>
  <c r="M62" i="8"/>
  <c r="M70" i="8" s="1"/>
  <c r="L41" i="7" l="1"/>
  <c r="M40" i="13"/>
  <c r="M43" i="13" s="1"/>
  <c r="M98" i="8"/>
  <c r="M36" i="7" s="1"/>
  <c r="M58" i="8"/>
  <c r="M24" i="7" s="1"/>
  <c r="M66" i="8"/>
  <c r="M69" i="8"/>
  <c r="M74" i="8" s="1"/>
  <c r="M29" i="2" s="1"/>
  <c r="M28" i="1"/>
  <c r="M5" i="1" s="1"/>
  <c r="M37" i="7"/>
  <c r="M38" i="7"/>
  <c r="M4" i="2" l="1"/>
  <c r="M40" i="2" s="1"/>
  <c r="M29" i="7"/>
  <c r="M23" i="7"/>
  <c r="M33" i="2"/>
  <c r="M42" i="2" l="1"/>
  <c r="M43" i="2" s="1"/>
  <c r="M41" i="2"/>
  <c r="M12" i="2"/>
  <c r="M29" i="13"/>
  <c r="M36" i="13" s="1"/>
  <c r="N13" i="2"/>
  <c r="M11" i="2"/>
  <c r="M37" i="13" l="1"/>
  <c r="M39" i="13" s="1"/>
  <c r="M40" i="7" s="1"/>
  <c r="M46" i="13"/>
  <c r="M47" i="13" s="1"/>
  <c r="N25" i="2"/>
  <c r="N11" i="8"/>
  <c r="M3" i="4"/>
  <c r="M8" i="4" s="1"/>
  <c r="M23" i="2"/>
  <c r="M24" i="2"/>
  <c r="M3" i="6"/>
  <c r="M42" i="13" l="1"/>
  <c r="M44" i="13" s="1"/>
  <c r="M48" i="13"/>
  <c r="M49" i="13"/>
  <c r="M39" i="7" s="1"/>
  <c r="M15" i="4"/>
  <c r="M14" i="4"/>
  <c r="M19" i="4"/>
  <c r="M27" i="2" s="1"/>
  <c r="M21" i="7" s="1"/>
  <c r="M16" i="4"/>
  <c r="N18" i="8"/>
  <c r="N25" i="8" s="1"/>
  <c r="N32" i="8" s="1"/>
  <c r="N81" i="8" s="1"/>
  <c r="N16" i="8"/>
  <c r="N23" i="8" s="1"/>
  <c r="N15" i="8"/>
  <c r="N22" i="8" s="1"/>
  <c r="N29" i="8" s="1"/>
  <c r="N14" i="8"/>
  <c r="N21" i="8" s="1"/>
  <c r="N17" i="8"/>
  <c r="N24" i="8" s="1"/>
  <c r="M12" i="6"/>
  <c r="M11" i="6"/>
  <c r="M22" i="6" l="1"/>
  <c r="M23" i="6" s="1"/>
  <c r="M28" i="2" s="1"/>
  <c r="M22" i="7" s="1"/>
  <c r="M25" i="7" s="1"/>
  <c r="N37" i="8"/>
  <c r="N30" i="8"/>
  <c r="N35" i="8"/>
  <c r="N28" i="8"/>
  <c r="N36" i="8"/>
  <c r="N78" i="8"/>
  <c r="N38" i="8"/>
  <c r="N31" i="8"/>
  <c r="N39" i="8"/>
  <c r="N89" i="8" l="1"/>
  <c r="N49" i="8"/>
  <c r="N57" i="8" s="1"/>
  <c r="N65" i="8" s="1"/>
  <c r="N73" i="8" s="1"/>
  <c r="N87" i="8"/>
  <c r="N47" i="8"/>
  <c r="N79" i="8"/>
  <c r="N40" i="8"/>
  <c r="N86" i="8"/>
  <c r="N46" i="8"/>
  <c r="N48" i="8"/>
  <c r="N88" i="8"/>
  <c r="N80" i="8"/>
  <c r="N77" i="8"/>
  <c r="N85" i="8"/>
  <c r="N45" i="8"/>
  <c r="M28" i="7"/>
  <c r="M30" i="7" s="1"/>
  <c r="M35" i="7" s="1"/>
  <c r="M34" i="7"/>
  <c r="N95" i="8" l="1"/>
  <c r="N50" i="8"/>
  <c r="N53" i="8"/>
  <c r="N24" i="1"/>
  <c r="T27" i="1" s="1"/>
  <c r="N61" i="8"/>
  <c r="N90" i="8"/>
  <c r="N56" i="8"/>
  <c r="N27" i="1"/>
  <c r="P27" i="1" s="1"/>
  <c r="N64" i="8"/>
  <c r="N72" i="8" s="1"/>
  <c r="N97" i="8"/>
  <c r="N82" i="8"/>
  <c r="N93" i="8"/>
  <c r="N54" i="8"/>
  <c r="N62" i="8"/>
  <c r="N70" i="8" s="1"/>
  <c r="N25" i="1"/>
  <c r="P25" i="1" s="1"/>
  <c r="N96" i="8"/>
  <c r="N94" i="8"/>
  <c r="N63" i="8"/>
  <c r="N71" i="8" s="1"/>
  <c r="N26" i="1"/>
  <c r="N55" i="8"/>
  <c r="M41" i="7" l="1"/>
  <c r="N40" i="13"/>
  <c r="N43" i="13" s="1"/>
  <c r="N58" i="8"/>
  <c r="N66" i="8"/>
  <c r="N69" i="8"/>
  <c r="N74" i="8" s="1"/>
  <c r="N98" i="8"/>
  <c r="N36" i="7" s="1"/>
  <c r="C36" i="7" s="1"/>
  <c r="P24" i="1"/>
  <c r="N28" i="1"/>
  <c r="N37" i="7"/>
  <c r="C37" i="7" s="1"/>
  <c r="N38" i="7"/>
  <c r="N29" i="2" l="1"/>
  <c r="P74" i="8"/>
  <c r="P28" i="1"/>
  <c r="N5" i="1"/>
  <c r="C38" i="7"/>
  <c r="N24" i="7"/>
  <c r="C24" i="7" s="1"/>
  <c r="P58" i="8"/>
  <c r="N29" i="7" l="1"/>
  <c r="P5" i="1"/>
  <c r="N4" i="2"/>
  <c r="N40" i="2" s="1"/>
  <c r="N33" i="2"/>
  <c r="N23" i="7"/>
  <c r="C23" i="7" s="1"/>
  <c r="P23" i="7" s="1"/>
  <c r="N42" i="2" l="1"/>
  <c r="N43" i="2" s="1"/>
  <c r="N41" i="2"/>
  <c r="N29" i="13"/>
  <c r="N12" i="2"/>
  <c r="N11" i="2"/>
  <c r="N36" i="13" l="1"/>
  <c r="N46" i="13" s="1"/>
  <c r="N47" i="13" s="1"/>
  <c r="N23" i="2"/>
  <c r="N3" i="4"/>
  <c r="N8" i="4" s="1"/>
  <c r="N3" i="6"/>
  <c r="N24" i="2"/>
  <c r="N49" i="13" l="1"/>
  <c r="N48" i="13"/>
  <c r="N37" i="13"/>
  <c r="N39" i="13" s="1"/>
  <c r="N42" i="13" s="1"/>
  <c r="N44" i="13" s="1"/>
  <c r="N12" i="6"/>
  <c r="N11" i="6"/>
  <c r="N16" i="4"/>
  <c r="N14" i="4"/>
  <c r="N15" i="4"/>
  <c r="N19" i="4"/>
  <c r="N27" i="2" s="1"/>
  <c r="N21" i="7" s="1"/>
  <c r="N39" i="7" l="1"/>
  <c r="C39" i="7" s="1"/>
  <c r="N51" i="13"/>
  <c r="N40" i="7"/>
  <c r="N22" i="6"/>
  <c r="N23" i="6" s="1"/>
  <c r="N28" i="2" s="1"/>
  <c r="N22" i="7" s="1"/>
  <c r="C22" i="7" s="1"/>
  <c r="P22" i="7" s="1"/>
  <c r="C21" i="7"/>
  <c r="P21" i="7" s="1"/>
  <c r="C40" i="7" l="1"/>
  <c r="N41" i="7"/>
  <c r="C41" i="7" s="1"/>
  <c r="D25" i="6"/>
  <c r="N25" i="7"/>
  <c r="N34" i="7" l="1"/>
  <c r="C34" i="7" s="1"/>
  <c r="N28" i="7"/>
  <c r="C25" i="7"/>
  <c r="N30" i="7" l="1"/>
  <c r="N35" i="7" s="1"/>
  <c r="C28" i="7"/>
  <c r="C30" i="7" s="1"/>
  <c r="C3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Fischer, Maria</author>
  </authors>
  <commentList>
    <comment ref="B8" authorId="0" shapeId="0" xr:uid="{435BC7F0-5381-4FE2-8922-0DED92FCD65F}">
      <text>
        <r>
          <rPr>
            <b/>
            <sz val="9"/>
            <color indexed="81"/>
            <rFont val="Tahoma"/>
            <family val="2"/>
          </rPr>
          <t>Fischer, Maria:</t>
        </r>
        <r>
          <rPr>
            <sz val="9"/>
            <color indexed="81"/>
            <rFont val="Tahoma"/>
            <family val="2"/>
          </rPr>
          <t xml:space="preserve">
impact of Tier III; NOT NM impacts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Fischer, Maria</author>
    <author>Woodward, John</author>
  </authors>
  <commentList>
    <comment ref="A3" authorId="0" shapeId="0" xr:uid="{00000000-0006-0000-0200-000001000000}">
      <text>
        <r>
          <rPr>
            <b/>
            <sz val="9"/>
            <color indexed="81"/>
            <rFont val="Tahoma"/>
            <family val="2"/>
          </rPr>
          <t>Fischer, Maria:</t>
        </r>
        <r>
          <rPr>
            <sz val="9"/>
            <color indexed="81"/>
            <rFont val="Tahoma"/>
            <family val="2"/>
          </rPr>
          <t xml:space="preserve">
based on 2017 retail sales escalating at same rate as VELCO LRTP baseline forecast</t>
        </r>
      </text>
    </comment>
    <comment ref="D3" authorId="1" shapeId="0" xr:uid="{00000000-0006-0000-0200-000002000000}">
      <text>
        <r>
          <rPr>
            <sz val="11"/>
            <color indexed="81"/>
            <rFont val="Tahoma"/>
            <family val="2"/>
          </rPr>
          <t>actual 2017 sales reported in RES compliance filings</t>
        </r>
      </text>
    </comment>
    <comment ref="A5" authorId="0" shapeId="0" xr:uid="{00000000-0006-0000-0200-000003000000}">
      <text>
        <r>
          <rPr>
            <b/>
            <sz val="9"/>
            <color indexed="81"/>
            <rFont val="Tahoma"/>
            <family val="2"/>
          </rPr>
          <t>Fischer, Maria:</t>
        </r>
        <r>
          <rPr>
            <sz val="9"/>
            <color indexed="81"/>
            <rFont val="Tahoma"/>
            <family val="2"/>
          </rPr>
          <t xml:space="preserve">
new load (CCHP, EV, Custom)</t>
        </r>
      </text>
    </comment>
    <comment ref="B7" authorId="0" shapeId="0" xr:uid="{00000000-0006-0000-0200-000004000000}">
      <text>
        <r>
          <rPr>
            <b/>
            <sz val="9"/>
            <color indexed="81"/>
            <rFont val="Tahoma"/>
            <family val="2"/>
          </rPr>
          <t>Fischer, Maria:</t>
        </r>
        <r>
          <rPr>
            <sz val="9"/>
            <color indexed="81"/>
            <rFont val="Tahoma"/>
            <family val="2"/>
          </rPr>
          <t xml:space="preserve">
RTLO (net of existing NM, but before the addition of new NM)</t>
        </r>
      </text>
    </comment>
    <comment ref="B8" authorId="0" shapeId="0" xr:uid="{00000000-0006-0000-0200-000005000000}">
      <text>
        <r>
          <rPr>
            <b/>
            <sz val="9"/>
            <color indexed="81"/>
            <rFont val="Tahoma"/>
            <family val="2"/>
          </rPr>
          <t>Fischer, Maria:</t>
        </r>
        <r>
          <rPr>
            <sz val="9"/>
            <color indexed="81"/>
            <rFont val="Tahoma"/>
            <family val="2"/>
          </rPr>
          <t xml:space="preserve">
New NM
</t>
        </r>
      </text>
    </comment>
    <comment ref="B13" authorId="0" shapeId="0" xr:uid="{00000000-0006-0000-0200-000006000000}">
      <text>
        <r>
          <rPr>
            <b/>
            <sz val="9"/>
            <color indexed="81"/>
            <rFont val="Tahoma"/>
            <family val="2"/>
          </rPr>
          <t>Fischer, Maria:</t>
        </r>
        <r>
          <rPr>
            <sz val="9"/>
            <color indexed="81"/>
            <rFont val="Tahoma"/>
            <family val="2"/>
          </rPr>
          <t xml:space="preserve">
New BTM
</t>
        </r>
      </text>
    </comment>
    <comment ref="B17" authorId="0" shapeId="0" xr:uid="{40C84916-F80D-476A-81BA-D1C8628B1394}">
      <text>
        <r>
          <rPr>
            <b/>
            <sz val="9"/>
            <color indexed="81"/>
            <rFont val="Tahoma"/>
            <family val="2"/>
          </rPr>
          <t>Fischer, Maria:</t>
        </r>
        <r>
          <rPr>
            <sz val="9"/>
            <color indexed="81"/>
            <rFont val="Tahoma"/>
            <family val="2"/>
          </rPr>
          <t xml:space="preserve">
embedded in forecast
</t>
        </r>
      </text>
    </comment>
    <comment ref="B18" authorId="0" shapeId="0" xr:uid="{00000000-0006-0000-0200-000007000000}">
      <text>
        <r>
          <rPr>
            <b/>
            <sz val="9"/>
            <color indexed="81"/>
            <rFont val="Tahoma"/>
            <family val="2"/>
          </rPr>
          <t>Fischer, Maria:</t>
        </r>
        <r>
          <rPr>
            <sz val="9"/>
            <color indexed="81"/>
            <rFont val="Tahoma"/>
            <family val="2"/>
          </rPr>
          <t xml:space="preserve">
embedded in baseline forecast. 
62 MW of NM RECs online. Assume 14% CF and 1% give their RECs to the utility PLUS 2017 RECs at the same price</t>
        </r>
      </text>
    </comment>
    <comment ref="B40" authorId="0" shapeId="0" xr:uid="{A76F80B1-20CD-4B05-88FD-77558F0A60F9}">
      <text>
        <r>
          <rPr>
            <b/>
            <sz val="9"/>
            <color indexed="81"/>
            <rFont val="Tahoma"/>
            <family val="2"/>
          </rPr>
          <t>Fischer, Maria:</t>
        </r>
        <r>
          <rPr>
            <sz val="9"/>
            <color indexed="81"/>
            <rFont val="Tahoma"/>
            <family val="2"/>
          </rPr>
          <t xml:space="preserve">
embedded in forecast. Do not qualify as Tier II RECs
</t>
        </r>
      </text>
    </comment>
    <comment ref="B41" authorId="0" shapeId="0" xr:uid="{A5B50211-A61F-4E60-8334-3566A8D4567A}">
      <text>
        <r>
          <rPr>
            <b/>
            <sz val="9"/>
            <color indexed="81"/>
            <rFont val="Tahoma"/>
            <family val="2"/>
          </rPr>
          <t>Fischer, Maria:</t>
        </r>
        <r>
          <rPr>
            <sz val="9"/>
            <color indexed="81"/>
            <rFont val="Tahoma"/>
            <family val="2"/>
          </rPr>
          <t xml:space="preserve">
embedded in baseline forecast. 
62 MW of NM RECs online. Assume 14% CF and 1% give their RECs to the utility PLUS 2017 RECs at the same price</t>
        </r>
      </text>
    </comment>
    <comment ref="B42" authorId="0" shapeId="0" xr:uid="{2B4E0756-3355-46B0-8752-8034E6ECBA4B}">
      <text>
        <r>
          <rPr>
            <b/>
            <sz val="9"/>
            <color indexed="81"/>
            <rFont val="Tahoma"/>
            <family val="2"/>
          </rPr>
          <t>Fischer, Maria:</t>
        </r>
        <r>
          <rPr>
            <sz val="9"/>
            <color indexed="81"/>
            <rFont val="Tahoma"/>
            <family val="2"/>
          </rPr>
          <t xml:space="preserve">
not embedded in forecast.  Most do NOT transfer RECs to utility
</t>
        </r>
      </text>
    </comment>
    <comment ref="B43" authorId="0" shapeId="0" xr:uid="{772641AF-3723-4C11-A9BC-FF3F9BFE3183}">
      <text>
        <r>
          <rPr>
            <b/>
            <sz val="9"/>
            <color indexed="81"/>
            <rFont val="Tahoma"/>
            <family val="2"/>
          </rPr>
          <t>Fischer, Maria:</t>
        </r>
        <r>
          <rPr>
            <sz val="9"/>
            <color indexed="81"/>
            <rFont val="Tahoma"/>
            <family val="2"/>
          </rPr>
          <t xml:space="preserve">
new NM.  Most do transfer RECs to utility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Fischer, Maria</author>
  </authors>
  <commentList>
    <comment ref="B29" authorId="0" shapeId="0" xr:uid="{00000000-0006-0000-0300-000001000000}">
      <text>
        <r>
          <rPr>
            <b/>
            <sz val="9"/>
            <color indexed="81"/>
            <rFont val="Tahoma"/>
            <family val="2"/>
          </rPr>
          <t>Fischer, Maria:</t>
        </r>
        <r>
          <rPr>
            <sz val="9"/>
            <color indexed="81"/>
            <rFont val="Tahoma"/>
            <family val="2"/>
          </rPr>
          <t xml:space="preserve">
this does not include additional revenues at retail rates to offset costs
</t>
        </r>
      </text>
    </comment>
    <comment ref="B33" authorId="0" shapeId="0" xr:uid="{00000000-0006-0000-0300-000002000000}">
      <text>
        <r>
          <rPr>
            <b/>
            <sz val="9"/>
            <color indexed="81"/>
            <rFont val="Tahoma"/>
            <family val="2"/>
          </rPr>
          <t>Fischer, Maria:</t>
        </r>
        <r>
          <rPr>
            <sz val="9"/>
            <color indexed="81"/>
            <rFont val="Tahoma"/>
            <family val="2"/>
          </rPr>
          <t xml:space="preserve">
this does not include additional revenues at retail rates to offset costs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Fischer, Maria</author>
  </authors>
  <commentList>
    <comment ref="B6" authorId="0" shapeId="0" xr:uid="{00000000-0006-0000-0400-000001000000}">
      <text>
        <r>
          <rPr>
            <b/>
            <sz val="9"/>
            <color indexed="81"/>
            <rFont val="Tahoma"/>
            <family val="2"/>
          </rPr>
          <t>Fischer, Maria:</t>
        </r>
        <r>
          <rPr>
            <sz val="9"/>
            <color indexed="81"/>
            <rFont val="Tahoma"/>
            <family val="2"/>
          </rPr>
          <t xml:space="preserve">
based on actual 2017 total COS
</t>
        </r>
      </text>
    </comment>
    <comment ref="B17" authorId="0" shapeId="0" xr:uid="{00000000-0006-0000-0400-000002000000}">
      <text>
        <r>
          <rPr>
            <b/>
            <sz val="9"/>
            <color indexed="81"/>
            <rFont val="Tahoma"/>
            <family val="2"/>
          </rPr>
          <t>Fischer, Maria:</t>
        </r>
        <r>
          <rPr>
            <sz val="9"/>
            <color indexed="81"/>
            <rFont val="Tahoma"/>
            <family val="2"/>
          </rPr>
          <t xml:space="preserve">
based on actual 20174 sales escalating at VELCO LRTP baseline escalation.  Reflects RTLO (net of existing NM, but before the addition of new NM)</t>
        </r>
      </text>
    </comment>
    <comment ref="B24" authorId="0" shapeId="0" xr:uid="{00000000-0006-0000-0400-000003000000}">
      <text>
        <r>
          <rPr>
            <b/>
            <sz val="9"/>
            <color indexed="81"/>
            <rFont val="Tahoma"/>
            <family val="2"/>
          </rPr>
          <t>Fischer, Maria:</t>
        </r>
        <r>
          <rPr>
            <sz val="9"/>
            <color indexed="81"/>
            <rFont val="Tahoma"/>
            <family val="2"/>
          </rPr>
          <t xml:space="preserve">
related to additional load from Tier III measures</t>
        </r>
      </text>
    </comment>
    <comment ref="B29" authorId="0" shapeId="0" xr:uid="{00000000-0006-0000-0400-000004000000}">
      <text>
        <r>
          <rPr>
            <b/>
            <sz val="9"/>
            <color indexed="81"/>
            <rFont val="Tahoma"/>
            <family val="2"/>
          </rPr>
          <t>Fischer, Maria:</t>
        </r>
        <r>
          <rPr>
            <sz val="9"/>
            <color indexed="81"/>
            <rFont val="Tahoma"/>
            <family val="2"/>
          </rPr>
          <t xml:space="preserve">
based on actual 2017 sales escalating at VELCO LRTP baseline escalation, plus new NM and additional load resulting from Tier III measures</t>
        </r>
      </text>
    </comment>
    <comment ref="B38" authorId="0" shapeId="0" xr:uid="{00000000-0006-0000-0400-000005000000}">
      <text>
        <r>
          <rPr>
            <b/>
            <sz val="9"/>
            <color indexed="81"/>
            <rFont val="Tahoma"/>
            <family val="2"/>
          </rPr>
          <t>Fischer, Maria:</t>
        </r>
        <r>
          <rPr>
            <sz val="9"/>
            <color indexed="81"/>
            <rFont val="Tahoma"/>
            <family val="2"/>
          </rPr>
          <t xml:space="preserve">
impact of Tier III; NOT NM impacts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Fischer, Maria</author>
  </authors>
  <commentList>
    <comment ref="B5" authorId="0" shapeId="0" xr:uid="{00000000-0006-0000-0600-000001000000}">
      <text>
        <r>
          <rPr>
            <b/>
            <sz val="9"/>
            <color indexed="81"/>
            <rFont val="Tahoma"/>
            <family val="2"/>
          </rPr>
          <t>Fischer, Maria:</t>
        </r>
        <r>
          <rPr>
            <sz val="9"/>
            <color indexed="81"/>
            <rFont val="Tahoma"/>
            <family val="2"/>
          </rPr>
          <t xml:space="preserve">
62 MW of NM RECs online. Assume 14% CF and 1% give their RECs to the utility PLUS 2017 RECs at the same price
</t>
        </r>
      </text>
    </comment>
    <comment ref="B6" authorId="0" shapeId="0" xr:uid="{71579ED6-1C9D-4E9F-AE4E-9607727FC582}">
      <text>
        <r>
          <rPr>
            <b/>
            <sz val="9"/>
            <color indexed="81"/>
            <rFont val="Tahoma"/>
            <family val="2"/>
          </rPr>
          <t>Fischer, Maria:</t>
        </r>
        <r>
          <rPr>
            <sz val="9"/>
            <color indexed="81"/>
            <rFont val="Tahoma"/>
            <family val="2"/>
          </rPr>
          <t xml:space="preserve">
not embedded in forecast.  Most do NOT transfer RECs to utility
</t>
        </r>
      </text>
    </comment>
    <comment ref="B7" authorId="0" shapeId="0" xr:uid="{7D5874B5-3C8E-4E27-A1AE-A418176B5C43}">
      <text>
        <r>
          <rPr>
            <b/>
            <sz val="9"/>
            <color indexed="81"/>
            <rFont val="Tahoma"/>
            <family val="2"/>
          </rPr>
          <t>Fischer, Maria:</t>
        </r>
        <r>
          <rPr>
            <sz val="9"/>
            <color indexed="81"/>
            <rFont val="Tahoma"/>
            <family val="2"/>
          </rPr>
          <t xml:space="preserve">
new NM.  Most do transfer RECs to utility
</t>
        </r>
      </text>
    </comment>
    <comment ref="B12" authorId="0" shapeId="0" xr:uid="{00000000-0006-0000-0600-000002000000}">
      <text>
        <r>
          <rPr>
            <b/>
            <sz val="9"/>
            <color indexed="81"/>
            <rFont val="Tahoma"/>
            <family val="2"/>
          </rPr>
          <t>Fischer, Maria:</t>
        </r>
        <r>
          <rPr>
            <sz val="9"/>
            <color indexed="81"/>
            <rFont val="Tahoma"/>
            <family val="2"/>
          </rPr>
          <t xml:space="preserve">
does not allow for resale of NM RECs
</t>
        </r>
      </text>
    </comment>
    <comment ref="B14" authorId="0" shapeId="0" xr:uid="{00000000-0006-0000-0600-000003000000}">
      <text>
        <r>
          <rPr>
            <b/>
            <sz val="9"/>
            <color indexed="81"/>
            <rFont val="Tahoma"/>
            <family val="2"/>
          </rPr>
          <t>Fischer, Maria:</t>
        </r>
        <r>
          <rPr>
            <sz val="9"/>
            <color indexed="81"/>
            <rFont val="Tahoma"/>
            <family val="2"/>
          </rPr>
          <t xml:space="preserve">
62 MW of NM RECs online. Assume 14% CF and 1% give their RECs to the utility PLUS 2017 RECs at the same price
</t>
        </r>
      </text>
    </comment>
    <comment ref="B19" authorId="0" shapeId="0" xr:uid="{00000000-0006-0000-0600-000004000000}">
      <text>
        <r>
          <rPr>
            <b/>
            <sz val="9"/>
            <color indexed="81"/>
            <rFont val="Tahoma"/>
            <family val="2"/>
          </rPr>
          <t>Fischer, Maria:</t>
        </r>
        <r>
          <rPr>
            <sz val="9"/>
            <color indexed="81"/>
            <rFont val="Tahoma"/>
            <family val="2"/>
          </rPr>
          <t xml:space="preserve">
62 MW of NM RECs online. Assume 14% CF and 1% give their RECs to the utility PLUS 2017 RECs at the same price
</t>
        </r>
      </text>
    </comment>
    <comment ref="D30" authorId="0" shapeId="0" xr:uid="{00000000-0006-0000-0600-000005000000}">
      <text>
        <r>
          <rPr>
            <b/>
            <sz val="9"/>
            <color indexed="81"/>
            <rFont val="Tahoma"/>
            <family val="2"/>
          </rPr>
          <t>Fischer, Maria:</t>
        </r>
        <r>
          <rPr>
            <sz val="9"/>
            <color indexed="81"/>
            <rFont val="Tahoma"/>
            <family val="2"/>
          </rPr>
          <t xml:space="preserve">
this is a bit higher than VELCO forecast of 35,268 for 2017.  Actuals - 37 MW installed ~ 45,263 MWh
</t>
        </r>
      </text>
    </comment>
    <comment ref="D31" authorId="0" shapeId="0" xr:uid="{00000000-0006-0000-0600-000006000000}">
      <text>
        <r>
          <rPr>
            <b/>
            <sz val="9"/>
            <color indexed="81"/>
            <rFont val="Tahoma"/>
            <family val="2"/>
          </rPr>
          <t>Fischer, Maria:</t>
        </r>
        <r>
          <rPr>
            <sz val="9"/>
            <color indexed="81"/>
            <rFont val="Tahoma"/>
            <family val="2"/>
          </rPr>
          <t xml:space="preserve">
this is a bit higher than VELCO forecast of 35,268 for 2017.  Actuals - 37 MW installed ~ 45,263 MWh
</t>
        </r>
      </text>
    </comment>
    <comment ref="D32" authorId="0" shapeId="0" xr:uid="{00000000-0006-0000-0600-000007000000}">
      <text>
        <r>
          <rPr>
            <b/>
            <sz val="9"/>
            <color indexed="81"/>
            <rFont val="Tahoma"/>
            <family val="2"/>
          </rPr>
          <t>Fischer, Maria:</t>
        </r>
        <r>
          <rPr>
            <sz val="9"/>
            <color indexed="81"/>
            <rFont val="Tahoma"/>
            <family val="2"/>
          </rPr>
          <t xml:space="preserve">
this is a bit higher than VELCO forecast of 35,268 for 2017.  Actuals - 37 MW installed ~ 45,263 MWh
</t>
        </r>
      </text>
    </comment>
    <comment ref="D33" authorId="0" shapeId="0" xr:uid="{00000000-0006-0000-0600-000008000000}">
      <text>
        <r>
          <rPr>
            <b/>
            <sz val="9"/>
            <color indexed="81"/>
            <rFont val="Tahoma"/>
            <family val="2"/>
          </rPr>
          <t>Fischer, Maria:</t>
        </r>
        <r>
          <rPr>
            <sz val="9"/>
            <color indexed="81"/>
            <rFont val="Tahoma"/>
            <family val="2"/>
          </rPr>
          <t xml:space="preserve">
this is a bit higher than VELCO forecast of 35,268 for 2017.  Actuals - 37 MW installed ~ 45,263 MWh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tc={2D5082E3-CDF3-4D36-A401-8E9D1C75FDA4}</author>
    <author>Richard Faesy</author>
    <author>tc={4774CEDB-B83C-4DBA-AC5C-52F2327F202F}</author>
  </authors>
  <commentList>
    <comment ref="E1" authorId="0" shapeId="0" xr:uid="{2D5082E3-CDF3-4D36-A401-8E9D1C75FDA4}">
      <text>
        <t>[Threaded comment]
Your version of Excel allows you to read this threaded comment; however, any edits to it will get removed if the file is opened in a newer version of Excel. Learn more: https://go.microsoft.com/fwlink/?linkid=870924
Comment:
    These values were set with a trial and error method—low FF has incentives for CCHP and EVs around $1000, and high FF has incentives around $500 per unit, which seem like reasonable per measure incentives.</t>
      </text>
    </comment>
    <comment ref="K2" authorId="1" shapeId="0" xr:uid="{00000000-0006-0000-0700-000001000000}">
      <text>
        <r>
          <rPr>
            <sz val="9"/>
            <color indexed="81"/>
            <rFont val="Tahoma"/>
            <family val="2"/>
          </rPr>
          <t>http://www.eia.gov/totalenergy/data/monthly/pdf/sec13_6.pdf
Table A6: Monthly Updates page on EIA site: http://www.eia.gov/totalenergy/data/monthly/</t>
        </r>
      </text>
    </comment>
    <comment ref="L2" authorId="1" shapeId="0" xr:uid="{00000000-0006-0000-0700-000002000000}">
      <text>
        <r>
          <rPr>
            <sz val="9"/>
            <color indexed="81"/>
            <rFont val="Tahoma"/>
            <family val="2"/>
          </rPr>
          <t>To account for free-ridership.  From planning tool.</t>
        </r>
      </text>
    </comment>
    <comment ref="G6" authorId="2" shapeId="0" xr:uid="{4774CEDB-B83C-4DBA-AC5C-52F2327F202F}">
      <text>
        <t>[Threaded comment]
Your version of Excel allows you to read this threaded comment; however, any edits to it will get removed if the file is opened in a newer version of Excel. Learn more: https://go.microsoft.com/fwlink/?linkid=870924
Comment:
    29 kwh of additional load per MWh of claimed savings based on VEC 2017 actual</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Fischer, Maria</author>
  </authors>
  <commentList>
    <comment ref="B39" authorId="0" shapeId="0" xr:uid="{00000000-0006-0000-0900-000001000000}">
      <text>
        <r>
          <rPr>
            <b/>
            <sz val="9"/>
            <color indexed="81"/>
            <rFont val="Tahoma"/>
            <family val="2"/>
          </rPr>
          <t>Fischer, Maria:</t>
        </r>
        <r>
          <rPr>
            <sz val="9"/>
            <color indexed="81"/>
            <rFont val="Tahoma"/>
            <family val="2"/>
          </rPr>
          <t xml:space="preserve">
assumes constant emissions rate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Woodward, John</author>
  </authors>
  <commentList>
    <comment ref="B5" authorId="0" shapeId="0" xr:uid="{00000000-0006-0000-0B00-000001000000}">
      <text>
        <r>
          <rPr>
            <b/>
            <sz val="9"/>
            <color indexed="81"/>
            <rFont val="Tahoma"/>
            <family val="2"/>
          </rPr>
          <t>for reference only</t>
        </r>
      </text>
    </comment>
  </commentList>
</comments>
</file>

<file path=xl/sharedStrings.xml><?xml version="1.0" encoding="utf-8"?>
<sst xmlns="http://schemas.openxmlformats.org/spreadsheetml/2006/main" count="1238" uniqueCount="627">
  <si>
    <t xml:space="preserve">Projected Retail Sales </t>
  </si>
  <si>
    <t>MWh</t>
  </si>
  <si>
    <t>Tier I Requirement</t>
  </si>
  <si>
    <t>Tier II Requirement</t>
  </si>
  <si>
    <t>Tier III Requirement</t>
  </si>
  <si>
    <t>%</t>
  </si>
  <si>
    <t>CCHP</t>
  </si>
  <si>
    <t>EV</t>
  </si>
  <si>
    <t>TOTAL</t>
  </si>
  <si>
    <t>Baseline</t>
  </si>
  <si>
    <t>- Solar</t>
  </si>
  <si>
    <t>+ Heat Pumps</t>
  </si>
  <si>
    <t>+ Electric Vehicals</t>
  </si>
  <si>
    <t>Solar</t>
  </si>
  <si>
    <t>Heat Pumps</t>
  </si>
  <si>
    <t>Electric Vehicals</t>
  </si>
  <si>
    <t>Retail Sales</t>
  </si>
  <si>
    <t>NIA</t>
  </si>
  <si>
    <t>Low</t>
  </si>
  <si>
    <t>Mid</t>
  </si>
  <si>
    <t>High</t>
  </si>
  <si>
    <t>inflation rate</t>
  </si>
  <si>
    <t>customer discount rate</t>
  </si>
  <si>
    <t>residential electricity rate ($/MWh)</t>
  </si>
  <si>
    <t xml:space="preserve">retail electricity price trend </t>
  </si>
  <si>
    <t>Custom</t>
  </si>
  <si>
    <t>Weatherization</t>
  </si>
  <si>
    <t>Tier I Sources</t>
  </si>
  <si>
    <t>Tier II Sources</t>
  </si>
  <si>
    <t>Tier III Sources</t>
  </si>
  <si>
    <t>HQ</t>
  </si>
  <si>
    <t>Total NIA to VT</t>
  </si>
  <si>
    <r>
      <t xml:space="preserve">VELCO LRTP                </t>
    </r>
    <r>
      <rPr>
        <sz val="10"/>
        <color theme="1"/>
        <rFont val="Calibri"/>
        <family val="2"/>
        <scheme val="minor"/>
      </rPr>
      <t>(spring 2018)</t>
    </r>
  </si>
  <si>
    <t>NM Escalation Rate</t>
  </si>
  <si>
    <t>low</t>
  </si>
  <si>
    <t>high</t>
  </si>
  <si>
    <t>Standard Offer (post 7/2015)</t>
  </si>
  <si>
    <t>Technology</t>
  </si>
  <si>
    <t>Capacity Factor AC</t>
  </si>
  <si>
    <t>Biomass</t>
  </si>
  <si>
    <t>Farm Methane</t>
  </si>
  <si>
    <t>Hydropower</t>
  </si>
  <si>
    <t>Landfill Methane</t>
  </si>
  <si>
    <t>Wind</t>
  </si>
  <si>
    <t>% of Projects</t>
  </si>
  <si>
    <t>mid</t>
  </si>
  <si>
    <t>Tier I @ Market</t>
  </si>
  <si>
    <t>Tier II @ Market</t>
  </si>
  <si>
    <t>Tier III @ Market</t>
  </si>
  <si>
    <t>Tier I Cost</t>
  </si>
  <si>
    <t>Tier II Cost</t>
  </si>
  <si>
    <t>Tier III Cost</t>
  </si>
  <si>
    <t>Purchases/ Owned</t>
  </si>
  <si>
    <t>Cost</t>
  </si>
  <si>
    <t>$/MWh</t>
  </si>
  <si>
    <t>$$</t>
  </si>
  <si>
    <t>Source</t>
  </si>
  <si>
    <t>AVG</t>
  </si>
  <si>
    <t>RNS</t>
  </si>
  <si>
    <t>COS Market tied</t>
  </si>
  <si>
    <t>COS inflation tied</t>
  </si>
  <si>
    <t>COS depreciation tied</t>
  </si>
  <si>
    <t>COS TOTAL</t>
  </si>
  <si>
    <t>Allocation</t>
  </si>
  <si>
    <t>Annual Additional MWh per unit</t>
  </si>
  <si>
    <t>Energy (ATC)</t>
  </si>
  <si>
    <t>$/ MWh</t>
  </si>
  <si>
    <t>Capacity</t>
  </si>
  <si>
    <t>$/kw-mo</t>
  </si>
  <si>
    <t>$/kw-year</t>
  </si>
  <si>
    <t>RES TIER III Req</t>
  </si>
  <si>
    <t>MWh Equivalent to Meet Requirement</t>
  </si>
  <si>
    <t>Tier II RECs</t>
  </si>
  <si>
    <t>VT Non-Fossil %</t>
  </si>
  <si>
    <t>New NM- post-2016</t>
  </si>
  <si>
    <t>TOTAL NM</t>
  </si>
  <si>
    <t>Number of New Units</t>
  </si>
  <si>
    <t>Cost of Incentive</t>
  </si>
  <si>
    <t>$</t>
  </si>
  <si>
    <t>baseline</t>
  </si>
  <si>
    <t>Total Tier III additions</t>
  </si>
  <si>
    <t>Tier I Price</t>
  </si>
  <si>
    <t>Tier II Price</t>
  </si>
  <si>
    <t>Tier III Price</t>
  </si>
  <si>
    <t>Price</t>
  </si>
  <si>
    <t>MID</t>
  </si>
  <si>
    <t>STANDARD OFFER</t>
  </si>
  <si>
    <t>NET METERING</t>
  </si>
  <si>
    <t>VELCO</t>
  </si>
  <si>
    <t>CAGR</t>
  </si>
  <si>
    <t>New Standard Offer MW</t>
  </si>
  <si>
    <t>Cumulative SO MW (post-2016)</t>
  </si>
  <si>
    <t>Standard Offer Capacity Factor</t>
  </si>
  <si>
    <t>NM Annual Escalation rate</t>
  </si>
  <si>
    <t>Excess Tier II RECS</t>
  </si>
  <si>
    <t>Tier II RECs to AQUIRE</t>
  </si>
  <si>
    <t>Market</t>
  </si>
  <si>
    <t>Price:</t>
  </si>
  <si>
    <t>NYPA (NIA)</t>
  </si>
  <si>
    <t>(low, mid, high)</t>
  </si>
  <si>
    <t>BAU</t>
  </si>
  <si>
    <t>FF MMBtu displaced per T3 credit</t>
  </si>
  <si>
    <t>space htg load (MMBtu/yr)</t>
  </si>
  <si>
    <t>water htg load (MMBtu/yr)</t>
  </si>
  <si>
    <t>not used</t>
  </si>
  <si>
    <t>space htg equip cost</t>
  </si>
  <si>
    <t>avg for 9,000 Btu single head system is around $1,300; multi-head systems run from$3,500 to $6,000</t>
  </si>
  <si>
    <t>water htg equip cost</t>
  </si>
  <si>
    <t>equipment cost trend</t>
  </si>
  <si>
    <t>not a critical assumption to stress test. Fine to set at inflation but can set escalation rate high to help find upper bound of compliance costs</t>
  </si>
  <si>
    <t>% space htg load displaced</t>
  </si>
  <si>
    <t>N/A</t>
  </si>
  <si>
    <t>set low to find upper bound of compliance costs</t>
  </si>
  <si>
    <t>% water htg load displaced</t>
  </si>
  <si>
    <t>space htg load met w/CCHP</t>
  </si>
  <si>
    <t>water htg load met w/CCHP</t>
  </si>
  <si>
    <t>space htg load met w/FF</t>
  </si>
  <si>
    <t>water htg load met w/FF</t>
  </si>
  <si>
    <t>space htg elc usage (MWh)</t>
  </si>
  <si>
    <t xml:space="preserve">LRTP assumes 3.256 UEC. Cadmus metering study found 1,500 kWh supplies around 50 MMBtu of htg load </t>
  </si>
  <si>
    <t>water htg elc usage (MWh</t>
  </si>
  <si>
    <t>space clg elc usage (MWh)</t>
  </si>
  <si>
    <t xml:space="preserve"> </t>
  </si>
  <si>
    <t>space htg T3 credit (MWh)</t>
  </si>
  <si>
    <t xml:space="preserve">enter assumed average over projection period </t>
  </si>
  <si>
    <t>water htg T3 credit (MWh)</t>
  </si>
  <si>
    <t>break-even incentive</t>
  </si>
  <si>
    <t>incentive cost per T3 credit</t>
  </si>
  <si>
    <t>ACP celiling on incentive</t>
  </si>
  <si>
    <t>BAU CAPEX</t>
  </si>
  <si>
    <t>CCHP CAPEX</t>
  </si>
  <si>
    <t>BAU expected OPEX</t>
  </si>
  <si>
    <t>CCHP expected OPEX</t>
  </si>
  <si>
    <t>NOTES:</t>
  </si>
  <si>
    <t>$/mmbtu</t>
  </si>
  <si>
    <t>Retail Rate</t>
  </si>
  <si>
    <t>Tier III ACP</t>
  </si>
  <si>
    <t>Tier I ACP</t>
  </si>
  <si>
    <t>Tier II ACP</t>
  </si>
  <si>
    <t>$/unit</t>
  </si>
  <si>
    <t>CALENDAR YEAR</t>
  </si>
  <si>
    <t>ELECTRIC VEHICLES</t>
  </si>
  <si>
    <t>WEATHERIZATION</t>
  </si>
  <si>
    <t>CUSTOM</t>
  </si>
  <si>
    <t>EV CAPEX</t>
  </si>
  <si>
    <t>EV expected OPEX</t>
  </si>
  <si>
    <t>Wx CAPEX</t>
  </si>
  <si>
    <t>Wx expected OPEX</t>
  </si>
  <si>
    <t>CAPEX</t>
  </si>
  <si>
    <t>Expected OPEX</t>
  </si>
  <si>
    <t>VMT/year</t>
  </si>
  <si>
    <t>equipment cost</t>
  </si>
  <si>
    <t>cost trend</t>
  </si>
  <si>
    <t>fuel efficiency (MMBtu/mile)</t>
  </si>
  <si>
    <t>fuel usage (MMBtu)</t>
  </si>
  <si>
    <t>maintenance cost/mi (yr 1)</t>
  </si>
  <si>
    <t>maintenance cost/yr (yr 1)</t>
  </si>
  <si>
    <t>electricity usage (MWh)</t>
  </si>
  <si>
    <t>T3 credit (MWh)</t>
  </si>
  <si>
    <t>Federal Incentive</t>
  </si>
  <si>
    <t>net incentive from DU</t>
  </si>
  <si>
    <t>Wholesale Cost of CCHP</t>
  </si>
  <si>
    <t>Wholesale Cost of EV</t>
  </si>
  <si>
    <t>CCHP LMP multiplier</t>
  </si>
  <si>
    <t>EV LMP multiplier</t>
  </si>
  <si>
    <t>Weatherization multiplier</t>
  </si>
  <si>
    <t>Custom multiplier</t>
  </si>
  <si>
    <t>Tier III contribution to RNS peaks</t>
  </si>
  <si>
    <t>Tier III contribution to FCM peaks</t>
  </si>
  <si>
    <t>(0 = no additional peak load; 1 = 100% of load at the time of peaks)</t>
  </si>
  <si>
    <t>Additional Revenue at Retail Rates</t>
  </si>
  <si>
    <t>Cost of Additional Load</t>
  </si>
  <si>
    <t>base year</t>
  </si>
  <si>
    <t>Total Number of Units</t>
  </si>
  <si>
    <t>Tier III Technology Allocation</t>
  </si>
  <si>
    <t>Wholesale Cost of Weatherization</t>
  </si>
  <si>
    <t>Wholesale Cost of Custom</t>
  </si>
  <si>
    <t>(VELCO, low, mid, high) NM forecasts on Tier II tab, rows 26-30</t>
  </si>
  <si>
    <t>base</t>
  </si>
  <si>
    <t>Base Energy, Capacity, REC Tier I forecats from PSD fall outlooks</t>
  </si>
  <si>
    <t>Low Fossil Fuel escalation</t>
  </si>
  <si>
    <t>Mid Fossil Fuel escalation</t>
  </si>
  <si>
    <t>High Fossil Fuel escalation</t>
  </si>
  <si>
    <t>1.6% is consistent with base PSD LMP forecast from fall 2018</t>
  </si>
  <si>
    <t>FF SCENARIO:</t>
  </si>
  <si>
    <t>Fossil Fuel Scenario</t>
  </si>
  <si>
    <t>Total</t>
  </si>
  <si>
    <t>scalar from base</t>
  </si>
  <si>
    <t>FF price- transportation</t>
  </si>
  <si>
    <t>FF price- heating</t>
  </si>
  <si>
    <t>Retail Sales- Baseline</t>
  </si>
  <si>
    <t>+ Tier I Costs</t>
  </si>
  <si>
    <t>+ Tier II Costs</t>
  </si>
  <si>
    <t>+ Tier III Costs</t>
  </si>
  <si>
    <t>- Revenue from Add. Sales</t>
  </si>
  <si>
    <t>TOTAL Cost of Tier III</t>
  </si>
  <si>
    <t>TOTAL Cost of RES</t>
  </si>
  <si>
    <t>REC Scenario</t>
  </si>
  <si>
    <t>Retail Rate- Baseline</t>
  </si>
  <si>
    <t>Rate Impact</t>
  </si>
  <si>
    <t>BASELINE</t>
  </si>
  <si>
    <t>RES</t>
  </si>
  <si>
    <t>Wholesale price trend</t>
  </si>
  <si>
    <t>Fossil Fuel- heating</t>
  </si>
  <si>
    <t>Fossil Fuel- transportation</t>
  </si>
  <si>
    <t>REC SCENARIO:</t>
  </si>
  <si>
    <t>PRICES USED IN MODEL:</t>
  </si>
  <si>
    <t>- new NM</t>
  </si>
  <si>
    <t>+ Tier III additions</t>
  </si>
  <si>
    <t>depreciation rate</t>
  </si>
  <si>
    <t>COS ESCALATION</t>
  </si>
  <si>
    <t>share tied to market</t>
  </si>
  <si>
    <t>share tied to inflation</t>
  </si>
  <si>
    <t>share tied to depreciation</t>
  </si>
  <si>
    <t>ASSUMPTIONS</t>
  </si>
  <si>
    <t>NPV</t>
  </si>
  <si>
    <t>measure life</t>
  </si>
  <si>
    <t>Net to Gross</t>
  </si>
  <si>
    <t>tier 3 lifetime MWh equiv</t>
  </si>
  <si>
    <t>Gross tier 3 lifetime MWh equiv</t>
  </si>
  <si>
    <t>increased kWh/MWh equiv</t>
  </si>
  <si>
    <t>Net Lifetime MWh Savings per Unit</t>
  </si>
  <si>
    <t>Gross Lifetime MWh Saved</t>
  </si>
  <si>
    <t>Multi Zone Cold-Climate Heat Pump (CCHP) with Controls* and High Performing Home</t>
  </si>
  <si>
    <t>Multi Zone Cold-Climate Heat Pump (CCHP) with no Controls* and Low Performing Home</t>
  </si>
  <si>
    <t>Multi Zone Cold-Climate Heat Pump (CCHP) with Controls* and Low Performing Home</t>
  </si>
  <si>
    <t>Multi Zone Cold-Climate Heat Pump (CCHP) with no Controls* and High Performing Home</t>
  </si>
  <si>
    <t>Single Zone Cold-Climate Heat Pump (CCHP) with Controls* and High Performing Home</t>
  </si>
  <si>
    <t>Single Zone Cold-Climate Heat Pump (CCHP) with no Controls* and Low Performing Home</t>
  </si>
  <si>
    <t>Single Zone Cold-Climate Heat Pump (CCHP) with Controls* and Low Performing Home</t>
  </si>
  <si>
    <t>Single Zone Cold-Climate Heat Pump (CCHP) with no Controls* and High Performing Home</t>
  </si>
  <si>
    <t>Heat Pump Water Heater (HPWH)</t>
  </si>
  <si>
    <t>Biodiesel</t>
  </si>
  <si>
    <t>Pellet Heating</t>
  </si>
  <si>
    <t>All Electric Vehicle</t>
  </si>
  <si>
    <t>Plug-in Hybrid Electric Vehicle</t>
  </si>
  <si>
    <t>Level 2 Public Charging Stations</t>
  </si>
  <si>
    <t>Level 2 Workplace Charging Stations</t>
  </si>
  <si>
    <t>DC Fast Public Charging Stations</t>
  </si>
  <si>
    <t>Smart Thermostat</t>
  </si>
  <si>
    <t>Electric Bike</t>
  </si>
  <si>
    <t>Low Flow Faucet Aerator</t>
  </si>
  <si>
    <t>Low Flow Showerhead</t>
  </si>
  <si>
    <t>Solar Hot Water</t>
  </si>
  <si>
    <t>TIER III PLANNING TOOL</t>
  </si>
  <si>
    <t>CCHP Average</t>
  </si>
  <si>
    <t>Heat Rate for Fossil Fuels</t>
  </si>
  <si>
    <t>Existing MMBtu Consumption Annually</t>
  </si>
  <si>
    <t>Existing System MMBtu Displaced / Reduced By New System (DMMBtu)</t>
  </si>
  <si>
    <t>Added kWh new system (DkWh)</t>
  </si>
  <si>
    <t>ELECTRIC VEHICLE Average</t>
  </si>
  <si>
    <t>Tier III lifetime MWh elec penalty</t>
  </si>
  <si>
    <t>TOTAL MMBtu of Fossil Fuel Saved</t>
  </si>
  <si>
    <t>Annual MMBtu of Fossil Fuel Saved</t>
  </si>
  <si>
    <t>Energy Prices by Sector and Source</t>
  </si>
  <si>
    <t>https://www.eia.gov/outlooks/aeo/data/browser/#/?id=3-AEO2018&amp;sourcekey=0</t>
  </si>
  <si>
    <t>Mon Nov 05 2018 12:26:22 GMT-0500 (Eastern Standard Time)</t>
  </si>
  <si>
    <t>Source: U.S. Energy Information Administration</t>
  </si>
  <si>
    <t>full name</t>
  </si>
  <si>
    <t>api key</t>
  </si>
  <si>
    <t>units</t>
  </si>
  <si>
    <t>Growth (2017-2050)</t>
  </si>
  <si>
    <t>Residential</t>
  </si>
  <si>
    <t>3-AEO2018.2.</t>
  </si>
  <si>
    <t>Propane</t>
  </si>
  <si>
    <t>Energy Prices: Residential: Propane: Reference case</t>
  </si>
  <si>
    <t>3-AEO2018.3.ref2018-d121317a</t>
  </si>
  <si>
    <t>2017 $/MMBtu</t>
  </si>
  <si>
    <t>Distillate Fuel Oil</t>
  </si>
  <si>
    <t>Energy Prices: Residential: Distillate Fuel Oil: Reference case</t>
  </si>
  <si>
    <t>3-AEO2018.4.ref2018-d121317a</t>
  </si>
  <si>
    <t>Natural Gas</t>
  </si>
  <si>
    <t>Energy Prices: Residential: Natural Gas: Reference case</t>
  </si>
  <si>
    <t>3-AEO2018.5.ref2018-d121317a</t>
  </si>
  <si>
    <t>Electricity</t>
  </si>
  <si>
    <t>Energy Prices: Residential: Electricity: Reference case</t>
  </si>
  <si>
    <t>3-AEO2018.6.ref2018-d121317a</t>
  </si>
  <si>
    <t>Commercial</t>
  </si>
  <si>
    <t>3-AEO2018.8.</t>
  </si>
  <si>
    <t>Energy Prices: Commercial: Propane: Reference case</t>
  </si>
  <si>
    <t>3-AEO2018.9.ref2018-d121317a</t>
  </si>
  <si>
    <t>Energy Prices: Commercial: Distillate Fuel Oil: Reference case</t>
  </si>
  <si>
    <t>3-AEO2018.10.ref2018-d121317a</t>
  </si>
  <si>
    <t>Residual Fuel Oil</t>
  </si>
  <si>
    <t>Energy Prices: Commercial: Residual Fuel: Reference case</t>
  </si>
  <si>
    <t>3-AEO2018.11.ref2018-d121317a</t>
  </si>
  <si>
    <t>Energy Prices: Commercial: Natural Gas: Reference case</t>
  </si>
  <si>
    <t>3-AEO2018.12.ref2018-d121317a</t>
  </si>
  <si>
    <t>Energy Prices: Commercial: Electricity: Reference case</t>
  </si>
  <si>
    <t>3-AEO2018.13.ref2018-d121317a</t>
  </si>
  <si>
    <t>Industrial</t>
  </si>
  <si>
    <t>3-AEO2018.15.</t>
  </si>
  <si>
    <t>Energy Prices: Industrial: Propane: Reference case</t>
  </si>
  <si>
    <t>3-AEO2018.16.ref2018-d121317a</t>
  </si>
  <si>
    <t>Energy Prices: Industrial: Distillate Fuel Oil: Reference case</t>
  </si>
  <si>
    <t>3-AEO2018.17.ref2018-d121317a</t>
  </si>
  <si>
    <t>Energy Prices: Industrial: Residual Fuel Oil: Reference case</t>
  </si>
  <si>
    <t>3-AEO2018.18.ref2018-d121317a</t>
  </si>
  <si>
    <t>Energy Prices: Industrial: Natural Gas: Reference case</t>
  </si>
  <si>
    <t>3-AEO2018.19.ref2018-d121317a</t>
  </si>
  <si>
    <t>Metallurgical Coal</t>
  </si>
  <si>
    <t>Energy Prices: Industrial: Metallurgical Coal: Reference case</t>
  </si>
  <si>
    <t>3-AEO2018.20.ref2018-d121317a</t>
  </si>
  <si>
    <t>Other Industrial Coal</t>
  </si>
  <si>
    <t>Energy Prices: Industrial: Other Industrial Coal: Reference case</t>
  </si>
  <si>
    <t>3-AEO2018.21.ref2018-d121317a</t>
  </si>
  <si>
    <t>Coal to Liquids</t>
  </si>
  <si>
    <t>Energy Prices: Industrial: Coal to Liquids: Reference case</t>
  </si>
  <si>
    <t>3-AEO2018.22.ref2018-d121317a</t>
  </si>
  <si>
    <t>- -</t>
  </si>
  <si>
    <t>Energy Prices: Industrial: Electricity: Reference case</t>
  </si>
  <si>
    <t>3-AEO2018.23.ref2018-d121317a</t>
  </si>
  <si>
    <t>Transportation</t>
  </si>
  <si>
    <t>3-AEO2018.25.</t>
  </si>
  <si>
    <t>Energy Prices: Transportation: Propane: Reference case</t>
  </si>
  <si>
    <t>3-AEO2018.26.ref2018-d121317a</t>
  </si>
  <si>
    <t>E85</t>
  </si>
  <si>
    <t>Energy Prices: Transportation: E85: Reference case</t>
  </si>
  <si>
    <t>3-AEO2018.27.ref2018-d121317a</t>
  </si>
  <si>
    <t>Motor Gasoline</t>
  </si>
  <si>
    <t>Energy Prices: Transportation: Motor Gasoline: Reference case</t>
  </si>
  <si>
    <t>3-AEO2018.28.ref2018-d121317a</t>
  </si>
  <si>
    <t>Jet Fuel</t>
  </si>
  <si>
    <t>Energy Prices: Transportation: Jet Fuel: Reference case</t>
  </si>
  <si>
    <t>3-AEO2018.29.ref2018-d121317a</t>
  </si>
  <si>
    <t>Diesel Fuel (distillate fuel oil)</t>
  </si>
  <si>
    <t>Energy Prices: Transportation: Diesel Fuel: Reference case</t>
  </si>
  <si>
    <t>3-AEO2018.30.ref2018-d121317a</t>
  </si>
  <si>
    <t>Energy Prices: Transportation: Residual Fuel Oil: Reference case</t>
  </si>
  <si>
    <t>3-AEO2018.31.ref2018-d121317a</t>
  </si>
  <si>
    <t>Energy Prices: Transportation: Natural Gas: Reference case</t>
  </si>
  <si>
    <t>3-AEO2018.32.ref2018-d121317a</t>
  </si>
  <si>
    <t>Energy Prices: Transportation: Electricity: Reference case</t>
  </si>
  <si>
    <t>3-AEO2018.33.ref2018-d121317a</t>
  </si>
  <si>
    <t>Electric Power</t>
  </si>
  <si>
    <t>3-AEO2018.35.</t>
  </si>
  <si>
    <t>Energy Prices: Electric Power: Distillate Fuel Oil: Reference case</t>
  </si>
  <si>
    <t>3-AEO2018.36.ref2018-d121317a</t>
  </si>
  <si>
    <t>Energy Prices: Electric Power: Residual Fuel Oil: Reference case</t>
  </si>
  <si>
    <t>3-AEO2018.37.ref2018-d121317a</t>
  </si>
  <si>
    <t>Energy Prices: Electric Power: Natural Gas: Reference case</t>
  </si>
  <si>
    <t>3-AEO2018.38.ref2018-d121317a</t>
  </si>
  <si>
    <t>Steam Coal</t>
  </si>
  <si>
    <t>Energy Prices: Electric Power: Steam Coal: Reference case</t>
  </si>
  <si>
    <t>3-AEO2018.39.ref2018-d121317a</t>
  </si>
  <si>
    <t>Uranium</t>
  </si>
  <si>
    <t>Energy Prices: Electric Power: Uranium: Reference case</t>
  </si>
  <si>
    <t>3-AEO2018.40.ref2018-d121317a</t>
  </si>
  <si>
    <t>Average Price to All Users</t>
  </si>
  <si>
    <t>3-AEO2018.44.</t>
  </si>
  <si>
    <t>Energy Prices: Average Price to All Users: Propane: Reference case</t>
  </si>
  <si>
    <t>3-AEO2018.45.ref2018-d121317a</t>
  </si>
  <si>
    <t>Energy Prices: Average Price to All Users: E85: Reference case</t>
  </si>
  <si>
    <t>3-AEO2018.46.ref2018-d121317a</t>
  </si>
  <si>
    <t>Energy Prices: Average Price to All Users: Motor Gasoline: Reference case</t>
  </si>
  <si>
    <t>3-AEO2018.47.ref2018-d121317a</t>
  </si>
  <si>
    <t>Energy Prices: Average Price to All Users: Jet Fuel: Reference case</t>
  </si>
  <si>
    <t>3-AEO2018.48.ref2018-d121317a</t>
  </si>
  <si>
    <t>Energy Prices: Average Price to All Users: Distillate Fuel Oil: Reference case</t>
  </si>
  <si>
    <t>3-AEO2018.49.ref2018-d121317a</t>
  </si>
  <si>
    <t>Energy Prices: Average Price to All Users: Residual Fuel Oil: Reference case</t>
  </si>
  <si>
    <t>3-AEO2018.50.ref2018-d121317a</t>
  </si>
  <si>
    <t>Energy Prices: Average Price to All Users: Natural Gas: Reference case</t>
  </si>
  <si>
    <t>3-AEO2018.51.ref2018-d121317a</t>
  </si>
  <si>
    <t>Energy Prices: Average Price to All Users: Metallurgical Coal: Reference case</t>
  </si>
  <si>
    <t>3-AEO2018.52.ref2018-d121317a</t>
  </si>
  <si>
    <t>Other Coal</t>
  </si>
  <si>
    <t>Energy Prices: Average Price to All Users: Other Coal: Reference case</t>
  </si>
  <si>
    <t>3-AEO2018.53.ref2018-d121317a</t>
  </si>
  <si>
    <t>Energy Prices: Average Price to All Users: Coal to Liquids: Reference case</t>
  </si>
  <si>
    <t>3-AEO2018.54.ref2018-d121317a</t>
  </si>
  <si>
    <t>Energy Prices: Average Price to All Users: Electricity: Reference case</t>
  </si>
  <si>
    <t>3-AEO2018.55.ref2018-d121317a</t>
  </si>
  <si>
    <t>Non-Renewable Energy Expenditures by Sector</t>
  </si>
  <si>
    <t>3-AEO2018.57.</t>
  </si>
  <si>
    <t>(billion 2017 dollars)</t>
  </si>
  <si>
    <t>3-AEO2018.58.</t>
  </si>
  <si>
    <t>Energy Expenditures: Non-Renewable Residential: Reference case</t>
  </si>
  <si>
    <t>3-AEO2018.59.ref2018-d121317a</t>
  </si>
  <si>
    <t>billion 2017 $</t>
  </si>
  <si>
    <t>Energy Expenditures: Non-Renewable Commercial: Reference case</t>
  </si>
  <si>
    <t>3-AEO2018.60.ref2018-d121317a</t>
  </si>
  <si>
    <t>Energy Expenditures: Non-Renewable Industrial: Reference case</t>
  </si>
  <si>
    <t>3-AEO2018.61.ref2018-d121317a</t>
  </si>
  <si>
    <t>Energy Expenditures: Non-Renewable Transportation: Reference case</t>
  </si>
  <si>
    <t>3-AEO2018.62.ref2018-d121317a</t>
  </si>
  <si>
    <t>Total Non-Renewable Expenditures</t>
  </si>
  <si>
    <t>Energy Expenditures: Total Non-Renewable: Reference case</t>
  </si>
  <si>
    <t>3-AEO2018.63.ref2018-d121317a</t>
  </si>
  <si>
    <t>Transportation Renewable Expenditures</t>
  </si>
  <si>
    <t>Energy Expenditures: Renewable Transportation: Reference case</t>
  </si>
  <si>
    <t>3-AEO2018.64.ref2018-d121317a</t>
  </si>
  <si>
    <t>Total Expenditures</t>
  </si>
  <si>
    <t>Energy Expenditures: Total Non-Renewable with Renewable Transportation: Reference case</t>
  </si>
  <si>
    <t>3-AEO2018.65.ref2018-d121317a</t>
  </si>
  <si>
    <t>Prices in Nominal Dollars</t>
  </si>
  <si>
    <t>3-AEO2018.68.</t>
  </si>
  <si>
    <t>3-AEO2018.69.</t>
  </si>
  <si>
    <t>Energy Prices: Nominal: Residential: Propane: Reference case</t>
  </si>
  <si>
    <t>3-AEO2018.70.ref2018-d121317a</t>
  </si>
  <si>
    <t>nom $/MMBtu</t>
  </si>
  <si>
    <t>Energy Prices: Nominal: Residential: Distillate Fuel Oil: Reference case</t>
  </si>
  <si>
    <t>3-AEO2018.71.ref2018-d121317a</t>
  </si>
  <si>
    <t>Energy Prices: Nominal: Residential: Natural Gas: Reference case</t>
  </si>
  <si>
    <t>3-AEO2018.72.ref2018-d121317a</t>
  </si>
  <si>
    <t>Energy Prices: Nominal: Residential: Electricity: Reference case</t>
  </si>
  <si>
    <t>3-AEO2018.73.ref2018-d121317a</t>
  </si>
  <si>
    <t>3-AEO2018.75.</t>
  </si>
  <si>
    <t>Energy Prices: Nominal: Commercial: Propane: Reference case</t>
  </si>
  <si>
    <t>3-AEO2018.76.ref2018-d121317a</t>
  </si>
  <si>
    <t>Energy Prices: Nominal: Commercial: Distillate Fuel Oil: Reference case</t>
  </si>
  <si>
    <t>3-AEO2018.77.ref2018-d121317a</t>
  </si>
  <si>
    <t>Energy Prices: Nominal: Commercial: Residual Fuel: Reference case</t>
  </si>
  <si>
    <t>3-AEO2018.78.ref2018-d121317a</t>
  </si>
  <si>
    <t>Energy Prices: Nominal: Commercial: Natural Gas: Reference case</t>
  </si>
  <si>
    <t>3-AEO2018.79.ref2018-d121317a</t>
  </si>
  <si>
    <t>Energy Prices: Nominal: Commercial: Electricity: Reference case</t>
  </si>
  <si>
    <t>3-AEO2018.80.ref2018-d121317a</t>
  </si>
  <si>
    <t>3-AEO2018.82.</t>
  </si>
  <si>
    <t>Energy Prices: Nominal: Industrial: Propane: Reference case</t>
  </si>
  <si>
    <t>3-AEO2018.83.ref2018-d121317a</t>
  </si>
  <si>
    <t>Energy Prices: Nominal: Industrial: Distillate Fuel Oil: Reference case</t>
  </si>
  <si>
    <t>3-AEO2018.84.ref2018-d121317a</t>
  </si>
  <si>
    <t>Energy Prices: Nominal: Industrial: Residual Fuel Oil: Reference case</t>
  </si>
  <si>
    <t>3-AEO2018.85.ref2018-d121317a</t>
  </si>
  <si>
    <t>Energy Prices: Nominal: Industrial: Natural Gas: Reference case</t>
  </si>
  <si>
    <t>3-AEO2018.86.ref2018-d121317a</t>
  </si>
  <si>
    <t>Energy Prices: Nominal: Industrial: Metallurgical Coal: Reference case</t>
  </si>
  <si>
    <t>3-AEO2018.87.ref2018-d121317a</t>
  </si>
  <si>
    <t>Energy Prices: Nominal: Industrial: Other Industrial Coal: Reference case</t>
  </si>
  <si>
    <t>3-AEO2018.88.ref2018-d121317a</t>
  </si>
  <si>
    <t>Energy Prices: Nominal: Industrial: Coal to Liquids: Reference case</t>
  </si>
  <si>
    <t>3-AEO2018.89.ref2018-d121317a</t>
  </si>
  <si>
    <t>Energy Prices: Nominal: Industrial: Electricity: Reference case</t>
  </si>
  <si>
    <t>3-AEO2018.90.ref2018-d121317a</t>
  </si>
  <si>
    <t>3-AEO2018.93.</t>
  </si>
  <si>
    <t>Energy Prices: Nominal: Transportation: Propane: Reference case</t>
  </si>
  <si>
    <t>3-AEO2018.94.ref2018-d121317a</t>
  </si>
  <si>
    <t>Energy Prices: Nominal: Transportation: E85: Reference case</t>
  </si>
  <si>
    <t>3-AEO2018.95.ref2018-d121317a</t>
  </si>
  <si>
    <t>Energy Prices: Nominal: Transportation: Motor Gasoline: Reference case</t>
  </si>
  <si>
    <t>3-AEO2018.96.ref2018-d121317a</t>
  </si>
  <si>
    <t>Energy Prices: Nominal: Transportation: Jet Fuel: Reference case</t>
  </si>
  <si>
    <t>3-AEO2018.97.ref2018-d121317a</t>
  </si>
  <si>
    <t>Energy Prices: Nominal: Transportation: Diesel Fuel: Reference case</t>
  </si>
  <si>
    <t>3-AEO2018.98.ref2018-d121317a</t>
  </si>
  <si>
    <t>Energy Prices: Nominal: Transportation: Residual Fuel Oil: Reference case</t>
  </si>
  <si>
    <t>3-AEO2018.99.ref2018-d121317a</t>
  </si>
  <si>
    <t>Energy Prices: Nominal: Transportation: Natural Gas: Reference case</t>
  </si>
  <si>
    <t>3-AEO2018.100.ref2018-d121317a</t>
  </si>
  <si>
    <t>Energy Prices: Nominal: Transportation: Electricity: Reference case</t>
  </si>
  <si>
    <t>3-AEO2018.101.ref2018-d121317a</t>
  </si>
  <si>
    <t>3-AEO2018.103.</t>
  </si>
  <si>
    <t>Energy Prices: Nominal: Electric Power: Distillate Fuel Oil: Reference case</t>
  </si>
  <si>
    <t>3-AEO2018.104.ref2018-d121317a</t>
  </si>
  <si>
    <t>Energy Prices: Nominal: Electric Power: Residual Fuel Oil: Reference case</t>
  </si>
  <si>
    <t>3-AEO2018.105.ref2018-d121317a</t>
  </si>
  <si>
    <t>Energy Prices: Nominal: Electric Power: Natural Gas: Reference case</t>
  </si>
  <si>
    <t>3-AEO2018.106.ref2018-d121317a</t>
  </si>
  <si>
    <t>Energy Prices: Nominal: Electric Power: Steam Coal: Reference case</t>
  </si>
  <si>
    <t>3-AEO2018.107.ref2018-d121317a</t>
  </si>
  <si>
    <t>Energy Prices: Nominal: Electric Power: Uranium: Reference case</t>
  </si>
  <si>
    <t>3-AEO2018.108.ref2018-d121317a</t>
  </si>
  <si>
    <t>3-AEO2018.111.</t>
  </si>
  <si>
    <t>Energy Prices: Nominal: Average Price to All Users: Propane: Reference case</t>
  </si>
  <si>
    <t>3-AEO2018.112.ref2018-d121317a</t>
  </si>
  <si>
    <t>Energy Prices: Nominal: Average Price to All Users: E85: Reference case</t>
  </si>
  <si>
    <t>3-AEO2018.113.ref2018-d121317a</t>
  </si>
  <si>
    <t>Energy Prices: Nominal: Average Price to All Users: Motor Gasoline: Reference case</t>
  </si>
  <si>
    <t>3-AEO2018.114.ref2018-d121317a</t>
  </si>
  <si>
    <t>Energy Prices: Nominal: Average Price to All Users: Jet Fuel: Reference case</t>
  </si>
  <si>
    <t>3-AEO2018.115.ref2018-d121317a</t>
  </si>
  <si>
    <t>Energy Prices: Nominal: Average Price to All Users: Distillate Fuel Oil: Reference case</t>
  </si>
  <si>
    <t>3-AEO2018.116.ref2018-d121317a</t>
  </si>
  <si>
    <t>Energy Prices: Nominal: Average Price to All Users: Residual Fuel Oil: Reference case</t>
  </si>
  <si>
    <t>3-AEO2018.117.ref2018-d121317a</t>
  </si>
  <si>
    <t>Energy Prices: Nominal: Average Price to All Users: Natural Gas: Reference case</t>
  </si>
  <si>
    <t>3-AEO2018.118.ref2018-d121317a</t>
  </si>
  <si>
    <t>Energy Prices: Nominal: Average Price to All Users: Metallurgical Coal: Reference case</t>
  </si>
  <si>
    <t>3-AEO2018.119.ref2018-d121317a</t>
  </si>
  <si>
    <t>Energy Prices: Nominal: Average Price to All Users: Other Coal: Reference case</t>
  </si>
  <si>
    <t>3-AEO2018.120.ref2018-d121317a</t>
  </si>
  <si>
    <t>Energy Prices: Nominal: Average Price to All Users: Coal to Liquids: Reference case</t>
  </si>
  <si>
    <t>3-AEO2018.121.ref2018-d121317a</t>
  </si>
  <si>
    <t>Energy Prices: Nominal: Average Price to All Users: Electricity: Reference case</t>
  </si>
  <si>
    <t>3-AEO2018.122.ref2018-d121317a</t>
  </si>
  <si>
    <t>3-AEO2018.124.</t>
  </si>
  <si>
    <t>(billion nominal dollars)</t>
  </si>
  <si>
    <t>3-AEO2018.125.</t>
  </si>
  <si>
    <t>Energy Expenditures: Nominal: Non-Renewable Residential: Reference case</t>
  </si>
  <si>
    <t>3-AEO2018.126.ref2018-d121317a</t>
  </si>
  <si>
    <t>billion nom $</t>
  </si>
  <si>
    <t>Energy Expenditures: Nominal: Non-Renewable Commercial: Reference case</t>
  </si>
  <si>
    <t>3-AEO2018.127.ref2018-d121317a</t>
  </si>
  <si>
    <t>Energy Expenditures: Nominal: Non-Renewable Industrial: Reference case</t>
  </si>
  <si>
    <t>3-AEO2018.128.ref2018-d121317a</t>
  </si>
  <si>
    <t>Energy Expenditures: Nominal: Non-Renewable Transportation: Reference case</t>
  </si>
  <si>
    <t>3-AEO2018.129.ref2018-d121317a</t>
  </si>
  <si>
    <t>Energy Expenditures: Nominal: Total Non-Renewable: Reference case</t>
  </si>
  <si>
    <t>3-AEO2018.130.ref2018-d121317a</t>
  </si>
  <si>
    <t>Energy Expenditures: Nominal: Renewable Transportation: Reference case</t>
  </si>
  <si>
    <t>3-AEO2018.131.ref2018-d121317a</t>
  </si>
  <si>
    <t>Energy Expenditures: Nominal: Total Non-Renewable with Renewable Transportation: Reference case</t>
  </si>
  <si>
    <t>3-AEO2018.132.ref2018-d121317a</t>
  </si>
  <si>
    <t>HEATING SHARE</t>
  </si>
  <si>
    <t>Heating Price</t>
  </si>
  <si>
    <t>AEO</t>
  </si>
  <si>
    <t>6% is consistent with AEO base case</t>
  </si>
  <si>
    <t>Additional Electric Load</t>
  </si>
  <si>
    <t>https://www.eia.gov/tools/faqs/faq.php?id=73&amp;t=11</t>
  </si>
  <si>
    <t>DISPLACED MMBTU</t>
  </si>
  <si>
    <t>lbs CO2 per mmBTU</t>
  </si>
  <si>
    <t>lbs of CO2 saved annually</t>
  </si>
  <si>
    <t>TOTAL lbs of CO2 saved</t>
  </si>
  <si>
    <t>from ITRON load forecast for VELCO showing non-utility scale solar</t>
  </si>
  <si>
    <t>Distillate</t>
  </si>
  <si>
    <t>HQ System Mix</t>
  </si>
  <si>
    <t>Nuclear</t>
  </si>
  <si>
    <t>Unspecified ⁱ</t>
  </si>
  <si>
    <t>Share</t>
  </si>
  <si>
    <t>2016 Vermont Fuel Mix (after the sale of RECs)</t>
  </si>
  <si>
    <t>2017 Retail Sales:</t>
  </si>
  <si>
    <t>lbs of CO2</t>
  </si>
  <si>
    <t>RES % renewable requirement</t>
  </si>
  <si>
    <t>% non-fossil</t>
  </si>
  <si>
    <t>% residual mix</t>
  </si>
  <si>
    <t>Projected Retail Sales</t>
  </si>
  <si>
    <t>MWh of residual mix</t>
  </si>
  <si>
    <t>lbs of CO2 with RES</t>
  </si>
  <si>
    <t>Tier I &amp; II CO2 savings</t>
  </si>
  <si>
    <t>Total lbs of CO2 Saved</t>
  </si>
  <si>
    <t>Total tons of CO2 Saved</t>
  </si>
  <si>
    <t>Decrease in Energy Consumption</t>
  </si>
  <si>
    <t>Total Energy Consumption Impact (mmbtu)</t>
  </si>
  <si>
    <t>Retail Sales w/ RES (MWh)</t>
  </si>
  <si>
    <t>Retail Rate w/ RES ($/MWh)</t>
  </si>
  <si>
    <t>COS with RES ($$)</t>
  </si>
  <si>
    <t>from EIA August 2018</t>
  </si>
  <si>
    <t>2017 Deliveries to Vermont</t>
  </si>
  <si>
    <t>New NM- post-1/1/2017</t>
  </si>
  <si>
    <t>lbs of CO2 saved per unit annually</t>
  </si>
  <si>
    <t>Total Fossil Fuel Consumption Impact (mmbtu)</t>
  </si>
  <si>
    <t>Electric Energy Consumption Impact (MWh)</t>
  </si>
  <si>
    <t>Electric Energy Consumption Impact (%)</t>
  </si>
  <si>
    <t>New NM- post-2017</t>
  </si>
  <si>
    <t>2016 ISO-NE Average emissions</t>
  </si>
  <si>
    <t>2016 ISO-NE Marginal emissions (all marginal units)</t>
  </si>
  <si>
    <t>tons of CO2</t>
  </si>
  <si>
    <t>2016 Vermont % residual mix</t>
  </si>
  <si>
    <t>Install Date</t>
  </si>
  <si>
    <t>7/1/2015</t>
  </si>
  <si>
    <t>Net Metering REC adjustor ($/MWh)</t>
  </si>
  <si>
    <t>6/30/2020</t>
  </si>
  <si>
    <t>n/a</t>
  </si>
  <si>
    <t>New NM- install 7/1/2015 - 12/31/2016</t>
  </si>
  <si>
    <t>2017 COS</t>
  </si>
  <si>
    <t>Assumption Level of Certainty</t>
  </si>
  <si>
    <t>2016 Energy Source</t>
  </si>
  <si>
    <t>Vermont emissions rate pre-RES (lbs/MWh)</t>
  </si>
  <si>
    <t>2017 Emissions w/o RES (lbs)</t>
  </si>
  <si>
    <t>HP Hot Water Heater</t>
  </si>
  <si>
    <t>EV Chargers</t>
  </si>
  <si>
    <t>Smart Thermostats</t>
  </si>
  <si>
    <t>Home Battery</t>
  </si>
  <si>
    <t>Pellet Boiler</t>
  </si>
  <si>
    <t>Tier I Requirement (net)</t>
  </si>
  <si>
    <t>New NM- post-2016-- NO RECs</t>
  </si>
  <si>
    <t>NM installed capacity (14% CF)</t>
  </si>
  <si>
    <t>MW</t>
  </si>
  <si>
    <t>NM 1.0 post-2016 install</t>
  </si>
  <si>
    <t>NM2.0 -post-2016 install</t>
  </si>
  <si>
    <t>NM 1.0 - pre-2015</t>
  </si>
  <si>
    <t>NM 1.0 - 7/15 - 12/16 install</t>
  </si>
  <si>
    <t>NM 2.1- post-2016</t>
  </si>
  <si>
    <t>Net Metering INSTALLED CAPACITY</t>
  </si>
  <si>
    <t>NM 1.0 - 7/15-12/16 install</t>
  </si>
  <si>
    <t>NM 1.0 - pre-7/2015 install</t>
  </si>
  <si>
    <t>Incentive Cost per Unit</t>
  </si>
  <si>
    <t>Overhead Costs</t>
  </si>
  <si>
    <t>Tier III Overhead in Year 1</t>
  </si>
  <si>
    <t>Tier III Overhead escalation</t>
  </si>
  <si>
    <t>Tier III Incentive Escalation</t>
  </si>
  <si>
    <t>NM 2.1- post-2017</t>
  </si>
  <si>
    <t>BASE Incentive per MWh ($/MWh)</t>
  </si>
  <si>
    <t>Incentive Factor:</t>
  </si>
  <si>
    <t>LOW</t>
  </si>
  <si>
    <t>(for HIGH FF prices, incentive reduced by 25%; MID FF prices, incentive equals "BASE"; LOW FF prices, incentive increased by 30%)</t>
  </si>
  <si>
    <t>Claimed lifetime MWh</t>
  </si>
  <si>
    <t>Measure Life (years)</t>
  </si>
  <si>
    <t>FF Heat Rate</t>
  </si>
  <si>
    <t>MMBtu of FF saved</t>
  </si>
  <si>
    <t>Average Wx MWh claim for 2017</t>
  </si>
  <si>
    <t>Displaced MMBtu per project</t>
  </si>
  <si>
    <t>LOW FF</t>
  </si>
  <si>
    <t>MID FF</t>
  </si>
  <si>
    <t>HIGH FF</t>
  </si>
  <si>
    <t>HIGH</t>
  </si>
  <si>
    <t>** All three scenarios assume VELCO net metering generation, the "mid" REC price scenario, and no peak contribution from new loads</t>
  </si>
  <si>
    <t>REC Price Forecast</t>
  </si>
  <si>
    <t>NM Adoption Rate</t>
  </si>
  <si>
    <t>Peak contribution of New Load</t>
  </si>
  <si>
    <t>Fossil Fuel Price</t>
  </si>
  <si>
    <t>None</t>
  </si>
  <si>
    <t>Tier 1 Cost</t>
  </si>
  <si>
    <t>Tier 2 Cost</t>
  </si>
  <si>
    <t>Tier 3 Net Cost</t>
  </si>
  <si>
    <t>HIGH INCREMENTAL COST</t>
  </si>
  <si>
    <t>LOW      INCREMENTAL COST</t>
  </si>
  <si>
    <t>Tier III CO2 savings</t>
  </si>
  <si>
    <t>TOTAL CO2 savings</t>
  </si>
  <si>
    <t>SYSTEM MWh (non-renewable)</t>
  </si>
  <si>
    <t>Decrease in system MWh</t>
  </si>
  <si>
    <t>change in FF consumed from Tier I &amp; II (mmbtu)</t>
  </si>
  <si>
    <t>FF Consumed (mmbtu)</t>
  </si>
  <si>
    <t>2016 MWh of residual mix</t>
  </si>
  <si>
    <t>Tier I &amp; II reduction in residual mix (from pre-RES)</t>
  </si>
  <si>
    <t>Tier I &amp; II  reduction in residual mix (from pre-RES)</t>
  </si>
  <si>
    <t>mmbtu</t>
  </si>
  <si>
    <t>2016 mmbtu of residual mix</t>
  </si>
  <si>
    <t>TOTAL mmbtu reduction from RES</t>
  </si>
  <si>
    <t>PSD BASE CASE</t>
  </si>
  <si>
    <t>HIGH SCENARIO</t>
  </si>
  <si>
    <t>LOW SCENARIO</t>
  </si>
  <si>
    <t>Tier III BASE Incentive Rates ($/claimed MWh)</t>
  </si>
  <si>
    <t xml:space="preserve">"Likely" PSD upperbound </t>
  </si>
  <si>
    <t>high cost</t>
  </si>
  <si>
    <t>low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</si>
</sst>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0.0%"/>
    <numFmt numFmtId="167" formatCode="_(&quot;$&quot;* #,##0_);_(&quot;$&quot;* \(#,##0\);_(&quot;$&quot;* &quot;-&quot;??_);_(@_)"/>
    <numFmt numFmtId="168" formatCode="_(&quot;$&quot;* #,##0.0_);_(&quot;$&quot;* \(#,##0.0\);_(&quot;$&quot;* &quot;-&quot;??_);_(@_)"/>
    <numFmt numFmtId="169" formatCode="0.0"/>
    <numFmt numFmtId="170" formatCode="_(* #,##0.000_);_(* \(#,##0.000\);_(* &quot;-&quot;??_);_(@_)"/>
    <numFmt numFmtId="171" formatCode="&quot;$&quot;#,##0"/>
    <numFmt numFmtId="172" formatCode="0.000"/>
    <numFmt numFmtId="173" formatCode="#,##0.000"/>
    <numFmt numFmtId="174" formatCode="&quot;$&quot;#,##0.000"/>
    <numFmt numFmtId="175" formatCode="#,##0.0000"/>
    <numFmt numFmtId="176" formatCode="#,##0.0"/>
    <numFmt numFmtId="177" formatCode="_(&quot;$&quot;* #,##0.0000_);_(&quot;$&quot;* \(#,##0.0000\);_(&quot;$&quot;* &quot;-&quot;??_);_(@_)"/>
    <numFmt numFmtId="178" formatCode="0.00000000000000000%"/>
  </numFmts>
  <fonts count="35"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1"/>
      <color theme="0" tint="-0.499984740745262"/>
      <name val="Calibri"/>
      <family val="2"/>
      <scheme val="minor"/>
    </font>
    <font>
      <b/>
      <sz val="9"/>
      <color indexed="81"/>
      <name val="Tahoma"/>
      <family val="2"/>
    </font>
    <font>
      <sz val="11"/>
      <color indexed="81"/>
      <name val="Tahoma"/>
      <family val="2"/>
    </font>
    <font>
      <b/>
      <u/>
      <sz val="11"/>
      <color theme="1"/>
      <name val="Calibri"/>
      <family val="2"/>
      <scheme val="minor"/>
    </font>
    <font>
      <b/>
      <u val="singleAccounting"/>
      <sz val="11"/>
      <color theme="1"/>
      <name val="Calibri"/>
      <family val="2"/>
      <scheme val="minor"/>
    </font>
    <font>
      <sz val="14"/>
      <color theme="1"/>
      <name val="Calibri"/>
      <family val="2"/>
      <scheme val="minor"/>
    </font>
    <font>
      <sz val="10"/>
      <color theme="1"/>
      <name val="Calibri"/>
      <family val="2"/>
      <scheme val="minor"/>
    </font>
    <font>
      <sz val="10"/>
      <color indexed="8"/>
      <name val="Arial"/>
      <family val="2"/>
    </font>
    <font>
      <sz val="9"/>
      <color indexed="81"/>
      <name val="Tahoma"/>
      <family val="2"/>
    </font>
    <font>
      <b/>
      <sz val="14"/>
      <color theme="1"/>
      <name val="Calibri"/>
      <family val="2"/>
      <scheme val="minor"/>
    </font>
    <font>
      <i/>
      <sz val="11"/>
      <color theme="1"/>
      <name val="Calibri"/>
      <family val="2"/>
      <scheme val="minor"/>
    </font>
    <font>
      <sz val="11"/>
      <color rgb="FFFF0000"/>
      <name val="Calibri"/>
      <family val="2"/>
      <scheme val="minor"/>
    </font>
    <font>
      <sz val="11"/>
      <color theme="0"/>
      <name val="Calibri"/>
      <family val="2"/>
      <scheme val="minor"/>
    </font>
    <font>
      <b/>
      <sz val="11"/>
      <color rgb="FFFF0000"/>
      <name val="Calibri"/>
      <family val="2"/>
      <scheme val="minor"/>
    </font>
    <font>
      <b/>
      <sz val="12"/>
      <color theme="0"/>
      <name val="Calibri"/>
      <family val="2"/>
      <scheme val="minor"/>
    </font>
    <font>
      <sz val="11"/>
      <name val="Calibri"/>
      <family val="2"/>
      <scheme val="minor"/>
    </font>
    <font>
      <b/>
      <u/>
      <sz val="11"/>
      <color indexed="8"/>
      <name val="Calibri"/>
      <family val="2"/>
      <scheme val="minor"/>
    </font>
    <font>
      <sz val="11"/>
      <color indexed="8"/>
      <name val="Calibri"/>
      <family val="2"/>
      <scheme val="minor"/>
    </font>
    <font>
      <b/>
      <u/>
      <sz val="12"/>
      <color theme="0"/>
      <name val="Calibri"/>
      <family val="2"/>
      <scheme val="minor"/>
    </font>
    <font>
      <sz val="11"/>
      <color theme="0" tint="-0.249977111117893"/>
      <name val="Calibri"/>
      <family val="2"/>
      <scheme val="minor"/>
    </font>
    <font>
      <b/>
      <u/>
      <sz val="12"/>
      <color rgb="FFFF0000"/>
      <name val="Calibri"/>
      <family val="2"/>
      <scheme val="minor"/>
    </font>
    <font>
      <b/>
      <u/>
      <sz val="12"/>
      <color theme="1"/>
      <name val="Calibri"/>
      <family val="2"/>
      <scheme val="minor"/>
    </font>
    <font>
      <b/>
      <sz val="10"/>
      <color theme="1"/>
      <name val="Arial"/>
      <family val="2"/>
    </font>
    <font>
      <i/>
      <sz val="11"/>
      <color rgb="FFFF0000"/>
      <name val="Calibri"/>
      <family val="2"/>
      <scheme val="minor"/>
    </font>
    <font>
      <sz val="11"/>
      <color rgb="FF212121"/>
      <name val="Arial"/>
      <family val="2"/>
    </font>
    <font>
      <b/>
      <u/>
      <sz val="11"/>
      <name val="Calibri"/>
      <family val="2"/>
      <scheme val="minor"/>
    </font>
    <font>
      <b/>
      <sz val="16"/>
      <color theme="1"/>
      <name val="Calibri"/>
      <family val="2"/>
      <scheme val="minor"/>
    </font>
    <font>
      <sz val="11"/>
      <color rgb="FF006100"/>
      <name val="Calibri"/>
      <family val="2"/>
      <scheme val="minor"/>
    </font>
    <font>
      <b/>
      <sz val="11"/>
      <name val="Calibri"/>
      <family val="2"/>
      <scheme val="minor"/>
    </font>
    <font>
      <b/>
      <u/>
      <sz val="10"/>
      <color theme="1"/>
      <name val="Calibri"/>
      <family val="2"/>
      <scheme val="minor"/>
    </font>
    <font>
      <sz val="11"/>
      <color theme="1" tint="0.499984740745262"/>
      <name val="Calibri"/>
      <family val="2"/>
      <scheme val="minor"/>
    </font>
  </fonts>
  <fills count="15">
    <fill>
      <patternFill patternType="none"/>
    </fill>
    <fill>
      <patternFill patternType="gray125"/>
    </fill>
    <fill>
      <patternFill patternType="solid">
        <fgColor rgb="FFFFCC99"/>
      </patternFill>
    </fill>
    <fill>
      <patternFill patternType="solid">
        <fgColor rgb="FFFFFF00"/>
        <bgColor indexed="64"/>
      </patternFill>
    </fill>
    <fill>
      <patternFill patternType="solid">
        <fgColor theme="9" tint="0.59999389629810485"/>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C6EFCE"/>
      </patternFill>
    </fill>
    <fill>
      <patternFill patternType="solid">
        <fgColor theme="5" tint="0.39997558519241921"/>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diagonal/>
    </border>
    <border>
      <left/>
      <right style="medium">
        <color indexed="64"/>
      </right>
      <top/>
      <bottom style="medium">
        <color indexed="64"/>
      </bottom>
      <diagonal/>
    </border>
    <border>
      <left style="thin">
        <color rgb="FF7F7F7F"/>
      </left>
      <right style="medium">
        <color indexed="64"/>
      </right>
      <top/>
      <bottom style="thin">
        <color rgb="FF7F7F7F"/>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44" fontId="1" fillId="0" borderId="0" applyFont="0" applyFill="0" applyBorder="0" applyAlignment="0" applyProtection="0"/>
    <xf numFmtId="0" fontId="31" fillId="12" borderId="0" applyNumberFormat="0" applyBorder="0" applyAlignment="0" applyProtection="0"/>
  </cellStyleXfs>
  <cellXfs count="447">
    <xf numFmtId="0" fontId="0" fillId="0" borderId="0" xfId="0"/>
    <xf numFmtId="0" fontId="0" fillId="0" borderId="0" xfId="0" applyAlignment="1">
      <alignment horizontal="center"/>
    </xf>
    <xf numFmtId="10" fontId="0" fillId="0" borderId="0" xfId="2" applyNumberFormat="1" applyFont="1"/>
    <xf numFmtId="9" fontId="0" fillId="0" borderId="0" xfId="0" applyNumberFormat="1"/>
    <xf numFmtId="10" fontId="0" fillId="0" borderId="0" xfId="0" applyNumberFormat="1"/>
    <xf numFmtId="3" fontId="4" fillId="0" borderId="0" xfId="0" applyNumberFormat="1" applyFont="1" applyFill="1"/>
    <xf numFmtId="0" fontId="0" fillId="0" borderId="0" xfId="0" applyFont="1" applyFill="1" applyBorder="1"/>
    <xf numFmtId="3" fontId="0" fillId="0" borderId="0" xfId="0" applyNumberFormat="1" applyFont="1" applyFill="1" applyBorder="1" applyAlignment="1">
      <alignment horizontal="right"/>
    </xf>
    <xf numFmtId="0" fontId="0" fillId="0" borderId="0" xfId="0" quotePrefix="1" applyFont="1" applyFill="1" applyBorder="1"/>
    <xf numFmtId="0" fontId="0" fillId="0" borderId="0" xfId="0" applyFont="1" applyBorder="1"/>
    <xf numFmtId="3" fontId="0" fillId="0" borderId="0" xfId="0" applyNumberFormat="1" applyFont="1" applyFill="1" applyBorder="1"/>
    <xf numFmtId="0" fontId="0" fillId="0" borderId="0" xfId="0" applyFont="1"/>
    <xf numFmtId="3" fontId="0" fillId="0" borderId="0" xfId="0" applyNumberFormat="1" applyFont="1" applyFill="1"/>
    <xf numFmtId="0" fontId="0" fillId="0" borderId="0" xfId="0" applyFont="1" applyFill="1"/>
    <xf numFmtId="0" fontId="7" fillId="0" borderId="0" xfId="0" applyFont="1" applyFill="1" applyBorder="1"/>
    <xf numFmtId="0" fontId="7" fillId="0" borderId="0" xfId="0" applyFont="1" applyFill="1" applyBorder="1" applyAlignment="1">
      <alignment horizontal="center"/>
    </xf>
    <xf numFmtId="164" fontId="0" fillId="0" borderId="0" xfId="1" applyNumberFormat="1" applyFont="1"/>
    <xf numFmtId="3" fontId="0" fillId="0" borderId="0" xfId="1" applyNumberFormat="1" applyFont="1"/>
    <xf numFmtId="164" fontId="0" fillId="0" borderId="0" xfId="0" applyNumberFormat="1"/>
    <xf numFmtId="0" fontId="0" fillId="0" borderId="0" xfId="0" applyFill="1"/>
    <xf numFmtId="0" fontId="7" fillId="0" borderId="0" xfId="0" applyFont="1"/>
    <xf numFmtId="0" fontId="0" fillId="0" borderId="5" xfId="0" applyBorder="1"/>
    <xf numFmtId="3" fontId="0" fillId="0" borderId="0" xfId="0" applyNumberFormat="1"/>
    <xf numFmtId="166" fontId="0" fillId="0" borderId="0" xfId="0" applyNumberFormat="1"/>
    <xf numFmtId="9" fontId="0" fillId="0" borderId="0" xfId="2" applyFont="1"/>
    <xf numFmtId="9" fontId="0" fillId="0" borderId="0" xfId="2" applyFont="1" applyFill="1"/>
    <xf numFmtId="164" fontId="0" fillId="0" borderId="0" xfId="0" applyNumberFormat="1" applyFont="1"/>
    <xf numFmtId="0" fontId="0" fillId="0" borderId="8" xfId="0" applyBorder="1"/>
    <xf numFmtId="0" fontId="11" fillId="0" borderId="8" xfId="0" applyFont="1" applyBorder="1"/>
    <xf numFmtId="0" fontId="0" fillId="0" borderId="0" xfId="0" applyAlignment="1">
      <alignment wrapText="1"/>
    </xf>
    <xf numFmtId="164" fontId="0" fillId="0" borderId="0" xfId="1" applyNumberFormat="1" applyFont="1" applyFill="1" applyBorder="1" applyAlignment="1">
      <alignment horizontal="right"/>
    </xf>
    <xf numFmtId="44" fontId="0" fillId="0" borderId="0" xfId="4" applyFont="1"/>
    <xf numFmtId="167" fontId="0" fillId="0" borderId="0" xfId="4" applyNumberFormat="1" applyFont="1"/>
    <xf numFmtId="0" fontId="3" fillId="0" borderId="0" xfId="0" applyFont="1"/>
    <xf numFmtId="9" fontId="2" fillId="2" borderId="1" xfId="3" applyNumberFormat="1"/>
    <xf numFmtId="10" fontId="2" fillId="2" borderId="1" xfId="3" applyNumberFormat="1"/>
    <xf numFmtId="167" fontId="0" fillId="0" borderId="0" xfId="0" applyNumberFormat="1"/>
    <xf numFmtId="0" fontId="14" fillId="0" borderId="0" xfId="0" applyFont="1"/>
    <xf numFmtId="44" fontId="0" fillId="0" borderId="0" xfId="0" applyNumberFormat="1" applyBorder="1"/>
    <xf numFmtId="0" fontId="3" fillId="0" borderId="0" xfId="4" applyNumberFormat="1" applyFont="1"/>
    <xf numFmtId="0" fontId="14" fillId="0" borderId="0" xfId="4" applyNumberFormat="1" applyFont="1"/>
    <xf numFmtId="44" fontId="0" fillId="0" borderId="0" xfId="4" applyFont="1" applyBorder="1"/>
    <xf numFmtId="0" fontId="0" fillId="0" borderId="5" xfId="0" applyFont="1" applyBorder="1"/>
    <xf numFmtId="164" fontId="0" fillId="0" borderId="5" xfId="1" applyNumberFormat="1" applyFont="1" applyBorder="1"/>
    <xf numFmtId="164" fontId="0" fillId="0" borderId="0" xfId="1" applyNumberFormat="1" applyFont="1" applyBorder="1"/>
    <xf numFmtId="43" fontId="0" fillId="0" borderId="0" xfId="1" applyFont="1"/>
    <xf numFmtId="164" fontId="0" fillId="0" borderId="0" xfId="1" applyNumberFormat="1" applyFont="1" applyFill="1" applyBorder="1" applyAlignment="1">
      <alignment horizontal="center"/>
    </xf>
    <xf numFmtId="164" fontId="0" fillId="0" borderId="0" xfId="1" applyNumberFormat="1" applyFont="1" applyFill="1"/>
    <xf numFmtId="164" fontId="0" fillId="0" borderId="0" xfId="1" applyNumberFormat="1" applyFont="1" applyFill="1" applyBorder="1"/>
    <xf numFmtId="164" fontId="0" fillId="0" borderId="0" xfId="0" applyNumberFormat="1" applyFont="1" applyFill="1"/>
    <xf numFmtId="3" fontId="0" fillId="0" borderId="0" xfId="1" applyNumberFormat="1" applyFont="1" applyFill="1" applyBorder="1"/>
    <xf numFmtId="9" fontId="0" fillId="0" borderId="0" xfId="2" applyFont="1" applyFill="1" applyBorder="1"/>
    <xf numFmtId="164" fontId="0" fillId="0" borderId="0" xfId="0" applyNumberFormat="1" applyFont="1" applyFill="1" applyBorder="1"/>
    <xf numFmtId="0" fontId="0" fillId="6" borderId="0" xfId="0" applyFont="1" applyFill="1" applyBorder="1"/>
    <xf numFmtId="3" fontId="0" fillId="6" borderId="0" xfId="0" applyNumberFormat="1" applyFont="1" applyFill="1" applyBorder="1" applyAlignment="1">
      <alignment horizontal="right"/>
    </xf>
    <xf numFmtId="0" fontId="0" fillId="6" borderId="0" xfId="0" quotePrefix="1" applyFont="1" applyFill="1" applyBorder="1"/>
    <xf numFmtId="0" fontId="0" fillId="6" borderId="0" xfId="0" applyFont="1" applyFill="1"/>
    <xf numFmtId="3" fontId="0" fillId="6" borderId="0" xfId="0" applyNumberFormat="1" applyFont="1" applyFill="1"/>
    <xf numFmtId="0" fontId="15" fillId="0" borderId="0" xfId="0" applyFont="1"/>
    <xf numFmtId="0" fontId="17" fillId="3" borderId="0" xfId="0" applyFont="1" applyFill="1"/>
    <xf numFmtId="0" fontId="7" fillId="0" borderId="0" xfId="0" applyFont="1" applyAlignment="1">
      <alignment horizontal="center"/>
    </xf>
    <xf numFmtId="44" fontId="0" fillId="0" borderId="0" xfId="0" applyNumberFormat="1"/>
    <xf numFmtId="166" fontId="0" fillId="0" borderId="0" xfId="2" applyNumberFormat="1" applyFont="1" applyFill="1" applyBorder="1"/>
    <xf numFmtId="0" fontId="18" fillId="5" borderId="0" xfId="0" applyFont="1" applyFill="1"/>
    <xf numFmtId="2" fontId="0" fillId="0" borderId="0" xfId="0" applyNumberFormat="1"/>
    <xf numFmtId="0" fontId="0" fillId="0" borderId="0" xfId="0" applyAlignment="1">
      <alignment horizontal="right"/>
    </xf>
    <xf numFmtId="169" fontId="0" fillId="0" borderId="0" xfId="0" applyNumberFormat="1"/>
    <xf numFmtId="164" fontId="3" fillId="0" borderId="0" xfId="1" applyNumberFormat="1" applyFont="1"/>
    <xf numFmtId="164" fontId="3" fillId="0" borderId="0" xfId="1" applyNumberFormat="1" applyFont="1" applyFill="1" applyBorder="1"/>
    <xf numFmtId="3" fontId="3" fillId="0" borderId="0" xfId="0" applyNumberFormat="1" applyFont="1" applyFill="1" applyBorder="1" applyAlignment="1">
      <alignment horizontal="right"/>
    </xf>
    <xf numFmtId="166" fontId="3" fillId="0" borderId="0" xfId="2" applyNumberFormat="1" applyFont="1" applyFill="1" applyBorder="1"/>
    <xf numFmtId="0" fontId="3" fillId="0" borderId="0" xfId="0" applyFont="1" applyAlignment="1">
      <alignment wrapText="1"/>
    </xf>
    <xf numFmtId="0" fontId="0" fillId="0" borderId="0" xfId="0" applyBorder="1"/>
    <xf numFmtId="2" fontId="2" fillId="2" borderId="0" xfId="3" applyNumberFormat="1" applyBorder="1"/>
    <xf numFmtId="9" fontId="0" fillId="0" borderId="19" xfId="2" applyFont="1" applyBorder="1"/>
    <xf numFmtId="0" fontId="0" fillId="0" borderId="20" xfId="0" applyBorder="1"/>
    <xf numFmtId="0" fontId="3" fillId="3" borderId="9" xfId="0" applyFont="1" applyFill="1" applyBorder="1"/>
    <xf numFmtId="0" fontId="3" fillId="3" borderId="5" xfId="0" applyFont="1" applyFill="1" applyBorder="1"/>
    <xf numFmtId="0" fontId="0" fillId="0" borderId="0" xfId="0" applyAlignment="1">
      <alignment vertical="center" wrapText="1"/>
    </xf>
    <xf numFmtId="0" fontId="3" fillId="0" borderId="6" xfId="0" applyFont="1" applyBorder="1" applyAlignment="1">
      <alignment vertical="center" wrapText="1"/>
    </xf>
    <xf numFmtId="0" fontId="3" fillId="0" borderId="21" xfId="0" applyFont="1" applyBorder="1" applyAlignment="1">
      <alignment vertical="center" wrapText="1"/>
    </xf>
    <xf numFmtId="0" fontId="3" fillId="0" borderId="7" xfId="0" applyFont="1" applyBorder="1" applyAlignment="1">
      <alignment vertical="center" wrapText="1"/>
    </xf>
    <xf numFmtId="0" fontId="3" fillId="0" borderId="0" xfId="0" applyFont="1" applyAlignment="1">
      <alignment vertical="center" wrapText="1"/>
    </xf>
    <xf numFmtId="44" fontId="0" fillId="0" borderId="0" xfId="4" applyNumberFormat="1" applyFont="1"/>
    <xf numFmtId="3" fontId="0" fillId="0" borderId="5" xfId="0" applyNumberFormat="1" applyFont="1" applyFill="1" applyBorder="1"/>
    <xf numFmtId="167" fontId="0" fillId="0" borderId="0" xfId="4" applyNumberFormat="1" applyFont="1" applyBorder="1"/>
    <xf numFmtId="167" fontId="0" fillId="0" borderId="5" xfId="4" applyNumberFormat="1" applyFont="1" applyBorder="1"/>
    <xf numFmtId="0" fontId="3" fillId="0" borderId="0" xfId="0" applyFont="1" applyFill="1" applyBorder="1"/>
    <xf numFmtId="9" fontId="17" fillId="3" borderId="0" xfId="0" applyNumberFormat="1" applyFont="1" applyFill="1" applyBorder="1"/>
    <xf numFmtId="0" fontId="2" fillId="2" borderId="1" xfId="3"/>
    <xf numFmtId="171" fontId="2" fillId="2" borderId="1" xfId="3" applyNumberFormat="1"/>
    <xf numFmtId="172" fontId="0" fillId="0" borderId="0" xfId="0" applyNumberFormat="1"/>
    <xf numFmtId="1" fontId="0" fillId="0" borderId="0" xfId="0" applyNumberFormat="1"/>
    <xf numFmtId="3" fontId="0" fillId="0" borderId="0" xfId="2" applyNumberFormat="1" applyFont="1"/>
    <xf numFmtId="172" fontId="2" fillId="2" borderId="1" xfId="3" applyNumberFormat="1"/>
    <xf numFmtId="173" fontId="2" fillId="2" borderId="1" xfId="3" applyNumberFormat="1"/>
    <xf numFmtId="171" fontId="0" fillId="0" borderId="0" xfId="0" applyNumberFormat="1"/>
    <xf numFmtId="3" fontId="2" fillId="2" borderId="1" xfId="3" applyNumberFormat="1"/>
    <xf numFmtId="8" fontId="0" fillId="0" borderId="0" xfId="0" applyNumberFormat="1"/>
    <xf numFmtId="0" fontId="0" fillId="0" borderId="18" xfId="0" applyBorder="1"/>
    <xf numFmtId="2" fontId="0" fillId="0" borderId="0" xfId="0" applyNumberFormat="1" applyBorder="1"/>
    <xf numFmtId="171" fontId="0" fillId="0" borderId="0" xfId="0" applyNumberFormat="1" applyBorder="1"/>
    <xf numFmtId="8" fontId="0" fillId="0" borderId="0" xfId="0" applyNumberFormat="1" applyBorder="1"/>
    <xf numFmtId="6" fontId="0" fillId="0" borderId="0" xfId="0" applyNumberFormat="1" applyBorder="1"/>
    <xf numFmtId="44" fontId="0" fillId="0" borderId="0" xfId="4" applyFont="1" applyFill="1" applyBorder="1"/>
    <xf numFmtId="1" fontId="7" fillId="0" borderId="0" xfId="0" applyNumberFormat="1" applyFont="1"/>
    <xf numFmtId="0" fontId="7" fillId="0" borderId="0" xfId="0" applyFont="1" applyFill="1"/>
    <xf numFmtId="1" fontId="20" fillId="3" borderId="22" xfId="3" applyNumberFormat="1" applyFont="1" applyFill="1" applyBorder="1"/>
    <xf numFmtId="168" fontId="21" fillId="0" borderId="0" xfId="4" applyNumberFormat="1" applyFont="1" applyFill="1" applyBorder="1"/>
    <xf numFmtId="168" fontId="0" fillId="0" borderId="0" xfId="4" applyNumberFormat="1" applyFont="1" applyFill="1" applyBorder="1"/>
    <xf numFmtId="0" fontId="22" fillId="5" borderId="0" xfId="0" applyFont="1" applyFill="1" applyBorder="1"/>
    <xf numFmtId="0" fontId="0" fillId="0" borderId="0" xfId="4" applyNumberFormat="1" applyFont="1" applyBorder="1" applyAlignment="1">
      <alignment horizontal="left"/>
    </xf>
    <xf numFmtId="165" fontId="0" fillId="0" borderId="0" xfId="0" applyNumberFormat="1" applyBorder="1"/>
    <xf numFmtId="0" fontId="16" fillId="0" borderId="0" xfId="0" applyFont="1" applyBorder="1"/>
    <xf numFmtId="171" fontId="16" fillId="0" borderId="0" xfId="0" applyNumberFormat="1" applyFont="1" applyBorder="1"/>
    <xf numFmtId="8" fontId="16" fillId="0" borderId="0" xfId="0" applyNumberFormat="1" applyFont="1" applyBorder="1"/>
    <xf numFmtId="0" fontId="24" fillId="5" borderId="0" xfId="0" applyFont="1" applyFill="1" applyBorder="1"/>
    <xf numFmtId="0" fontId="15" fillId="0" borderId="0" xfId="0" applyFont="1" applyBorder="1"/>
    <xf numFmtId="171" fontId="15" fillId="0" borderId="0" xfId="0" applyNumberFormat="1" applyFont="1" applyBorder="1"/>
    <xf numFmtId="8" fontId="15" fillId="0" borderId="0" xfId="0" applyNumberFormat="1" applyFont="1" applyBorder="1"/>
    <xf numFmtId="0" fontId="15" fillId="0" borderId="0" xfId="4" applyNumberFormat="1" applyFont="1" applyBorder="1" applyAlignment="1">
      <alignment horizontal="left"/>
    </xf>
    <xf numFmtId="167" fontId="15" fillId="0" borderId="0" xfId="4" applyNumberFormat="1" applyFont="1" applyBorder="1"/>
    <xf numFmtId="165" fontId="15" fillId="0" borderId="0" xfId="0" applyNumberFormat="1" applyFont="1" applyBorder="1"/>
    <xf numFmtId="175" fontId="0" fillId="0" borderId="0" xfId="0" applyNumberFormat="1"/>
    <xf numFmtId="174" fontId="0" fillId="0" borderId="0" xfId="0" applyNumberFormat="1"/>
    <xf numFmtId="176" fontId="0" fillId="0" borderId="0" xfId="0" applyNumberFormat="1"/>
    <xf numFmtId="1" fontId="2" fillId="2" borderId="1" xfId="3" applyNumberFormat="1"/>
    <xf numFmtId="0" fontId="15" fillId="0" borderId="0" xfId="0" applyFont="1" applyFill="1" applyBorder="1"/>
    <xf numFmtId="0" fontId="19" fillId="0" borderId="0" xfId="0" applyFont="1" applyBorder="1"/>
    <xf numFmtId="171" fontId="19" fillId="0" borderId="0" xfId="0" applyNumberFormat="1" applyFont="1" applyBorder="1"/>
    <xf numFmtId="8" fontId="19" fillId="0" borderId="0" xfId="0" applyNumberFormat="1" applyFont="1" applyBorder="1"/>
    <xf numFmtId="0" fontId="19" fillId="0" borderId="0" xfId="0" applyFont="1" applyFill="1" applyBorder="1"/>
    <xf numFmtId="171" fontId="19" fillId="0" borderId="0" xfId="0" applyNumberFormat="1" applyFont="1" applyFill="1" applyBorder="1"/>
    <xf numFmtId="164" fontId="2" fillId="2" borderId="1" xfId="1" applyNumberFormat="1" applyFont="1" applyFill="1" applyBorder="1"/>
    <xf numFmtId="167" fontId="2" fillId="2" borderId="1" xfId="4" applyNumberFormat="1" applyFont="1" applyFill="1" applyBorder="1"/>
    <xf numFmtId="10" fontId="0" fillId="0" borderId="0" xfId="2" applyNumberFormat="1" applyFont="1" applyAlignment="1">
      <alignment horizontal="center"/>
    </xf>
    <xf numFmtId="0" fontId="19" fillId="0" borderId="0" xfId="4" applyNumberFormat="1" applyFont="1" applyBorder="1" applyAlignment="1">
      <alignment horizontal="left"/>
    </xf>
    <xf numFmtId="167" fontId="19" fillId="0" borderId="0" xfId="4" applyNumberFormat="1" applyFont="1" applyBorder="1"/>
    <xf numFmtId="165" fontId="19" fillId="0" borderId="0" xfId="0" applyNumberFormat="1" applyFont="1" applyBorder="1"/>
    <xf numFmtId="167" fontId="0" fillId="0" borderId="18" xfId="4" applyNumberFormat="1" applyFont="1" applyBorder="1"/>
    <xf numFmtId="0" fontId="0" fillId="0" borderId="0" xfId="0" applyNumberFormat="1" applyAlignment="1">
      <alignment horizontal="left"/>
    </xf>
    <xf numFmtId="0" fontId="0" fillId="0" borderId="0" xfId="4" applyNumberFormat="1" applyFont="1" applyAlignment="1">
      <alignment horizontal="left"/>
    </xf>
    <xf numFmtId="0" fontId="23" fillId="0" borderId="0" xfId="0" applyFont="1" applyFill="1"/>
    <xf numFmtId="0" fontId="19" fillId="0" borderId="0" xfId="0" applyFont="1"/>
    <xf numFmtId="165" fontId="15" fillId="0" borderId="0" xfId="0" applyNumberFormat="1" applyFont="1"/>
    <xf numFmtId="3" fontId="0" fillId="0" borderId="0" xfId="0" applyNumberFormat="1" applyFill="1"/>
    <xf numFmtId="44" fontId="0" fillId="0" borderId="0" xfId="4" applyFont="1" applyFill="1"/>
    <xf numFmtId="6" fontId="0" fillId="0" borderId="0" xfId="0" applyNumberFormat="1"/>
    <xf numFmtId="6" fontId="0" fillId="0" borderId="5" xfId="0" applyNumberFormat="1" applyBorder="1"/>
    <xf numFmtId="8" fontId="0" fillId="0" borderId="0" xfId="0" applyNumberFormat="1" applyFill="1"/>
    <xf numFmtId="0" fontId="3" fillId="0" borderId="5" xfId="4" applyNumberFormat="1" applyFont="1" applyBorder="1"/>
    <xf numFmtId="0" fontId="14" fillId="0" borderId="5" xfId="4" applyNumberFormat="1" applyFont="1" applyBorder="1"/>
    <xf numFmtId="44" fontId="0" fillId="0" borderId="5" xfId="4" applyFont="1" applyBorder="1"/>
    <xf numFmtId="0" fontId="0" fillId="4" borderId="11" xfId="0" applyFill="1" applyBorder="1"/>
    <xf numFmtId="0" fontId="0" fillId="4" borderId="12" xfId="0" applyFill="1" applyBorder="1"/>
    <xf numFmtId="0" fontId="0" fillId="4" borderId="13" xfId="0" applyFill="1" applyBorder="1"/>
    <xf numFmtId="0" fontId="0" fillId="4" borderId="0" xfId="0" applyFill="1" applyBorder="1"/>
    <xf numFmtId="0" fontId="0" fillId="4" borderId="14" xfId="0" applyFill="1" applyBorder="1"/>
    <xf numFmtId="0" fontId="14" fillId="4" borderId="0" xfId="0" applyFont="1" applyFill="1" applyBorder="1"/>
    <xf numFmtId="44" fontId="0" fillId="4" borderId="0" xfId="0" applyNumberFormat="1" applyFill="1" applyBorder="1"/>
    <xf numFmtId="44" fontId="0" fillId="4" borderId="14" xfId="0" applyNumberFormat="1" applyFill="1" applyBorder="1"/>
    <xf numFmtId="43" fontId="0" fillId="4" borderId="0" xfId="1" applyFont="1" applyFill="1" applyBorder="1"/>
    <xf numFmtId="43" fontId="0" fillId="4" borderId="14" xfId="1" applyFont="1" applyFill="1" applyBorder="1"/>
    <xf numFmtId="0" fontId="3" fillId="4" borderId="0" xfId="4" applyNumberFormat="1" applyFont="1" applyFill="1" applyBorder="1"/>
    <xf numFmtId="0" fontId="14" fillId="4" borderId="0" xfId="4" applyNumberFormat="1" applyFont="1" applyFill="1" applyBorder="1"/>
    <xf numFmtId="44" fontId="0" fillId="4" borderId="0" xfId="4" applyFont="1" applyFill="1" applyBorder="1"/>
    <xf numFmtId="44" fontId="0" fillId="4" borderId="14" xfId="4" applyFont="1" applyFill="1" applyBorder="1"/>
    <xf numFmtId="0" fontId="3" fillId="4" borderId="0" xfId="0" applyFont="1" applyFill="1" applyBorder="1"/>
    <xf numFmtId="0" fontId="0" fillId="4" borderId="15" xfId="0" applyFill="1" applyBorder="1"/>
    <xf numFmtId="0" fontId="3" fillId="4" borderId="16" xfId="0" applyFont="1" applyFill="1" applyBorder="1"/>
    <xf numFmtId="0" fontId="0" fillId="4" borderId="16" xfId="0" applyFill="1" applyBorder="1"/>
    <xf numFmtId="44" fontId="0" fillId="4" borderId="16" xfId="4" applyFont="1" applyFill="1" applyBorder="1"/>
    <xf numFmtId="44" fontId="0" fillId="4" borderId="23" xfId="4" applyFont="1" applyFill="1" applyBorder="1"/>
    <xf numFmtId="0" fontId="3" fillId="4" borderId="10" xfId="0" applyFont="1" applyFill="1" applyBorder="1"/>
    <xf numFmtId="0" fontId="0" fillId="0" borderId="0" xfId="0" quotePrefix="1" applyFont="1"/>
    <xf numFmtId="43" fontId="0" fillId="4" borderId="0" xfId="1" applyNumberFormat="1" applyFont="1" applyFill="1" applyBorder="1"/>
    <xf numFmtId="0" fontId="0" fillId="0" borderId="0" xfId="0" applyFont="1" applyAlignment="1">
      <alignment horizontal="right"/>
    </xf>
    <xf numFmtId="0" fontId="0" fillId="0" borderId="13" xfId="0" applyBorder="1" applyAlignment="1">
      <alignment horizontal="right"/>
    </xf>
    <xf numFmtId="0" fontId="0" fillId="0" borderId="15" xfId="0" applyBorder="1" applyAlignment="1">
      <alignment horizontal="right"/>
    </xf>
    <xf numFmtId="9" fontId="2" fillId="2" borderId="24" xfId="3" applyNumberFormat="1" applyBorder="1"/>
    <xf numFmtId="0" fontId="3" fillId="0" borderId="25" xfId="0" applyFont="1" applyBorder="1"/>
    <xf numFmtId="0" fontId="0" fillId="0" borderId="26" xfId="0" applyBorder="1"/>
    <xf numFmtId="0" fontId="0" fillId="0" borderId="0" xfId="0" quotePrefix="1" applyFill="1"/>
    <xf numFmtId="0" fontId="0" fillId="0" borderId="0" xfId="0" quotePrefix="1" applyFill="1" applyBorder="1"/>
    <xf numFmtId="0" fontId="0" fillId="0" borderId="5" xfId="0" quotePrefix="1" applyFill="1" applyBorder="1"/>
    <xf numFmtId="9" fontId="2" fillId="2" borderId="27" xfId="3" applyNumberFormat="1" applyBorder="1"/>
    <xf numFmtId="10" fontId="0" fillId="0" borderId="0" xfId="0" applyNumberFormat="1" applyAlignment="1">
      <alignment horizontal="center"/>
    </xf>
    <xf numFmtId="9" fontId="0" fillId="0" borderId="0" xfId="0" applyNumberFormat="1" applyAlignment="1">
      <alignment horizontal="center"/>
    </xf>
    <xf numFmtId="9" fontId="0" fillId="0" borderId="0" xfId="2" applyFont="1" applyFill="1" applyAlignment="1">
      <alignment horizontal="center"/>
    </xf>
    <xf numFmtId="0" fontId="0" fillId="0" borderId="0" xfId="0" applyFill="1" applyAlignment="1">
      <alignment horizontal="center"/>
    </xf>
    <xf numFmtId="166" fontId="0" fillId="0" borderId="0" xfId="2" applyNumberFormat="1" applyFont="1" applyFill="1" applyAlignment="1">
      <alignment horizontal="center"/>
    </xf>
    <xf numFmtId="9" fontId="0" fillId="0" borderId="0" xfId="2" applyFont="1" applyAlignment="1">
      <alignment horizontal="center"/>
    </xf>
    <xf numFmtId="0" fontId="0" fillId="0" borderId="0" xfId="0" applyBorder="1" applyAlignment="1">
      <alignment horizontal="center"/>
    </xf>
    <xf numFmtId="167" fontId="15" fillId="0" borderId="0" xfId="4" applyNumberFormat="1" applyFont="1" applyAlignment="1">
      <alignment horizontal="center"/>
    </xf>
    <xf numFmtId="0" fontId="25" fillId="0" borderId="0" xfId="0" applyFont="1"/>
    <xf numFmtId="177" fontId="0" fillId="0" borderId="0" xfId="4" applyNumberFormat="1" applyFont="1" applyFill="1"/>
    <xf numFmtId="166" fontId="15" fillId="0" borderId="0" xfId="0" applyNumberFormat="1" applyFont="1" applyAlignment="1">
      <alignment horizontal="center"/>
    </xf>
    <xf numFmtId="0" fontId="0" fillId="3" borderId="10" xfId="0" applyFill="1" applyBorder="1"/>
    <xf numFmtId="0" fontId="0" fillId="3" borderId="12" xfId="0" applyFill="1" applyBorder="1"/>
    <xf numFmtId="0" fontId="0" fillId="3" borderId="13" xfId="0" applyFill="1" applyBorder="1"/>
    <xf numFmtId="0" fontId="0" fillId="3" borderId="14" xfId="0" applyFill="1" applyBorder="1"/>
    <xf numFmtId="0" fontId="0" fillId="3" borderId="15" xfId="0" applyFill="1" applyBorder="1"/>
    <xf numFmtId="0" fontId="0" fillId="3" borderId="23" xfId="0" applyFill="1" applyBorder="1"/>
    <xf numFmtId="9" fontId="0" fillId="3" borderId="0" xfId="2" applyFont="1" applyFill="1" applyBorder="1"/>
    <xf numFmtId="164" fontId="0" fillId="3" borderId="0" xfId="0" applyNumberFormat="1" applyFill="1" applyBorder="1"/>
    <xf numFmtId="9" fontId="0" fillId="0" borderId="0" xfId="0" applyNumberFormat="1" applyBorder="1"/>
    <xf numFmtId="43" fontId="0" fillId="0" borderId="0" xfId="1" applyNumberFormat="1" applyFont="1" applyBorder="1"/>
    <xf numFmtId="0" fontId="0" fillId="0" borderId="13" xfId="0" applyBorder="1"/>
    <xf numFmtId="169" fontId="0" fillId="0" borderId="14" xfId="0" applyNumberFormat="1" applyBorder="1"/>
    <xf numFmtId="0" fontId="0" fillId="0" borderId="15" xfId="0" applyBorder="1"/>
    <xf numFmtId="9" fontId="0" fillId="3" borderId="16" xfId="2" applyFont="1" applyFill="1" applyBorder="1"/>
    <xf numFmtId="164" fontId="0" fillId="3" borderId="16" xfId="0" applyNumberFormat="1" applyFill="1" applyBorder="1"/>
    <xf numFmtId="167" fontId="0" fillId="0" borderId="16" xfId="4" applyNumberFormat="1" applyFont="1" applyBorder="1"/>
    <xf numFmtId="9" fontId="0" fillId="0" borderId="16" xfId="0" applyNumberFormat="1" applyBorder="1"/>
    <xf numFmtId="0" fontId="0" fillId="0" borderId="16" xfId="0" applyBorder="1"/>
    <xf numFmtId="164" fontId="0" fillId="0" borderId="16" xfId="1" applyNumberFormat="1" applyFont="1" applyBorder="1"/>
    <xf numFmtId="169" fontId="0" fillId="0" borderId="23" xfId="0" applyNumberFormat="1" applyBorder="1"/>
    <xf numFmtId="2" fontId="0" fillId="0" borderId="0" xfId="0" applyNumberFormat="1" applyFill="1"/>
    <xf numFmtId="2" fontId="3" fillId="0" borderId="0" xfId="0" applyNumberFormat="1" applyFont="1"/>
    <xf numFmtId="44" fontId="3" fillId="0" borderId="0" xfId="4" applyFont="1"/>
    <xf numFmtId="0" fontId="26" fillId="7" borderId="17" xfId="0" applyFont="1" applyFill="1" applyBorder="1" applyAlignment="1">
      <alignment horizontal="center" vertical="center" wrapText="1"/>
    </xf>
    <xf numFmtId="0" fontId="26" fillId="8" borderId="17" xfId="0" applyFont="1" applyFill="1" applyBorder="1" applyAlignment="1">
      <alignment horizontal="center" vertical="center" wrapText="1"/>
    </xf>
    <xf numFmtId="164" fontId="26" fillId="9" borderId="17" xfId="1" applyNumberFormat="1" applyFont="1" applyFill="1" applyBorder="1" applyAlignment="1">
      <alignment horizontal="center" vertical="center" wrapText="1"/>
    </xf>
    <xf numFmtId="0" fontId="13" fillId="0" borderId="0" xfId="0" applyFont="1" applyAlignment="1">
      <alignment horizontal="center" vertic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0" xfId="0" applyFont="1" applyAlignment="1">
      <alignment horizontal="center" wrapText="1"/>
    </xf>
    <xf numFmtId="0" fontId="19" fillId="0" borderId="5" xfId="0" applyFont="1" applyBorder="1"/>
    <xf numFmtId="167" fontId="19" fillId="0" borderId="5" xfId="4" applyNumberFormat="1" applyFont="1" applyBorder="1"/>
    <xf numFmtId="164" fontId="19" fillId="0" borderId="0" xfId="1" applyNumberFormat="1" applyFont="1" applyBorder="1"/>
    <xf numFmtId="164" fontId="19" fillId="0" borderId="18" xfId="1" applyNumberFormat="1" applyFont="1" applyBorder="1"/>
    <xf numFmtId="164" fontId="19" fillId="0" borderId="0" xfId="1" applyNumberFormat="1" applyFont="1"/>
    <xf numFmtId="43" fontId="0" fillId="0" borderId="0" xfId="0" applyNumberFormat="1" applyFill="1" applyBorder="1"/>
    <xf numFmtId="0" fontId="0" fillId="0" borderId="0" xfId="0" applyFill="1" applyBorder="1"/>
    <xf numFmtId="0" fontId="0" fillId="0" borderId="16" xfId="0" applyFill="1" applyBorder="1"/>
    <xf numFmtId="164" fontId="0" fillId="0" borderId="16" xfId="1" applyNumberFormat="1" applyFont="1" applyFill="1" applyBorder="1"/>
    <xf numFmtId="0" fontId="17" fillId="0" borderId="0" xfId="0" applyFont="1"/>
    <xf numFmtId="0" fontId="17" fillId="0" borderId="0" xfId="4" applyNumberFormat="1" applyFont="1"/>
    <xf numFmtId="0" fontId="27" fillId="0" borderId="0" xfId="4" applyNumberFormat="1" applyFont="1"/>
    <xf numFmtId="44" fontId="15" fillId="0" borderId="0" xfId="4" applyFont="1" applyFill="1" applyBorder="1"/>
    <xf numFmtId="44" fontId="15" fillId="0" borderId="0" xfId="0" applyNumberFormat="1" applyFont="1"/>
    <xf numFmtId="10" fontId="15" fillId="0" borderId="0" xfId="2" applyNumberFormat="1" applyFont="1"/>
    <xf numFmtId="0" fontId="0" fillId="10" borderId="0" xfId="0" applyFill="1"/>
    <xf numFmtId="0" fontId="0" fillId="10" borderId="2" xfId="0" applyFill="1" applyBorder="1"/>
    <xf numFmtId="0" fontId="0" fillId="10" borderId="3" xfId="0" applyFill="1" applyBorder="1"/>
    <xf numFmtId="0" fontId="0" fillId="10" borderId="4" xfId="0" applyFill="1" applyBorder="1"/>
    <xf numFmtId="0" fontId="3" fillId="10" borderId="0" xfId="0" applyFont="1" applyFill="1"/>
    <xf numFmtId="9" fontId="3" fillId="10" borderId="0" xfId="0" applyNumberFormat="1" applyFont="1" applyFill="1"/>
    <xf numFmtId="10" fontId="0" fillId="10" borderId="4" xfId="0" applyNumberFormat="1" applyFill="1" applyBorder="1"/>
    <xf numFmtId="44" fontId="15" fillId="0" borderId="0" xfId="4" applyNumberFormat="1" applyFont="1" applyFill="1" applyBorder="1"/>
    <xf numFmtId="44" fontId="15" fillId="0" borderId="0" xfId="4" applyNumberFormat="1" applyFont="1"/>
    <xf numFmtId="2" fontId="15" fillId="0" borderId="0" xfId="0" applyNumberFormat="1" applyFont="1"/>
    <xf numFmtId="164" fontId="19" fillId="0" borderId="5" xfId="1" applyNumberFormat="1" applyFont="1" applyBorder="1"/>
    <xf numFmtId="0" fontId="28" fillId="0" borderId="0" xfId="0" applyFont="1" applyAlignment="1">
      <alignment vertical="center"/>
    </xf>
    <xf numFmtId="1" fontId="0" fillId="4" borderId="0" xfId="0" applyNumberFormat="1" applyFill="1" applyBorder="1"/>
    <xf numFmtId="164" fontId="0" fillId="4" borderId="14" xfId="1" applyNumberFormat="1" applyFont="1" applyFill="1" applyBorder="1"/>
    <xf numFmtId="1" fontId="0" fillId="4" borderId="0" xfId="1" applyNumberFormat="1" applyFont="1" applyFill="1" applyBorder="1"/>
    <xf numFmtId="164" fontId="0" fillId="4" borderId="16" xfId="1" applyNumberFormat="1" applyFont="1" applyFill="1" applyBorder="1"/>
    <xf numFmtId="0" fontId="3" fillId="4" borderId="11" xfId="0" applyFont="1" applyFill="1" applyBorder="1"/>
    <xf numFmtId="0" fontId="3" fillId="4" borderId="12" xfId="0" applyFont="1" applyFill="1" applyBorder="1"/>
    <xf numFmtId="2" fontId="3" fillId="4" borderId="13" xfId="0" applyNumberFormat="1" applyFont="1" applyFill="1" applyBorder="1"/>
    <xf numFmtId="0" fontId="3" fillId="4" borderId="13" xfId="0" applyFont="1" applyFill="1" applyBorder="1"/>
    <xf numFmtId="0" fontId="29" fillId="0" borderId="0" xfId="0" applyFont="1"/>
    <xf numFmtId="0" fontId="19" fillId="0" borderId="18" xfId="0" applyFont="1" applyBorder="1"/>
    <xf numFmtId="167" fontId="19" fillId="0" borderId="18" xfId="4" applyNumberFormat="1" applyFont="1" applyBorder="1"/>
    <xf numFmtId="166" fontId="0" fillId="0" borderId="14" xfId="2" applyNumberFormat="1" applyFont="1" applyBorder="1"/>
    <xf numFmtId="166" fontId="0" fillId="0" borderId="23" xfId="2" applyNumberFormat="1" applyFont="1" applyBorder="1"/>
    <xf numFmtId="166" fontId="3" fillId="0" borderId="26" xfId="2" applyNumberFormat="1" applyFont="1" applyBorder="1"/>
    <xf numFmtId="0" fontId="0" fillId="0" borderId="28" xfId="0" applyBorder="1"/>
    <xf numFmtId="166" fontId="0" fillId="0" borderId="29" xfId="2" applyNumberFormat="1" applyFont="1" applyBorder="1"/>
    <xf numFmtId="0" fontId="30" fillId="0" borderId="0" xfId="0" quotePrefix="1" applyFont="1"/>
    <xf numFmtId="3" fontId="0" fillId="0" borderId="0" xfId="0" applyNumberFormat="1" applyFont="1" applyAlignment="1">
      <alignment horizontal="center"/>
    </xf>
    <xf numFmtId="164" fontId="29" fillId="0" borderId="0" xfId="1" applyNumberFormat="1" applyFont="1"/>
    <xf numFmtId="164" fontId="8" fillId="0" borderId="0" xfId="1" applyNumberFormat="1" applyFont="1" applyFill="1" applyBorder="1"/>
    <xf numFmtId="164" fontId="0" fillId="0" borderId="0" xfId="0" applyNumberFormat="1" applyFill="1" applyBorder="1"/>
    <xf numFmtId="164" fontId="0" fillId="11" borderId="12" xfId="1" applyNumberFormat="1" applyFont="1" applyFill="1" applyBorder="1"/>
    <xf numFmtId="0" fontId="0" fillId="11" borderId="13" xfId="0" applyFill="1" applyBorder="1"/>
    <xf numFmtId="164" fontId="8" fillId="11" borderId="14" xfId="1" applyNumberFormat="1" applyFont="1" applyFill="1" applyBorder="1"/>
    <xf numFmtId="164" fontId="0" fillId="11" borderId="14" xfId="1" applyNumberFormat="1" applyFont="1" applyFill="1" applyBorder="1"/>
    <xf numFmtId="0" fontId="13" fillId="11" borderId="15" xfId="0" applyFont="1" applyFill="1" applyBorder="1" applyAlignment="1">
      <alignment horizontal="right"/>
    </xf>
    <xf numFmtId="164" fontId="13" fillId="11" borderId="23" xfId="0" applyNumberFormat="1" applyFont="1" applyFill="1" applyBorder="1"/>
    <xf numFmtId="0" fontId="3" fillId="11" borderId="10" xfId="0" applyFont="1" applyFill="1" applyBorder="1"/>
    <xf numFmtId="0" fontId="0" fillId="11" borderId="28" xfId="0" applyFill="1" applyBorder="1"/>
    <xf numFmtId="164" fontId="0" fillId="11" borderId="29" xfId="1" applyNumberFormat="1" applyFont="1" applyFill="1" applyBorder="1"/>
    <xf numFmtId="164" fontId="0" fillId="4" borderId="0" xfId="1" applyNumberFormat="1" applyFont="1" applyFill="1" applyBorder="1"/>
    <xf numFmtId="10" fontId="0" fillId="4" borderId="0" xfId="2" applyNumberFormat="1" applyFont="1" applyFill="1" applyBorder="1"/>
    <xf numFmtId="164" fontId="0" fillId="4" borderId="16" xfId="0" applyNumberFormat="1" applyFill="1" applyBorder="1"/>
    <xf numFmtId="9" fontId="0" fillId="0" borderId="5" xfId="2" applyFont="1" applyBorder="1" applyAlignment="1">
      <alignment horizontal="center"/>
    </xf>
    <xf numFmtId="0" fontId="0" fillId="0" borderId="13" xfId="0" quotePrefix="1" applyBorder="1" applyAlignment="1">
      <alignment horizontal="right"/>
    </xf>
    <xf numFmtId="0" fontId="0" fillId="0" borderId="14" xfId="0" applyBorder="1"/>
    <xf numFmtId="14" fontId="0" fillId="0" borderId="13" xfId="0" applyNumberFormat="1" applyBorder="1"/>
    <xf numFmtId="14" fontId="0" fillId="0" borderId="15" xfId="0" applyNumberFormat="1" applyBorder="1"/>
    <xf numFmtId="0" fontId="0" fillId="0" borderId="23" xfId="0" applyBorder="1"/>
    <xf numFmtId="0" fontId="0" fillId="0" borderId="4" xfId="0" applyBorder="1" applyAlignment="1">
      <alignment vertical="center" wrapText="1"/>
    </xf>
    <xf numFmtId="0" fontId="0" fillId="0" borderId="19" xfId="0" quotePrefix="1" applyBorder="1" applyAlignment="1">
      <alignment horizontal="right"/>
    </xf>
    <xf numFmtId="14" fontId="0" fillId="0" borderId="19" xfId="0" applyNumberFormat="1" applyBorder="1"/>
    <xf numFmtId="14" fontId="0" fillId="0" borderId="19" xfId="0" quotePrefix="1" applyNumberFormat="1" applyBorder="1" applyAlignment="1">
      <alignment horizontal="right"/>
    </xf>
    <xf numFmtId="0" fontId="0" fillId="0" borderId="31" xfId="0" quotePrefix="1" applyBorder="1" applyAlignment="1">
      <alignment horizontal="right"/>
    </xf>
    <xf numFmtId="0" fontId="0" fillId="0" borderId="14" xfId="0" applyBorder="1" applyAlignment="1">
      <alignment horizontal="center"/>
    </xf>
    <xf numFmtId="0" fontId="19" fillId="0" borderId="0" xfId="0" applyFont="1" applyFill="1"/>
    <xf numFmtId="3" fontId="19" fillId="0" borderId="0" xfId="0" applyNumberFormat="1" applyFont="1" applyFill="1" applyBorder="1" applyAlignment="1">
      <alignment horizontal="right"/>
    </xf>
    <xf numFmtId="0" fontId="19" fillId="0" borderId="0" xfId="0" quotePrefix="1" applyFont="1" applyFill="1" applyBorder="1"/>
    <xf numFmtId="164" fontId="19" fillId="0" borderId="0" xfId="1" applyNumberFormat="1" applyFont="1" applyFill="1" applyBorder="1" applyAlignment="1">
      <alignment horizontal="right"/>
    </xf>
    <xf numFmtId="164" fontId="19" fillId="0" borderId="0" xfId="0" applyNumberFormat="1" applyFont="1"/>
    <xf numFmtId="44" fontId="19" fillId="0" borderId="0" xfId="4" applyFont="1"/>
    <xf numFmtId="44" fontId="19" fillId="0" borderId="0" xfId="4" applyNumberFormat="1" applyFont="1"/>
    <xf numFmtId="167" fontId="19" fillId="0" borderId="0" xfId="4" applyNumberFormat="1" applyFont="1"/>
    <xf numFmtId="0" fontId="19" fillId="0" borderId="5" xfId="0" quotePrefix="1" applyFont="1" applyFill="1" applyBorder="1"/>
    <xf numFmtId="0" fontId="32" fillId="0" borderId="0" xfId="0" applyFont="1" applyFill="1" applyBorder="1"/>
    <xf numFmtId="0" fontId="32" fillId="0" borderId="0" xfId="0" applyFont="1"/>
    <xf numFmtId="167" fontId="32" fillId="0" borderId="0" xfId="0" applyNumberFormat="1" applyFont="1"/>
    <xf numFmtId="9" fontId="32" fillId="0" borderId="2" xfId="0" applyNumberFormat="1" applyFont="1" applyBorder="1" applyAlignment="1">
      <alignment horizontal="right"/>
    </xf>
    <xf numFmtId="167" fontId="32" fillId="0" borderId="4" xfId="4" applyNumberFormat="1" applyFont="1" applyBorder="1"/>
    <xf numFmtId="0" fontId="0" fillId="4" borderId="10" xfId="0" quotePrefix="1" applyFont="1" applyFill="1" applyBorder="1"/>
    <xf numFmtId="0" fontId="0" fillId="4" borderId="11" xfId="0" applyFont="1" applyFill="1" applyBorder="1" applyAlignment="1">
      <alignment horizontal="center"/>
    </xf>
    <xf numFmtId="6" fontId="0" fillId="4" borderId="32" xfId="0" applyNumberFormat="1" applyFont="1" applyFill="1" applyBorder="1"/>
    <xf numFmtId="10" fontId="0" fillId="4" borderId="19" xfId="2" applyNumberFormat="1" applyFont="1" applyFill="1" applyBorder="1"/>
    <xf numFmtId="164" fontId="0" fillId="4" borderId="19" xfId="0" applyNumberFormat="1" applyFill="1" applyBorder="1"/>
    <xf numFmtId="166" fontId="0" fillId="4" borderId="19" xfId="2" applyNumberFormat="1" applyFont="1" applyFill="1" applyBorder="1"/>
    <xf numFmtId="164" fontId="0" fillId="4" borderId="31" xfId="0" applyNumberFormat="1" applyFill="1" applyBorder="1"/>
    <xf numFmtId="0" fontId="33" fillId="0" borderId="0" xfId="0" applyFont="1" applyFill="1" applyBorder="1" applyAlignment="1">
      <alignment horizontal="center"/>
    </xf>
    <xf numFmtId="167" fontId="10" fillId="4" borderId="11" xfId="0" applyNumberFormat="1" applyFont="1" applyFill="1" applyBorder="1" applyAlignment="1">
      <alignment horizontal="center"/>
    </xf>
    <xf numFmtId="167" fontId="10" fillId="4" borderId="12" xfId="0" applyNumberFormat="1" applyFont="1" applyFill="1" applyBorder="1" applyAlignment="1">
      <alignment horizontal="center"/>
    </xf>
    <xf numFmtId="10" fontId="10" fillId="4" borderId="0" xfId="2" applyNumberFormat="1" applyFont="1" applyFill="1" applyBorder="1"/>
    <xf numFmtId="10" fontId="10" fillId="4" borderId="14" xfId="2" applyNumberFormat="1" applyFont="1" applyFill="1" applyBorder="1"/>
    <xf numFmtId="164" fontId="10" fillId="4" borderId="0" xfId="1" applyNumberFormat="1" applyFont="1" applyFill="1" applyBorder="1"/>
    <xf numFmtId="164" fontId="10" fillId="4" borderId="14" xfId="1" applyNumberFormat="1" applyFont="1" applyFill="1" applyBorder="1"/>
    <xf numFmtId="164" fontId="10" fillId="4" borderId="16" xfId="0" applyNumberFormat="1" applyFont="1" applyFill="1" applyBorder="1"/>
    <xf numFmtId="164" fontId="10" fillId="4" borderId="23" xfId="0" applyNumberFormat="1" applyFont="1" applyFill="1" applyBorder="1"/>
    <xf numFmtId="0" fontId="34" fillId="0" borderId="0" xfId="0" applyFont="1" applyAlignment="1">
      <alignment horizontal="center" wrapText="1"/>
    </xf>
    <xf numFmtId="0" fontId="34" fillId="0" borderId="0" xfId="0" applyFont="1" applyAlignment="1">
      <alignment horizontal="center"/>
    </xf>
    <xf numFmtId="0" fontId="34" fillId="0" borderId="0" xfId="0" applyFont="1" applyFill="1" applyAlignment="1">
      <alignment horizontal="center"/>
    </xf>
    <xf numFmtId="0" fontId="34" fillId="0" borderId="0" xfId="0" applyFont="1" applyBorder="1" applyAlignment="1">
      <alignment horizontal="center"/>
    </xf>
    <xf numFmtId="166" fontId="0" fillId="0" borderId="0" xfId="2" applyNumberFormat="1" applyFont="1"/>
    <xf numFmtId="43" fontId="0" fillId="0" borderId="0" xfId="1" applyNumberFormat="1" applyFont="1"/>
    <xf numFmtId="43" fontId="0" fillId="0" borderId="0" xfId="0" applyNumberFormat="1"/>
    <xf numFmtId="2" fontId="0" fillId="4" borderId="0" xfId="0" applyNumberFormat="1" applyFill="1" applyBorder="1"/>
    <xf numFmtId="164" fontId="0" fillId="4" borderId="23" xfId="1" applyNumberFormat="1" applyFont="1" applyFill="1" applyBorder="1"/>
    <xf numFmtId="0" fontId="0" fillId="13" borderId="0" xfId="0" applyFill="1" applyBorder="1"/>
    <xf numFmtId="164" fontId="0" fillId="13" borderId="0" xfId="1" applyNumberFormat="1" applyFont="1" applyFill="1" applyBorder="1"/>
    <xf numFmtId="164" fontId="0" fillId="13" borderId="14" xfId="1" applyNumberFormat="1" applyFont="1" applyFill="1" applyBorder="1"/>
    <xf numFmtId="0" fontId="0" fillId="13" borderId="13" xfId="0" applyFill="1" applyBorder="1"/>
    <xf numFmtId="0" fontId="3" fillId="0" borderId="0" xfId="0" applyFont="1" applyFill="1"/>
    <xf numFmtId="164" fontId="0" fillId="0" borderId="0" xfId="0" applyNumberFormat="1" applyFont="1" applyBorder="1"/>
    <xf numFmtId="164" fontId="15" fillId="0" borderId="5" xfId="0" applyNumberFormat="1" applyFont="1" applyBorder="1"/>
    <xf numFmtId="0" fontId="3" fillId="0" borderId="33" xfId="0" applyFont="1" applyBorder="1" applyAlignment="1"/>
    <xf numFmtId="0" fontId="0" fillId="0" borderId="18" xfId="0" applyFont="1" applyBorder="1" applyAlignment="1">
      <alignment wrapText="1"/>
    </xf>
    <xf numFmtId="0" fontId="0" fillId="0" borderId="8" xfId="0" applyFont="1" applyBorder="1"/>
    <xf numFmtId="0" fontId="0" fillId="0" borderId="0" xfId="0" applyFont="1" applyBorder="1" applyAlignment="1">
      <alignment wrapText="1"/>
    </xf>
    <xf numFmtId="164" fontId="0" fillId="0" borderId="19" xfId="0" applyNumberFormat="1" applyFont="1" applyBorder="1"/>
    <xf numFmtId="0" fontId="0" fillId="6" borderId="8" xfId="0" applyFont="1" applyFill="1" applyBorder="1"/>
    <xf numFmtId="0" fontId="0" fillId="0" borderId="9" xfId="0" applyFont="1" applyBorder="1"/>
    <xf numFmtId="164" fontId="15" fillId="0" borderId="20" xfId="0" applyNumberFormat="1" applyFont="1" applyBorder="1"/>
    <xf numFmtId="0" fontId="3" fillId="0" borderId="9" xfId="0" applyFont="1" applyBorder="1"/>
    <xf numFmtId="0" fontId="3" fillId="0" borderId="5" xfId="0" applyFont="1" applyBorder="1"/>
    <xf numFmtId="43" fontId="3" fillId="0" borderId="5" xfId="0" applyNumberFormat="1" applyFont="1" applyBorder="1"/>
    <xf numFmtId="43" fontId="3" fillId="0" borderId="20" xfId="0" applyNumberFormat="1" applyFont="1" applyBorder="1"/>
    <xf numFmtId="0" fontId="7" fillId="0" borderId="18" xfId="0" applyFont="1" applyFill="1" applyBorder="1" applyAlignment="1">
      <alignment horizontal="center"/>
    </xf>
    <xf numFmtId="0" fontId="7" fillId="0" borderId="34" xfId="0" applyFont="1" applyFill="1" applyBorder="1" applyAlignment="1">
      <alignment horizontal="center"/>
    </xf>
    <xf numFmtId="173" fontId="0" fillId="0" borderId="0" xfId="0" applyNumberFormat="1"/>
    <xf numFmtId="168" fontId="0" fillId="0" borderId="0" xfId="4" applyNumberFormat="1" applyFont="1" applyAlignment="1">
      <alignment horizontal="center"/>
    </xf>
    <xf numFmtId="167" fontId="0" fillId="0" borderId="0" xfId="4" applyNumberFormat="1" applyFont="1" applyAlignment="1">
      <alignment horizontal="center"/>
    </xf>
    <xf numFmtId="0" fontId="3" fillId="0" borderId="11" xfId="0" applyFont="1" applyFill="1" applyBorder="1" applyAlignment="1">
      <alignment horizontal="center" wrapText="1"/>
    </xf>
    <xf numFmtId="167" fontId="0" fillId="0" borderId="0" xfId="4" applyNumberFormat="1" applyFont="1" applyFill="1" applyBorder="1"/>
    <xf numFmtId="167" fontId="0" fillId="0" borderId="16" xfId="4" applyNumberFormat="1" applyFont="1" applyFill="1" applyBorder="1"/>
    <xf numFmtId="170" fontId="0" fillId="0" borderId="0" xfId="1" applyNumberFormat="1" applyFont="1" applyFill="1" applyBorder="1"/>
    <xf numFmtId="0" fontId="0" fillId="11" borderId="12" xfId="0" applyFill="1" applyBorder="1"/>
    <xf numFmtId="0" fontId="0" fillId="11" borderId="13" xfId="0" applyFill="1" applyBorder="1" applyAlignment="1">
      <alignment horizontal="right" wrapText="1"/>
    </xf>
    <xf numFmtId="0" fontId="0" fillId="11" borderId="14" xfId="0" applyFill="1" applyBorder="1"/>
    <xf numFmtId="0" fontId="0" fillId="11" borderId="13" xfId="0" applyFill="1" applyBorder="1" applyAlignment="1">
      <alignment wrapText="1"/>
    </xf>
    <xf numFmtId="0" fontId="0" fillId="11" borderId="15" xfId="0" applyFill="1" applyBorder="1" applyAlignment="1">
      <alignment horizontal="right" wrapText="1"/>
    </xf>
    <xf numFmtId="0" fontId="0" fillId="11" borderId="23" xfId="0" applyFill="1" applyBorder="1"/>
    <xf numFmtId="0" fontId="7" fillId="11" borderId="10" xfId="0" applyFont="1" applyFill="1" applyBorder="1" applyAlignment="1">
      <alignment horizontal="right" wrapText="1"/>
    </xf>
    <xf numFmtId="2" fontId="0" fillId="13" borderId="0" xfId="0" applyNumberFormat="1" applyFill="1" applyBorder="1"/>
    <xf numFmtId="164" fontId="1" fillId="0" borderId="0" xfId="1" applyNumberFormat="1" applyFont="1" applyFill="1" applyBorder="1"/>
    <xf numFmtId="171" fontId="0" fillId="0" borderId="14" xfId="4" applyNumberFormat="1" applyFont="1" applyFill="1" applyBorder="1" applyAlignment="1">
      <alignment horizontal="center"/>
    </xf>
    <xf numFmtId="0" fontId="0" fillId="14" borderId="25" xfId="0" applyFill="1" applyBorder="1" applyAlignment="1">
      <alignment wrapText="1"/>
    </xf>
    <xf numFmtId="0" fontId="3" fillId="14" borderId="26" xfId="0" applyNumberFormat="1" applyFont="1" applyFill="1" applyBorder="1" applyAlignment="1">
      <alignment horizontal="center" wrapText="1"/>
    </xf>
    <xf numFmtId="0" fontId="0" fillId="14" borderId="13" xfId="0" applyFill="1" applyBorder="1"/>
    <xf numFmtId="0" fontId="0" fillId="14" borderId="14" xfId="0" applyFill="1" applyBorder="1" applyAlignment="1">
      <alignment horizontal="center"/>
    </xf>
    <xf numFmtId="0" fontId="0" fillId="14" borderId="13" xfId="0" applyFill="1" applyBorder="1" applyAlignment="1">
      <alignment horizontal="left" indent="2"/>
    </xf>
    <xf numFmtId="171" fontId="0" fillId="14" borderId="14" xfId="4" applyNumberFormat="1" applyFont="1" applyFill="1" applyBorder="1" applyAlignment="1">
      <alignment horizontal="center"/>
    </xf>
    <xf numFmtId="0" fontId="0" fillId="14" borderId="28" xfId="0" applyFill="1" applyBorder="1" applyAlignment="1">
      <alignment horizontal="left" indent="2"/>
    </xf>
    <xf numFmtId="171" fontId="0" fillId="14" borderId="29" xfId="4" applyNumberFormat="1" applyFont="1" applyFill="1" applyBorder="1" applyAlignment="1">
      <alignment horizontal="center"/>
    </xf>
    <xf numFmtId="0" fontId="3" fillId="14" borderId="13" xfId="0" quotePrefix="1" applyFont="1" applyFill="1" applyBorder="1"/>
    <xf numFmtId="171" fontId="3" fillId="14" borderId="14" xfId="0" applyNumberFormat="1" applyFont="1" applyFill="1" applyBorder="1" applyAlignment="1">
      <alignment horizontal="center"/>
    </xf>
    <xf numFmtId="0" fontId="0" fillId="14" borderId="15" xfId="0" applyFill="1" applyBorder="1"/>
    <xf numFmtId="10" fontId="0" fillId="14" borderId="23" xfId="2" applyNumberFormat="1" applyFont="1" applyFill="1" applyBorder="1" applyAlignment="1">
      <alignment horizontal="center"/>
    </xf>
    <xf numFmtId="0" fontId="3" fillId="14" borderId="35" xfId="0" applyNumberFormat="1" applyFont="1" applyFill="1" applyBorder="1" applyAlignment="1">
      <alignment horizontal="center" wrapText="1"/>
    </xf>
    <xf numFmtId="6" fontId="0" fillId="14" borderId="36" xfId="0" applyNumberFormat="1" applyFill="1" applyBorder="1" applyAlignment="1">
      <alignment horizontal="center"/>
    </xf>
    <xf numFmtId="10" fontId="0" fillId="14" borderId="36" xfId="0" applyNumberFormat="1" applyFill="1" applyBorder="1" applyAlignment="1">
      <alignment horizontal="center"/>
    </xf>
    <xf numFmtId="9" fontId="0" fillId="14" borderId="36" xfId="2" applyFont="1" applyFill="1" applyBorder="1" applyAlignment="1">
      <alignment horizontal="center"/>
    </xf>
    <xf numFmtId="0" fontId="0" fillId="14" borderId="36" xfId="0" applyFill="1" applyBorder="1" applyAlignment="1">
      <alignment horizontal="center"/>
    </xf>
    <xf numFmtId="171" fontId="0" fillId="14" borderId="36" xfId="4" applyNumberFormat="1" applyFont="1" applyFill="1" applyBorder="1" applyAlignment="1">
      <alignment horizontal="center"/>
    </xf>
    <xf numFmtId="171" fontId="0" fillId="14" borderId="37" xfId="4" applyNumberFormat="1" applyFont="1" applyFill="1" applyBorder="1" applyAlignment="1">
      <alignment horizontal="center"/>
    </xf>
    <xf numFmtId="171" fontId="3" fillId="14" borderId="36" xfId="0" applyNumberFormat="1" applyFont="1" applyFill="1" applyBorder="1" applyAlignment="1">
      <alignment horizontal="center"/>
    </xf>
    <xf numFmtId="10" fontId="0" fillId="14" borderId="38" xfId="2" applyNumberFormat="1" applyFont="1" applyFill="1" applyBorder="1" applyAlignment="1">
      <alignment horizontal="center"/>
    </xf>
    <xf numFmtId="6" fontId="0" fillId="14" borderId="39" xfId="0" applyNumberFormat="1" applyFill="1" applyBorder="1" applyAlignment="1">
      <alignment horizontal="center"/>
    </xf>
    <xf numFmtId="10" fontId="0" fillId="14" borderId="39" xfId="0" applyNumberFormat="1" applyFill="1" applyBorder="1" applyAlignment="1">
      <alignment horizontal="center"/>
    </xf>
    <xf numFmtId="9" fontId="0" fillId="14" borderId="39" xfId="2" applyFont="1" applyFill="1" applyBorder="1" applyAlignment="1">
      <alignment horizontal="center"/>
    </xf>
    <xf numFmtId="0" fontId="0" fillId="14" borderId="39" xfId="0" applyFill="1" applyBorder="1" applyAlignment="1">
      <alignment horizontal="center"/>
    </xf>
    <xf numFmtId="171" fontId="0" fillId="14" borderId="39" xfId="4" applyNumberFormat="1" applyFont="1" applyFill="1" applyBorder="1" applyAlignment="1">
      <alignment horizontal="center"/>
    </xf>
    <xf numFmtId="171" fontId="0" fillId="14" borderId="40" xfId="4" applyNumberFormat="1" applyFont="1" applyFill="1" applyBorder="1" applyAlignment="1">
      <alignment horizontal="center"/>
    </xf>
    <xf numFmtId="171" fontId="3" fillId="14" borderId="39" xfId="0" applyNumberFormat="1" applyFont="1" applyFill="1" applyBorder="1" applyAlignment="1">
      <alignment horizontal="center"/>
    </xf>
    <xf numFmtId="10" fontId="0" fillId="14" borderId="41" xfId="2" applyNumberFormat="1" applyFont="1" applyFill="1" applyBorder="1" applyAlignment="1">
      <alignment horizontal="center"/>
    </xf>
    <xf numFmtId="178" fontId="0" fillId="0" borderId="0" xfId="0" applyNumberFormat="1"/>
    <xf numFmtId="9" fontId="0" fillId="3" borderId="0" xfId="2" applyFont="1" applyFill="1" applyAlignment="1">
      <alignment horizontal="center"/>
    </xf>
    <xf numFmtId="0" fontId="0" fillId="3" borderId="0" xfId="0" applyFill="1" applyAlignment="1">
      <alignment horizontal="center"/>
    </xf>
    <xf numFmtId="43" fontId="10" fillId="4" borderId="16" xfId="0" applyNumberFormat="1" applyFont="1" applyFill="1" applyBorder="1"/>
    <xf numFmtId="166" fontId="19" fillId="0" borderId="0" xfId="2" applyNumberFormat="1" applyFont="1"/>
    <xf numFmtId="0" fontId="0" fillId="4" borderId="0" xfId="0" applyFill="1"/>
    <xf numFmtId="171" fontId="3" fillId="0" borderId="0" xfId="0" applyNumberFormat="1" applyFont="1" applyFill="1" applyBorder="1" applyAlignment="1">
      <alignment horizontal="center"/>
    </xf>
    <xf numFmtId="0" fontId="3" fillId="0" borderId="42" xfId="0" applyFont="1" applyBorder="1" applyAlignment="1">
      <alignment horizontal="center" wrapText="1"/>
    </xf>
    <xf numFmtId="164" fontId="19" fillId="0" borderId="16" xfId="1" applyNumberFormat="1" applyFont="1" applyBorder="1"/>
    <xf numFmtId="171" fontId="0" fillId="0" borderId="13" xfId="4" applyNumberFormat="1" applyFont="1" applyFill="1" applyBorder="1" applyAlignment="1">
      <alignment horizontal="center"/>
    </xf>
    <xf numFmtId="171" fontId="0" fillId="0" borderId="15" xfId="4" applyNumberFormat="1" applyFont="1" applyFill="1" applyBorder="1" applyAlignment="1">
      <alignment horizontal="center"/>
    </xf>
    <xf numFmtId="171" fontId="0" fillId="0" borderId="23" xfId="4" applyNumberFormat="1" applyFont="1" applyFill="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6" fontId="0" fillId="4" borderId="12" xfId="0" applyNumberFormat="1" applyFont="1" applyFill="1" applyBorder="1"/>
    <xf numFmtId="10" fontId="0" fillId="4" borderId="14" xfId="2" applyNumberFormat="1" applyFont="1" applyFill="1" applyBorder="1"/>
    <xf numFmtId="164" fontId="0" fillId="4" borderId="14" xfId="0" applyNumberFormat="1" applyFill="1" applyBorder="1"/>
    <xf numFmtId="166" fontId="0" fillId="4" borderId="14" xfId="2" applyNumberFormat="1" applyFont="1" applyFill="1" applyBorder="1"/>
    <xf numFmtId="164" fontId="0" fillId="4" borderId="23" xfId="0" applyNumberFormat="1" applyFill="1" applyBorder="1"/>
    <xf numFmtId="0" fontId="23" fillId="0" borderId="0" xfId="0" applyFont="1" applyBorder="1"/>
    <xf numFmtId="167" fontId="23" fillId="0" borderId="0" xfId="0" applyNumberFormat="1" applyFont="1" applyBorder="1"/>
    <xf numFmtId="44" fontId="23" fillId="0" borderId="0" xfId="4" applyNumberFormat="1" applyFont="1" applyBorder="1" applyAlignment="1"/>
    <xf numFmtId="0" fontId="3" fillId="0" borderId="0" xfId="0" applyFont="1" applyAlignment="1">
      <alignment horizontal="left" wrapText="1"/>
    </xf>
    <xf numFmtId="0" fontId="0" fillId="0" borderId="0" xfId="0" applyAlignment="1">
      <alignment horizontal="left"/>
    </xf>
    <xf numFmtId="10" fontId="0" fillId="0" borderId="0" xfId="0" applyNumberFormat="1" applyAlignment="1">
      <alignment horizontal="left"/>
    </xf>
    <xf numFmtId="9" fontId="0" fillId="0" borderId="0" xfId="0" applyNumberFormat="1" applyAlignment="1">
      <alignment horizontal="left"/>
    </xf>
    <xf numFmtId="9" fontId="0" fillId="0" borderId="0" xfId="2" applyFont="1" applyFill="1" applyAlignment="1">
      <alignment horizontal="left"/>
    </xf>
    <xf numFmtId="0" fontId="0" fillId="0" borderId="0" xfId="0" applyFill="1" applyAlignment="1">
      <alignment horizontal="left"/>
    </xf>
    <xf numFmtId="166" fontId="0" fillId="0" borderId="0" xfId="2" applyNumberFormat="1" applyFont="1" applyFill="1" applyAlignment="1">
      <alignment horizontal="left"/>
    </xf>
    <xf numFmtId="9" fontId="0" fillId="0" borderId="0" xfId="2" applyFont="1" applyAlignment="1">
      <alignment horizontal="left"/>
    </xf>
    <xf numFmtId="9" fontId="0" fillId="0" borderId="5" xfId="2" applyFont="1" applyBorder="1" applyAlignment="1">
      <alignment horizontal="left"/>
    </xf>
    <xf numFmtId="0" fontId="0" fillId="0" borderId="0" xfId="0" applyBorder="1" applyAlignment="1">
      <alignment horizontal="left"/>
    </xf>
    <xf numFmtId="168" fontId="0" fillId="0" borderId="0" xfId="4" applyNumberFormat="1" applyFont="1" applyAlignment="1">
      <alignment horizontal="left"/>
    </xf>
    <xf numFmtId="167" fontId="0" fillId="0" borderId="0" xfId="4" applyNumberFormat="1" applyFont="1" applyAlignment="1">
      <alignment horizontal="left"/>
    </xf>
    <xf numFmtId="167" fontId="19" fillId="0" borderId="0" xfId="4" applyNumberFormat="1" applyFont="1" applyAlignment="1">
      <alignment horizontal="center"/>
    </xf>
    <xf numFmtId="167" fontId="19" fillId="0" borderId="0" xfId="4" applyNumberFormat="1" applyFont="1" applyAlignment="1">
      <alignment horizontal="left"/>
    </xf>
    <xf numFmtId="166" fontId="19" fillId="0" borderId="0" xfId="0" applyNumberFormat="1" applyFont="1" applyAlignment="1">
      <alignment horizontal="center"/>
    </xf>
    <xf numFmtId="166" fontId="19" fillId="0" borderId="0" xfId="0" applyNumberFormat="1" applyFont="1" applyAlignment="1">
      <alignment horizontal="left"/>
    </xf>
    <xf numFmtId="0" fontId="9" fillId="6" borderId="0" xfId="0" applyFont="1" applyFill="1" applyBorder="1" applyAlignment="1">
      <alignment horizontal="center" vertical="center" textRotation="90" wrapText="1"/>
    </xf>
    <xf numFmtId="0" fontId="0" fillId="0" borderId="2" xfId="0" applyBorder="1" applyAlignment="1">
      <alignment horizontal="center" vertical="center" wrapText="1"/>
    </xf>
    <xf numFmtId="0" fontId="0" fillId="0" borderId="30" xfId="0" applyBorder="1" applyAlignment="1">
      <alignment horizontal="center" vertical="center" wrapText="1"/>
    </xf>
  </cellXfs>
  <cellStyles count="6">
    <cellStyle name="Comma" xfId="1" builtinId="3"/>
    <cellStyle name="Currency" xfId="4" builtinId="4"/>
    <cellStyle name="Good" xfId="5" builtinId="26" customBuiltin="1"/>
    <cellStyle name="Input" xfId="3" builtinId="20"/>
    <cellStyle name="Normal" xfId="0" builtinId="0"/>
    <cellStyle name="Percent" xfId="2" builtinId="5"/>
  </cellStyles>
  <dxfs count="8">
    <dxf>
      <fill>
        <patternFill>
          <bgColor rgb="FF92D050"/>
        </patternFill>
      </fill>
    </dxf>
    <dxf>
      <font>
        <b/>
        <i val="0"/>
      </font>
      <fill>
        <patternFill>
          <bgColor rgb="FFFF0000"/>
        </patternFill>
      </fill>
    </dxf>
    <dxf>
      <fill>
        <patternFill>
          <bgColor rgb="FF92D050"/>
        </patternFill>
      </fill>
    </dxf>
    <dxf>
      <font>
        <b/>
        <i val="0"/>
      </font>
      <fill>
        <patternFill>
          <bgColor rgb="FFFF0000"/>
        </patternFill>
      </fill>
    </dxf>
    <dxf>
      <fill>
        <patternFill>
          <bgColor rgb="FF92D050"/>
        </patternFill>
      </fill>
    </dxf>
    <dxf>
      <font>
        <b/>
        <i val="0"/>
      </font>
      <fill>
        <patternFill>
          <bgColor rgb="FFFF0000"/>
        </patternFill>
      </fill>
    </dxf>
    <dxf>
      <fill>
        <patternFill>
          <bgColor rgb="FF92D05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NM</a:t>
            </a:r>
            <a:r>
              <a:rPr lang="en-US" baseline="0"/>
              <a:t> Growth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'Tier II'!$A$30:$B$30</c:f>
              <c:strCache>
                <c:ptCount val="2"/>
                <c:pt idx="0">
                  <c:v>VELCO</c:v>
                </c:pt>
                <c:pt idx="1">
                  <c:v>New NM- post-2016</c:v>
                </c:pt>
              </c:strCache>
            </c:strRef>
          </c:tx>
          <c:spPr>
            <a:ln w="28575" cap="rnd">
              <a:solidFill>
                <a:schemeClr val="accent1"/>
              </a:solidFill>
              <a:round/>
            </a:ln>
            <a:effectLst/>
          </c:spPr>
          <c:marker>
            <c:symbol val="none"/>
          </c:marker>
          <c:cat>
            <c:numRef>
              <c:f>'Tier II'!$D$2:$N$2</c:f>
              <c:numCache>
                <c:formatCode>General</c:formatCode>
                <c:ptCount val="11"/>
                <c:pt idx="0">
                  <c:v>2017</c:v>
                </c:pt>
                <c:pt idx="1">
                  <c:v>2018</c:v>
                </c:pt>
                <c:pt idx="2">
                  <c:v>2019</c:v>
                </c:pt>
                <c:pt idx="3">
                  <c:v>2020</c:v>
                </c:pt>
                <c:pt idx="4">
                  <c:v>2021</c:v>
                </c:pt>
                <c:pt idx="5">
                  <c:v>2022</c:v>
                </c:pt>
                <c:pt idx="6">
                  <c:v>2023</c:v>
                </c:pt>
                <c:pt idx="7">
                  <c:v>2024</c:v>
                </c:pt>
                <c:pt idx="8">
                  <c:v>2025</c:v>
                </c:pt>
                <c:pt idx="9">
                  <c:v>2026</c:v>
                </c:pt>
                <c:pt idx="10">
                  <c:v>2027</c:v>
                </c:pt>
              </c:numCache>
            </c:numRef>
          </c:cat>
          <c:val>
            <c:numRef>
              <c:f>'Tier II'!$E$30:$N$30</c:f>
              <c:numCache>
                <c:formatCode>_(* #,##0_);_(* \(#,##0\);_(* "-"??_);_(@_)</c:formatCode>
                <c:ptCount val="10"/>
                <c:pt idx="0">
                  <c:v>9308.6405130367566</c:v>
                </c:pt>
                <c:pt idx="1">
                  <c:v>58852.769524591407</c:v>
                </c:pt>
                <c:pt idx="2">
                  <c:v>94079.03126973976</c:v>
                </c:pt>
                <c:pt idx="3">
                  <c:v>123085.19050313662</c:v>
                </c:pt>
                <c:pt idx="4">
                  <c:v>141702.20106965155</c:v>
                </c:pt>
                <c:pt idx="5">
                  <c:v>154759.13624894095</c:v>
                </c:pt>
                <c:pt idx="6">
                  <c:v>159295.21283157391</c:v>
                </c:pt>
                <c:pt idx="7">
                  <c:v>162660.95544209925</c:v>
                </c:pt>
                <c:pt idx="8">
                  <c:v>164568.2254753703</c:v>
                </c:pt>
                <c:pt idx="9">
                  <c:v>167852.92648208735</c:v>
                </c:pt>
              </c:numCache>
            </c:numRef>
          </c:val>
          <c:smooth val="0"/>
          <c:extLst>
            <c:ext xmlns:c16="http://schemas.microsoft.com/office/drawing/2014/chart" uri="{C3380CC4-5D6E-409C-BE32-E72D297353CC}">
              <c16:uniqueId val="{00000000-C391-4726-85DB-D3A3B60A0652}"/>
            </c:ext>
          </c:extLst>
        </c:ser>
        <c:ser>
          <c:idx val="1"/>
          <c:order val="1"/>
          <c:tx>
            <c:strRef>
              <c:f>'Tier II'!$A$31:$B$31</c:f>
              <c:strCache>
                <c:ptCount val="2"/>
                <c:pt idx="0">
                  <c:v>low</c:v>
                </c:pt>
                <c:pt idx="1">
                  <c:v>New NM- post-2016</c:v>
                </c:pt>
              </c:strCache>
            </c:strRef>
          </c:tx>
          <c:spPr>
            <a:ln w="28575" cap="rnd">
              <a:solidFill>
                <a:schemeClr val="accent2"/>
              </a:solidFill>
              <a:round/>
            </a:ln>
            <a:effectLst/>
          </c:spPr>
          <c:marker>
            <c:symbol val="none"/>
          </c:marker>
          <c:cat>
            <c:numRef>
              <c:f>'Tier II'!$D$2:$N$2</c:f>
              <c:numCache>
                <c:formatCode>General</c:formatCode>
                <c:ptCount val="11"/>
                <c:pt idx="0">
                  <c:v>2017</c:v>
                </c:pt>
                <c:pt idx="1">
                  <c:v>2018</c:v>
                </c:pt>
                <c:pt idx="2">
                  <c:v>2019</c:v>
                </c:pt>
                <c:pt idx="3">
                  <c:v>2020</c:v>
                </c:pt>
                <c:pt idx="4">
                  <c:v>2021</c:v>
                </c:pt>
                <c:pt idx="5">
                  <c:v>2022</c:v>
                </c:pt>
                <c:pt idx="6">
                  <c:v>2023</c:v>
                </c:pt>
                <c:pt idx="7">
                  <c:v>2024</c:v>
                </c:pt>
                <c:pt idx="8">
                  <c:v>2025</c:v>
                </c:pt>
                <c:pt idx="9">
                  <c:v>2026</c:v>
                </c:pt>
                <c:pt idx="10">
                  <c:v>2027</c:v>
                </c:pt>
              </c:numCache>
            </c:numRef>
          </c:cat>
          <c:val>
            <c:numRef>
              <c:f>'Tier II'!$E$31:$N$31</c:f>
              <c:numCache>
                <c:formatCode>_(* #,##0_);_(* \(#,##0\);_(* "-"??_);_(@_)</c:formatCode>
                <c:ptCount val="10"/>
                <c:pt idx="0">
                  <c:v>2452.8000000000002</c:v>
                </c:pt>
                <c:pt idx="1">
                  <c:v>14716.800000000001</c:v>
                </c:pt>
                <c:pt idx="2">
                  <c:v>25754.400000000005</c:v>
                </c:pt>
                <c:pt idx="3">
                  <c:v>35565.600000000006</c:v>
                </c:pt>
                <c:pt idx="4">
                  <c:v>44150.400000000009</c:v>
                </c:pt>
                <c:pt idx="5">
                  <c:v>51508.80000000001</c:v>
                </c:pt>
                <c:pt idx="6">
                  <c:v>57640.80000000001</c:v>
                </c:pt>
                <c:pt idx="7">
                  <c:v>63772.80000000001</c:v>
                </c:pt>
                <c:pt idx="8">
                  <c:v>69904.800000000003</c:v>
                </c:pt>
                <c:pt idx="9">
                  <c:v>76036.800000000017</c:v>
                </c:pt>
              </c:numCache>
            </c:numRef>
          </c:val>
          <c:smooth val="0"/>
          <c:extLst>
            <c:ext xmlns:c16="http://schemas.microsoft.com/office/drawing/2014/chart" uri="{C3380CC4-5D6E-409C-BE32-E72D297353CC}">
              <c16:uniqueId val="{00000001-C391-4726-85DB-D3A3B60A0652}"/>
            </c:ext>
          </c:extLst>
        </c:ser>
        <c:ser>
          <c:idx val="2"/>
          <c:order val="2"/>
          <c:tx>
            <c:strRef>
              <c:f>'Tier II'!$A$32:$B$32</c:f>
              <c:strCache>
                <c:ptCount val="2"/>
                <c:pt idx="0">
                  <c:v>mid</c:v>
                </c:pt>
                <c:pt idx="1">
                  <c:v>New NM- post-2016</c:v>
                </c:pt>
              </c:strCache>
            </c:strRef>
          </c:tx>
          <c:spPr>
            <a:ln w="28575" cap="rnd">
              <a:solidFill>
                <a:schemeClr val="accent3"/>
              </a:solidFill>
              <a:round/>
            </a:ln>
            <a:effectLst/>
          </c:spPr>
          <c:marker>
            <c:symbol val="none"/>
          </c:marker>
          <c:cat>
            <c:numRef>
              <c:f>'Tier II'!$D$2:$N$2</c:f>
              <c:numCache>
                <c:formatCode>General</c:formatCode>
                <c:ptCount val="11"/>
                <c:pt idx="0">
                  <c:v>2017</c:v>
                </c:pt>
                <c:pt idx="1">
                  <c:v>2018</c:v>
                </c:pt>
                <c:pt idx="2">
                  <c:v>2019</c:v>
                </c:pt>
                <c:pt idx="3">
                  <c:v>2020</c:v>
                </c:pt>
                <c:pt idx="4">
                  <c:v>2021</c:v>
                </c:pt>
                <c:pt idx="5">
                  <c:v>2022</c:v>
                </c:pt>
                <c:pt idx="6">
                  <c:v>2023</c:v>
                </c:pt>
                <c:pt idx="7">
                  <c:v>2024</c:v>
                </c:pt>
                <c:pt idx="8">
                  <c:v>2025</c:v>
                </c:pt>
                <c:pt idx="9">
                  <c:v>2026</c:v>
                </c:pt>
                <c:pt idx="10">
                  <c:v>2027</c:v>
                </c:pt>
              </c:numCache>
            </c:numRef>
          </c:cat>
          <c:val>
            <c:numRef>
              <c:f>'Tier II'!$E$32:$N$32</c:f>
              <c:numCache>
                <c:formatCode>_(* #,##0_);_(* \(#,##0\);_(* "-"??_);_(@_)</c:formatCode>
                <c:ptCount val="10"/>
                <c:pt idx="0">
                  <c:v>6132.0000000000009</c:v>
                </c:pt>
                <c:pt idx="1">
                  <c:v>42924</c:v>
                </c:pt>
                <c:pt idx="2">
                  <c:v>73584</c:v>
                </c:pt>
                <c:pt idx="3">
                  <c:v>91980.000000000015</c:v>
                </c:pt>
                <c:pt idx="4">
                  <c:v>110376.00000000001</c:v>
                </c:pt>
                <c:pt idx="5">
                  <c:v>121413.60000000002</c:v>
                </c:pt>
                <c:pt idx="6">
                  <c:v>130519.62000000002</c:v>
                </c:pt>
                <c:pt idx="7">
                  <c:v>137045.60100000002</c:v>
                </c:pt>
                <c:pt idx="8">
                  <c:v>141156.96903000007</c:v>
                </c:pt>
                <c:pt idx="9">
                  <c:v>142568.53872030004</c:v>
                </c:pt>
              </c:numCache>
            </c:numRef>
          </c:val>
          <c:smooth val="0"/>
          <c:extLst>
            <c:ext xmlns:c16="http://schemas.microsoft.com/office/drawing/2014/chart" uri="{C3380CC4-5D6E-409C-BE32-E72D297353CC}">
              <c16:uniqueId val="{00000002-C391-4726-85DB-D3A3B60A0652}"/>
            </c:ext>
          </c:extLst>
        </c:ser>
        <c:ser>
          <c:idx val="3"/>
          <c:order val="3"/>
          <c:tx>
            <c:strRef>
              <c:f>'Tier II'!$A$33:$B$33</c:f>
              <c:strCache>
                <c:ptCount val="2"/>
                <c:pt idx="0">
                  <c:v>high</c:v>
                </c:pt>
                <c:pt idx="1">
                  <c:v>New NM- post-2016</c:v>
                </c:pt>
              </c:strCache>
            </c:strRef>
          </c:tx>
          <c:spPr>
            <a:ln w="28575" cap="rnd">
              <a:solidFill>
                <a:schemeClr val="accent4"/>
              </a:solidFill>
              <a:round/>
            </a:ln>
            <a:effectLst/>
          </c:spPr>
          <c:marker>
            <c:symbol val="none"/>
          </c:marker>
          <c:cat>
            <c:numRef>
              <c:f>'Tier II'!$D$2:$N$2</c:f>
              <c:numCache>
                <c:formatCode>General</c:formatCode>
                <c:ptCount val="11"/>
                <c:pt idx="0">
                  <c:v>2017</c:v>
                </c:pt>
                <c:pt idx="1">
                  <c:v>2018</c:v>
                </c:pt>
                <c:pt idx="2">
                  <c:v>2019</c:v>
                </c:pt>
                <c:pt idx="3">
                  <c:v>2020</c:v>
                </c:pt>
                <c:pt idx="4">
                  <c:v>2021</c:v>
                </c:pt>
                <c:pt idx="5">
                  <c:v>2022</c:v>
                </c:pt>
                <c:pt idx="6">
                  <c:v>2023</c:v>
                </c:pt>
                <c:pt idx="7">
                  <c:v>2024</c:v>
                </c:pt>
                <c:pt idx="8">
                  <c:v>2025</c:v>
                </c:pt>
                <c:pt idx="9">
                  <c:v>2026</c:v>
                </c:pt>
                <c:pt idx="10">
                  <c:v>2027</c:v>
                </c:pt>
              </c:numCache>
            </c:numRef>
          </c:cat>
          <c:val>
            <c:numRef>
              <c:f>'Tier II'!$E$33:$N$33</c:f>
              <c:numCache>
                <c:formatCode>_(* #,##0_);_(* \(#,##0\);_(* "-"??_);_(@_)</c:formatCode>
                <c:ptCount val="10"/>
                <c:pt idx="0">
                  <c:v>18396</c:v>
                </c:pt>
                <c:pt idx="1">
                  <c:v>61320.000000000007</c:v>
                </c:pt>
                <c:pt idx="2">
                  <c:v>98112.000000000015</c:v>
                </c:pt>
                <c:pt idx="3">
                  <c:v>128772.00000000001</c:v>
                </c:pt>
                <c:pt idx="4">
                  <c:v>153300</c:v>
                </c:pt>
                <c:pt idx="5">
                  <c:v>171696</c:v>
                </c:pt>
                <c:pt idx="6">
                  <c:v>183960.00000000003</c:v>
                </c:pt>
                <c:pt idx="7">
                  <c:v>196224.00000000003</c:v>
                </c:pt>
                <c:pt idx="8">
                  <c:v>204808.80000000002</c:v>
                </c:pt>
                <c:pt idx="9">
                  <c:v>210940.80000000002</c:v>
                </c:pt>
              </c:numCache>
            </c:numRef>
          </c:val>
          <c:smooth val="0"/>
          <c:extLst>
            <c:ext xmlns:c16="http://schemas.microsoft.com/office/drawing/2014/chart" uri="{C3380CC4-5D6E-409C-BE32-E72D297353CC}">
              <c16:uniqueId val="{00000003-C391-4726-85DB-D3A3B60A0652}"/>
            </c:ext>
          </c:extLst>
        </c:ser>
        <c:dLbls>
          <c:showLegendKey val="0"/>
          <c:showVal val="0"/>
          <c:showCatName val="0"/>
          <c:showSerName val="0"/>
          <c:showPercent val="0"/>
          <c:showBubbleSize val="0"/>
        </c:dLbls>
        <c:smooth val="0"/>
        <c:axId val="217623240"/>
        <c:axId val="377203856"/>
      </c:lineChart>
      <c:catAx>
        <c:axId val="217623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203856"/>
        <c:crosses val="autoZero"/>
        <c:auto val="1"/>
        <c:lblAlgn val="ctr"/>
        <c:lblOffset val="100"/>
        <c:noMultiLvlLbl val="0"/>
      </c:catAx>
      <c:valAx>
        <c:axId val="3772038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623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'price forecasts'!$E$12:$O$12</c:f>
              <c:numCache>
                <c:formatCode>_("$"* #,##0.00_);_("$"* \(#,##0.00\);_("$"* "-"??_);_(@_)</c:formatCode>
                <c:ptCount val="11"/>
                <c:pt idx="0">
                  <c:v>17</c:v>
                </c:pt>
                <c:pt idx="1">
                  <c:v>16.829999999999998</c:v>
                </c:pt>
                <c:pt idx="2">
                  <c:v>16.6617</c:v>
                </c:pt>
                <c:pt idx="3">
                  <c:v>16.495083000000001</c:v>
                </c:pt>
                <c:pt idx="4">
                  <c:v>16.330132170000002</c:v>
                </c:pt>
                <c:pt idx="5">
                  <c:v>16.166830848300002</c:v>
                </c:pt>
                <c:pt idx="6">
                  <c:v>16.005162539817</c:v>
                </c:pt>
                <c:pt idx="7">
                  <c:v>15.84511091441883</c:v>
                </c:pt>
                <c:pt idx="8">
                  <c:v>15.686659805274642</c:v>
                </c:pt>
                <c:pt idx="9">
                  <c:v>15.529793207221896</c:v>
                </c:pt>
                <c:pt idx="10">
                  <c:v>15.374495275149677</c:v>
                </c:pt>
              </c:numCache>
            </c:numRef>
          </c:val>
          <c:smooth val="0"/>
          <c:extLst>
            <c:ext xmlns:c16="http://schemas.microsoft.com/office/drawing/2014/chart" uri="{C3380CC4-5D6E-409C-BE32-E72D297353CC}">
              <c16:uniqueId val="{00000000-D7D9-418F-8035-58AB7D459D95}"/>
            </c:ext>
          </c:extLst>
        </c:ser>
        <c:ser>
          <c:idx val="1"/>
          <c:order val="1"/>
          <c:spPr>
            <a:ln w="28575" cap="rnd">
              <a:solidFill>
                <a:schemeClr val="accent2"/>
              </a:solidFill>
              <a:round/>
            </a:ln>
            <a:effectLst/>
          </c:spPr>
          <c:marker>
            <c:symbol val="none"/>
          </c:marker>
          <c:val>
            <c:numRef>
              <c:f>'price forecasts'!$E$13:$O$13</c:f>
              <c:numCache>
                <c:formatCode>_("$"* #,##0.00_);_("$"* \(#,##0.00\);_("$"* "-"??_);_(@_)</c:formatCode>
                <c:ptCount val="11"/>
                <c:pt idx="0">
                  <c:v>17</c:v>
                </c:pt>
                <c:pt idx="1">
                  <c:v>17.271999999999998</c:v>
                </c:pt>
                <c:pt idx="2">
                  <c:v>17.548351999999998</c:v>
                </c:pt>
                <c:pt idx="3">
                  <c:v>17.829125631999997</c:v>
                </c:pt>
                <c:pt idx="4">
                  <c:v>18.114391642111997</c:v>
                </c:pt>
                <c:pt idx="5">
                  <c:v>18.404221908385789</c:v>
                </c:pt>
                <c:pt idx="6">
                  <c:v>18.698689458919961</c:v>
                </c:pt>
                <c:pt idx="7">
                  <c:v>18.997868490262682</c:v>
                </c:pt>
                <c:pt idx="8">
                  <c:v>19.301834386106886</c:v>
                </c:pt>
                <c:pt idx="9">
                  <c:v>19.610663736284597</c:v>
                </c:pt>
                <c:pt idx="10">
                  <c:v>19.924434356065149</c:v>
                </c:pt>
              </c:numCache>
            </c:numRef>
          </c:val>
          <c:smooth val="0"/>
          <c:extLst>
            <c:ext xmlns:c16="http://schemas.microsoft.com/office/drawing/2014/chart" uri="{C3380CC4-5D6E-409C-BE32-E72D297353CC}">
              <c16:uniqueId val="{00000001-D7D9-418F-8035-58AB7D459D95}"/>
            </c:ext>
          </c:extLst>
        </c:ser>
        <c:ser>
          <c:idx val="2"/>
          <c:order val="2"/>
          <c:spPr>
            <a:ln w="28575" cap="rnd">
              <a:solidFill>
                <a:schemeClr val="accent3"/>
              </a:solidFill>
              <a:round/>
            </a:ln>
            <a:effectLst/>
          </c:spPr>
          <c:marker>
            <c:symbol val="none"/>
          </c:marker>
          <c:val>
            <c:numRef>
              <c:f>'price forecasts'!$E$14:$O$14</c:f>
              <c:numCache>
                <c:formatCode>_("$"* #,##0.00_);_("$"* \(#,##0.00\);_("$"* "-"??_);_(@_)</c:formatCode>
                <c:ptCount val="11"/>
                <c:pt idx="0">
                  <c:v>17</c:v>
                </c:pt>
                <c:pt idx="1">
                  <c:v>17.850000000000001</c:v>
                </c:pt>
                <c:pt idx="2">
                  <c:v>18.742500000000003</c:v>
                </c:pt>
                <c:pt idx="3">
                  <c:v>19.679625000000005</c:v>
                </c:pt>
                <c:pt idx="4">
                  <c:v>20.663606250000004</c:v>
                </c:pt>
                <c:pt idx="5">
                  <c:v>21.696786562500005</c:v>
                </c:pt>
                <c:pt idx="6">
                  <c:v>22.781625890625005</c:v>
                </c:pt>
                <c:pt idx="7">
                  <c:v>23.920707185156257</c:v>
                </c:pt>
                <c:pt idx="8">
                  <c:v>25.11674254441407</c:v>
                </c:pt>
                <c:pt idx="9">
                  <c:v>26.372579671634774</c:v>
                </c:pt>
                <c:pt idx="10">
                  <c:v>27.691208655216514</c:v>
                </c:pt>
              </c:numCache>
            </c:numRef>
          </c:val>
          <c:smooth val="0"/>
          <c:extLst>
            <c:ext xmlns:c16="http://schemas.microsoft.com/office/drawing/2014/chart" uri="{C3380CC4-5D6E-409C-BE32-E72D297353CC}">
              <c16:uniqueId val="{00000002-D7D9-418F-8035-58AB7D459D95}"/>
            </c:ext>
          </c:extLst>
        </c:ser>
        <c:dLbls>
          <c:showLegendKey val="0"/>
          <c:showVal val="0"/>
          <c:showCatName val="0"/>
          <c:showSerName val="0"/>
          <c:showPercent val="0"/>
          <c:showBubbleSize val="0"/>
        </c:dLbls>
        <c:smooth val="0"/>
        <c:axId val="377204640"/>
        <c:axId val="377205032"/>
      </c:lineChart>
      <c:catAx>
        <c:axId val="37720464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205032"/>
        <c:crosses val="autoZero"/>
        <c:auto val="1"/>
        <c:lblAlgn val="ctr"/>
        <c:lblOffset val="100"/>
        <c:noMultiLvlLbl val="0"/>
      </c:catAx>
      <c:valAx>
        <c:axId val="37720503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204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PSD Base Case Price Assumptions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E,C,RNS</c:v>
          </c:tx>
          <c:spPr>
            <a:ln w="28575" cap="rnd">
              <a:solidFill>
                <a:schemeClr val="accent1"/>
              </a:solidFill>
              <a:round/>
            </a:ln>
            <a:effectLst/>
          </c:spPr>
          <c:marker>
            <c:symbol val="none"/>
          </c:marker>
          <c:cat>
            <c:numRef>
              <c:f>'price forecasts'!$E$5:$O$5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'price forecasts'!$E$9:$O$9</c:f>
              <c:numCache>
                <c:formatCode>_("$"* #,##0.00_);_("$"* \(#,##0.00\);_("$"* "-"??_);_(@_)</c:formatCode>
                <c:ptCount val="11"/>
                <c:pt idx="0">
                  <c:v>68.86716476891867</c:v>
                </c:pt>
                <c:pt idx="1">
                  <c:v>65.942071708990738</c:v>
                </c:pt>
                <c:pt idx="2">
                  <c:v>65.102398876488891</c:v>
                </c:pt>
                <c:pt idx="3">
                  <c:v>66.270562435757313</c:v>
                </c:pt>
                <c:pt idx="4">
                  <c:v>67.103272647682573</c:v>
                </c:pt>
                <c:pt idx="5">
                  <c:v>67.167325112356096</c:v>
                </c:pt>
                <c:pt idx="6">
                  <c:v>71.267906293852079</c:v>
                </c:pt>
                <c:pt idx="7">
                  <c:v>70.877144492221532</c:v>
                </c:pt>
                <c:pt idx="8">
                  <c:v>72.785517849961039</c:v>
                </c:pt>
                <c:pt idx="9">
                  <c:v>75.849049136088581</c:v>
                </c:pt>
                <c:pt idx="10">
                  <c:v>77.901965859952185</c:v>
                </c:pt>
              </c:numCache>
            </c:numRef>
          </c:val>
          <c:smooth val="0"/>
          <c:extLst>
            <c:ext xmlns:c16="http://schemas.microsoft.com/office/drawing/2014/chart" uri="{C3380CC4-5D6E-409C-BE32-E72D297353CC}">
              <c16:uniqueId val="{00000000-5F0A-4BDA-AF60-A5EA6E6F1B51}"/>
            </c:ext>
          </c:extLst>
        </c:ser>
        <c:ser>
          <c:idx val="4"/>
          <c:order val="4"/>
          <c:tx>
            <c:strRef>
              <c:f>'price forecasts'!$B$33</c:f>
              <c:strCache>
                <c:ptCount val="1"/>
                <c:pt idx="0">
                  <c:v>Wholesale Cost of CCHP</c:v>
                </c:pt>
              </c:strCache>
            </c:strRef>
          </c:tx>
          <c:spPr>
            <a:ln w="28575" cap="rnd">
              <a:solidFill>
                <a:schemeClr val="accent5"/>
              </a:solidFill>
              <a:round/>
            </a:ln>
            <a:effectLst/>
          </c:spPr>
          <c:marker>
            <c:symbol val="none"/>
          </c:marker>
          <c:cat>
            <c:numRef>
              <c:f>'price forecasts'!$E$5:$O$5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'price forecasts'!$E$33:$O$33</c:f>
              <c:numCache>
                <c:formatCode>_("$"* #,##0.00_);_("$"* \(#,##0.00\);_("$"* "-"??_);_(@_)</c:formatCode>
                <c:ptCount val="11"/>
                <c:pt idx="0">
                  <c:v>51.75998145485319</c:v>
                </c:pt>
                <c:pt idx="1">
                  <c:v>50.850134198549867</c:v>
                </c:pt>
                <c:pt idx="2">
                  <c:v>51.316422929902373</c:v>
                </c:pt>
                <c:pt idx="3">
                  <c:v>52.729296036997226</c:v>
                </c:pt>
                <c:pt idx="4">
                  <c:v>52.825559567737933</c:v>
                </c:pt>
                <c:pt idx="5">
                  <c:v>52.536650272083499</c:v>
                </c:pt>
                <c:pt idx="6">
                  <c:v>56.283904348270703</c:v>
                </c:pt>
                <c:pt idx="7">
                  <c:v>55.145834593544947</c:v>
                </c:pt>
                <c:pt idx="8">
                  <c:v>56.361931495883745</c:v>
                </c:pt>
                <c:pt idx="9">
                  <c:v>58.796669772619047</c:v>
                </c:pt>
              </c:numCache>
            </c:numRef>
          </c:val>
          <c:smooth val="0"/>
          <c:extLst>
            <c:ext xmlns:c16="http://schemas.microsoft.com/office/drawing/2014/chart" uri="{C3380CC4-5D6E-409C-BE32-E72D297353CC}">
              <c16:uniqueId val="{00000001-5F0A-4BDA-AF60-A5EA6E6F1B51}"/>
            </c:ext>
          </c:extLst>
        </c:ser>
        <c:dLbls>
          <c:showLegendKey val="0"/>
          <c:showVal val="0"/>
          <c:showCatName val="0"/>
          <c:showSerName val="0"/>
          <c:showPercent val="0"/>
          <c:showBubbleSize val="0"/>
        </c:dLbls>
        <c:marker val="1"/>
        <c:smooth val="0"/>
        <c:axId val="377205816"/>
        <c:axId val="377206208"/>
      </c:lineChart>
      <c:lineChart>
        <c:grouping val="standard"/>
        <c:varyColors val="0"/>
        <c:ser>
          <c:idx val="1"/>
          <c:order val="1"/>
          <c:tx>
            <c:strRef>
              <c:f>'price forecasts'!$B$12</c:f>
              <c:strCache>
                <c:ptCount val="1"/>
                <c:pt idx="0">
                  <c:v>Fossil Fuel- heating</c:v>
                </c:pt>
              </c:strCache>
            </c:strRef>
          </c:tx>
          <c:spPr>
            <a:ln w="28575" cap="rnd">
              <a:solidFill>
                <a:schemeClr val="accent2"/>
              </a:solidFill>
              <a:round/>
            </a:ln>
            <a:effectLst/>
          </c:spPr>
          <c:marker>
            <c:symbol val="none"/>
          </c:marker>
          <c:cat>
            <c:numRef>
              <c:f>'price forecasts'!$E$5:$O$5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'price forecasts'!$E$12:$O$12</c:f>
              <c:numCache>
                <c:formatCode>_("$"* #,##0.00_);_("$"* \(#,##0.00\);_("$"* "-"??_);_(@_)</c:formatCode>
                <c:ptCount val="11"/>
                <c:pt idx="0">
                  <c:v>17</c:v>
                </c:pt>
                <c:pt idx="1">
                  <c:v>16.829999999999998</c:v>
                </c:pt>
                <c:pt idx="2">
                  <c:v>16.6617</c:v>
                </c:pt>
                <c:pt idx="3">
                  <c:v>16.495083000000001</c:v>
                </c:pt>
                <c:pt idx="4">
                  <c:v>16.330132170000002</c:v>
                </c:pt>
                <c:pt idx="5">
                  <c:v>16.166830848300002</c:v>
                </c:pt>
                <c:pt idx="6">
                  <c:v>16.005162539817</c:v>
                </c:pt>
                <c:pt idx="7">
                  <c:v>15.84511091441883</c:v>
                </c:pt>
                <c:pt idx="8">
                  <c:v>15.686659805274642</c:v>
                </c:pt>
                <c:pt idx="9">
                  <c:v>15.529793207221896</c:v>
                </c:pt>
                <c:pt idx="10">
                  <c:v>15.374495275149677</c:v>
                </c:pt>
              </c:numCache>
            </c:numRef>
          </c:val>
          <c:smooth val="0"/>
          <c:extLst>
            <c:ext xmlns:c16="http://schemas.microsoft.com/office/drawing/2014/chart" uri="{C3380CC4-5D6E-409C-BE32-E72D297353CC}">
              <c16:uniqueId val="{00000002-5F0A-4BDA-AF60-A5EA6E6F1B51}"/>
            </c:ext>
          </c:extLst>
        </c:ser>
        <c:ser>
          <c:idx val="2"/>
          <c:order val="2"/>
          <c:tx>
            <c:strRef>
              <c:f>'price forecasts'!$B$13</c:f>
              <c:strCache>
                <c:ptCount val="1"/>
                <c:pt idx="0">
                  <c:v>Fossil Fuel- heating</c:v>
                </c:pt>
              </c:strCache>
            </c:strRef>
          </c:tx>
          <c:spPr>
            <a:ln w="28575" cap="rnd">
              <a:solidFill>
                <a:schemeClr val="accent3"/>
              </a:solidFill>
              <a:round/>
            </a:ln>
            <a:effectLst/>
          </c:spPr>
          <c:marker>
            <c:symbol val="none"/>
          </c:marker>
          <c:cat>
            <c:numRef>
              <c:f>'price forecasts'!$E$5:$O$5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'price forecasts'!$E$13:$O$13</c:f>
              <c:numCache>
                <c:formatCode>_("$"* #,##0.00_);_("$"* \(#,##0.00\);_("$"* "-"??_);_(@_)</c:formatCode>
                <c:ptCount val="11"/>
                <c:pt idx="0">
                  <c:v>17</c:v>
                </c:pt>
                <c:pt idx="1">
                  <c:v>17.271999999999998</c:v>
                </c:pt>
                <c:pt idx="2">
                  <c:v>17.548351999999998</c:v>
                </c:pt>
                <c:pt idx="3">
                  <c:v>17.829125631999997</c:v>
                </c:pt>
                <c:pt idx="4">
                  <c:v>18.114391642111997</c:v>
                </c:pt>
                <c:pt idx="5">
                  <c:v>18.404221908385789</c:v>
                </c:pt>
                <c:pt idx="6">
                  <c:v>18.698689458919961</c:v>
                </c:pt>
                <c:pt idx="7">
                  <c:v>18.997868490262682</c:v>
                </c:pt>
                <c:pt idx="8">
                  <c:v>19.301834386106886</c:v>
                </c:pt>
                <c:pt idx="9">
                  <c:v>19.610663736284597</c:v>
                </c:pt>
                <c:pt idx="10">
                  <c:v>19.924434356065149</c:v>
                </c:pt>
              </c:numCache>
            </c:numRef>
          </c:val>
          <c:smooth val="0"/>
          <c:extLst>
            <c:ext xmlns:c16="http://schemas.microsoft.com/office/drawing/2014/chart" uri="{C3380CC4-5D6E-409C-BE32-E72D297353CC}">
              <c16:uniqueId val="{00000003-5F0A-4BDA-AF60-A5EA6E6F1B51}"/>
            </c:ext>
          </c:extLst>
        </c:ser>
        <c:ser>
          <c:idx val="3"/>
          <c:order val="3"/>
          <c:tx>
            <c:strRef>
              <c:f>'price forecasts'!$B$14</c:f>
              <c:strCache>
                <c:ptCount val="1"/>
                <c:pt idx="0">
                  <c:v>Fossil Fuel- heating</c:v>
                </c:pt>
              </c:strCache>
            </c:strRef>
          </c:tx>
          <c:spPr>
            <a:ln w="28575" cap="rnd">
              <a:solidFill>
                <a:schemeClr val="accent4"/>
              </a:solidFill>
              <a:round/>
            </a:ln>
            <a:effectLst/>
          </c:spPr>
          <c:marker>
            <c:symbol val="none"/>
          </c:marker>
          <c:cat>
            <c:numRef>
              <c:f>'price forecasts'!$E$5:$O$5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'price forecasts'!$E$14:$O$14</c:f>
              <c:numCache>
                <c:formatCode>_("$"* #,##0.00_);_("$"* \(#,##0.00\);_("$"* "-"??_);_(@_)</c:formatCode>
                <c:ptCount val="11"/>
                <c:pt idx="0">
                  <c:v>17</c:v>
                </c:pt>
                <c:pt idx="1">
                  <c:v>17.850000000000001</c:v>
                </c:pt>
                <c:pt idx="2">
                  <c:v>18.742500000000003</c:v>
                </c:pt>
                <c:pt idx="3">
                  <c:v>19.679625000000005</c:v>
                </c:pt>
                <c:pt idx="4">
                  <c:v>20.663606250000004</c:v>
                </c:pt>
                <c:pt idx="5">
                  <c:v>21.696786562500005</c:v>
                </c:pt>
                <c:pt idx="6">
                  <c:v>22.781625890625005</c:v>
                </c:pt>
                <c:pt idx="7">
                  <c:v>23.920707185156257</c:v>
                </c:pt>
                <c:pt idx="8">
                  <c:v>25.11674254441407</c:v>
                </c:pt>
                <c:pt idx="9">
                  <c:v>26.372579671634774</c:v>
                </c:pt>
                <c:pt idx="10">
                  <c:v>27.691208655216514</c:v>
                </c:pt>
              </c:numCache>
            </c:numRef>
          </c:val>
          <c:smooth val="0"/>
          <c:extLst>
            <c:ext xmlns:c16="http://schemas.microsoft.com/office/drawing/2014/chart" uri="{C3380CC4-5D6E-409C-BE32-E72D297353CC}">
              <c16:uniqueId val="{00000004-5F0A-4BDA-AF60-A5EA6E6F1B51}"/>
            </c:ext>
          </c:extLst>
        </c:ser>
        <c:dLbls>
          <c:showLegendKey val="0"/>
          <c:showVal val="0"/>
          <c:showCatName val="0"/>
          <c:showSerName val="0"/>
          <c:showPercent val="0"/>
          <c:showBubbleSize val="0"/>
        </c:dLbls>
        <c:marker val="1"/>
        <c:smooth val="0"/>
        <c:axId val="377206992"/>
        <c:axId val="377206600"/>
      </c:lineChart>
      <c:catAx>
        <c:axId val="377205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206208"/>
        <c:crosses val="autoZero"/>
        <c:auto val="1"/>
        <c:lblAlgn val="ctr"/>
        <c:lblOffset val="100"/>
        <c:noMultiLvlLbl val="0"/>
      </c:catAx>
      <c:valAx>
        <c:axId val="377206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205816"/>
        <c:crosses val="autoZero"/>
        <c:crossBetween val="between"/>
      </c:valAx>
      <c:valAx>
        <c:axId val="37720660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$/mmbtu</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00_);_(&quot;$&quot;* \(#,##0.00\);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206992"/>
        <c:crosses val="max"/>
        <c:crossBetween val="between"/>
      </c:valAx>
      <c:catAx>
        <c:axId val="377206992"/>
        <c:scaling>
          <c:orientation val="minMax"/>
        </c:scaling>
        <c:delete val="1"/>
        <c:axPos val="b"/>
        <c:numFmt formatCode="General" sourceLinked="1"/>
        <c:majorTickMark val="out"/>
        <c:minorTickMark val="none"/>
        <c:tickLblPos val="nextTo"/>
        <c:crossAx val="3772066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REC Price Assumptions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7117247688525469E-2"/>
          <c:y val="9.3705961223994494E-2"/>
          <c:w val="0.93509212670379016"/>
          <c:h val="0.72925726403571256"/>
        </c:manualLayout>
      </c:layout>
      <c:lineChart>
        <c:grouping val="standard"/>
        <c:varyColors val="0"/>
        <c:ser>
          <c:idx val="0"/>
          <c:order val="0"/>
          <c:tx>
            <c:v>Tier I Low</c:v>
          </c:tx>
          <c:spPr>
            <a:ln w="28575" cap="rnd">
              <a:solidFill>
                <a:srgbClr val="FF0000"/>
              </a:solidFill>
              <a:prstDash val="sysDot"/>
              <a:round/>
            </a:ln>
            <a:effectLst/>
          </c:spPr>
          <c:marker>
            <c:symbol val="none"/>
          </c:marker>
          <c:cat>
            <c:numRef>
              <c:f>'price forecasts'!$E$5:$N$5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'price forecasts'!$E$21:$N$21</c:f>
              <c:numCache>
                <c:formatCode>_("$"* #,##0.00_);_("$"* \(#,##0.00\);_("$"* "-"??_);_(@_)</c:formatCode>
                <c:ptCount val="10"/>
                <c:pt idx="0">
                  <c:v>1</c:v>
                </c:pt>
                <c:pt idx="1">
                  <c:v>1</c:v>
                </c:pt>
                <c:pt idx="2">
                  <c:v>1</c:v>
                </c:pt>
                <c:pt idx="3">
                  <c:v>1</c:v>
                </c:pt>
                <c:pt idx="4">
                  <c:v>1</c:v>
                </c:pt>
                <c:pt idx="5">
                  <c:v>1</c:v>
                </c:pt>
                <c:pt idx="6">
                  <c:v>1</c:v>
                </c:pt>
                <c:pt idx="7">
                  <c:v>1</c:v>
                </c:pt>
                <c:pt idx="8">
                  <c:v>1</c:v>
                </c:pt>
                <c:pt idx="9">
                  <c:v>1</c:v>
                </c:pt>
              </c:numCache>
            </c:numRef>
          </c:val>
          <c:smooth val="0"/>
          <c:extLst>
            <c:ext xmlns:c16="http://schemas.microsoft.com/office/drawing/2014/chart" uri="{C3380CC4-5D6E-409C-BE32-E72D297353CC}">
              <c16:uniqueId val="{00000000-2651-428C-9DEF-797B74FB89FC}"/>
            </c:ext>
          </c:extLst>
        </c:ser>
        <c:ser>
          <c:idx val="1"/>
          <c:order val="1"/>
          <c:tx>
            <c:v>Tier I Base</c:v>
          </c:tx>
          <c:spPr>
            <a:ln w="28575" cap="rnd">
              <a:solidFill>
                <a:srgbClr val="FF0000"/>
              </a:solidFill>
              <a:round/>
            </a:ln>
            <a:effectLst/>
          </c:spPr>
          <c:marker>
            <c:symbol val="none"/>
          </c:marker>
          <c:cat>
            <c:numRef>
              <c:f>'price forecasts'!$E$5:$N$5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'price forecasts'!$E$22:$N$22</c:f>
              <c:numCache>
                <c:formatCode>_("$"* #,##0.00_);_("$"* \(#,##0.00\);_("$"* "-"??_);_(@_)</c:formatCode>
                <c:ptCount val="10"/>
                <c:pt idx="0">
                  <c:v>1</c:v>
                </c:pt>
                <c:pt idx="1">
                  <c:v>1.2</c:v>
                </c:pt>
                <c:pt idx="2">
                  <c:v>1.44</c:v>
                </c:pt>
                <c:pt idx="3">
                  <c:v>1.728</c:v>
                </c:pt>
                <c:pt idx="4">
                  <c:v>2.0735999999999999</c:v>
                </c:pt>
                <c:pt idx="5">
                  <c:v>2.4883199999999999</c:v>
                </c:pt>
                <c:pt idx="6">
                  <c:v>2.9859839999999997</c:v>
                </c:pt>
                <c:pt idx="7">
                  <c:v>3.5831807999999996</c:v>
                </c:pt>
                <c:pt idx="8">
                  <c:v>4.2998169599999994</c:v>
                </c:pt>
                <c:pt idx="9">
                  <c:v>5.1597803519999994</c:v>
                </c:pt>
              </c:numCache>
            </c:numRef>
          </c:val>
          <c:smooth val="0"/>
          <c:extLst>
            <c:ext xmlns:c16="http://schemas.microsoft.com/office/drawing/2014/chart" uri="{C3380CC4-5D6E-409C-BE32-E72D297353CC}">
              <c16:uniqueId val="{00000001-2651-428C-9DEF-797B74FB89FC}"/>
            </c:ext>
          </c:extLst>
        </c:ser>
        <c:ser>
          <c:idx val="2"/>
          <c:order val="2"/>
          <c:tx>
            <c:v>Tier I High</c:v>
          </c:tx>
          <c:spPr>
            <a:ln w="28575" cap="rnd">
              <a:solidFill>
                <a:srgbClr val="FF0000"/>
              </a:solidFill>
              <a:prstDash val="lgDashDot"/>
              <a:round/>
            </a:ln>
            <a:effectLst/>
          </c:spPr>
          <c:marker>
            <c:symbol val="none"/>
          </c:marker>
          <c:cat>
            <c:numRef>
              <c:f>'price forecasts'!$E$5:$N$5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'price forecasts'!$E$23:$N$23</c:f>
              <c:numCache>
                <c:formatCode>_("$"* #,##0.00_);_("$"* \(#,##0.00\);_("$"* "-"??_);_(@_)</c:formatCode>
                <c:ptCount val="10"/>
                <c:pt idx="0">
                  <c:v>3</c:v>
                </c:pt>
                <c:pt idx="1">
                  <c:v>4</c:v>
                </c:pt>
                <c:pt idx="2">
                  <c:v>5</c:v>
                </c:pt>
                <c:pt idx="3">
                  <c:v>6</c:v>
                </c:pt>
                <c:pt idx="4">
                  <c:v>7</c:v>
                </c:pt>
                <c:pt idx="5">
                  <c:v>8</c:v>
                </c:pt>
                <c:pt idx="6">
                  <c:v>9</c:v>
                </c:pt>
                <c:pt idx="7">
                  <c:v>10</c:v>
                </c:pt>
                <c:pt idx="8">
                  <c:v>10</c:v>
                </c:pt>
                <c:pt idx="9">
                  <c:v>10</c:v>
                </c:pt>
              </c:numCache>
            </c:numRef>
          </c:val>
          <c:smooth val="0"/>
          <c:extLst>
            <c:ext xmlns:c16="http://schemas.microsoft.com/office/drawing/2014/chart" uri="{C3380CC4-5D6E-409C-BE32-E72D297353CC}">
              <c16:uniqueId val="{00000002-2651-428C-9DEF-797B74FB89FC}"/>
            </c:ext>
          </c:extLst>
        </c:ser>
        <c:ser>
          <c:idx val="4"/>
          <c:order val="3"/>
          <c:tx>
            <c:v>Tier 2 Low</c:v>
          </c:tx>
          <c:spPr>
            <a:ln w="28575" cap="rnd">
              <a:solidFill>
                <a:schemeClr val="accent6"/>
              </a:solidFill>
              <a:prstDash val="sysDot"/>
              <a:round/>
            </a:ln>
            <a:effectLst/>
          </c:spPr>
          <c:marker>
            <c:symbol val="none"/>
          </c:marker>
          <c:cat>
            <c:numRef>
              <c:f>'price forecasts'!$E$5:$N$5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'price forecasts'!$E$25:$N$25</c:f>
              <c:numCache>
                <c:formatCode>_("$"* #,##0.00_);_("$"* \(#,##0.00\);_("$"* "-"??_);_(@_)</c:formatCode>
                <c:ptCount val="10"/>
                <c:pt idx="0">
                  <c:v>4</c:v>
                </c:pt>
                <c:pt idx="1">
                  <c:v>8</c:v>
                </c:pt>
                <c:pt idx="2">
                  <c:v>10</c:v>
                </c:pt>
                <c:pt idx="3">
                  <c:v>12</c:v>
                </c:pt>
                <c:pt idx="4">
                  <c:v>15</c:v>
                </c:pt>
                <c:pt idx="5">
                  <c:v>15</c:v>
                </c:pt>
                <c:pt idx="6">
                  <c:v>15</c:v>
                </c:pt>
                <c:pt idx="7">
                  <c:v>15</c:v>
                </c:pt>
                <c:pt idx="8">
                  <c:v>15</c:v>
                </c:pt>
                <c:pt idx="9">
                  <c:v>15</c:v>
                </c:pt>
              </c:numCache>
            </c:numRef>
          </c:val>
          <c:smooth val="0"/>
          <c:extLst>
            <c:ext xmlns:c16="http://schemas.microsoft.com/office/drawing/2014/chart" uri="{C3380CC4-5D6E-409C-BE32-E72D297353CC}">
              <c16:uniqueId val="{00000004-2651-428C-9DEF-797B74FB89FC}"/>
            </c:ext>
          </c:extLst>
        </c:ser>
        <c:ser>
          <c:idx val="5"/>
          <c:order val="4"/>
          <c:tx>
            <c:v>Tier 2 Base</c:v>
          </c:tx>
          <c:spPr>
            <a:ln w="28575" cap="rnd">
              <a:solidFill>
                <a:schemeClr val="accent6"/>
              </a:solidFill>
              <a:round/>
            </a:ln>
            <a:effectLst/>
          </c:spPr>
          <c:marker>
            <c:symbol val="none"/>
          </c:marker>
          <c:cat>
            <c:numRef>
              <c:f>'price forecasts'!$E$5:$N$5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'price forecasts'!$E$26:$N$26</c:f>
              <c:numCache>
                <c:formatCode>_("$"* #,##0.00_);_("$"* \(#,##0.00\);_("$"* "-"??_);_(@_)</c:formatCode>
                <c:ptCount val="10"/>
                <c:pt idx="0">
                  <c:v>7</c:v>
                </c:pt>
                <c:pt idx="1">
                  <c:v>13</c:v>
                </c:pt>
                <c:pt idx="2">
                  <c:v>19</c:v>
                </c:pt>
                <c:pt idx="3">
                  <c:v>22</c:v>
                </c:pt>
                <c:pt idx="4">
                  <c:v>23</c:v>
                </c:pt>
                <c:pt idx="5">
                  <c:v>24</c:v>
                </c:pt>
                <c:pt idx="6">
                  <c:v>24</c:v>
                </c:pt>
                <c:pt idx="7">
                  <c:v>24</c:v>
                </c:pt>
                <c:pt idx="8">
                  <c:v>24</c:v>
                </c:pt>
                <c:pt idx="9">
                  <c:v>24</c:v>
                </c:pt>
              </c:numCache>
            </c:numRef>
          </c:val>
          <c:smooth val="0"/>
          <c:extLst>
            <c:ext xmlns:c16="http://schemas.microsoft.com/office/drawing/2014/chart" uri="{C3380CC4-5D6E-409C-BE32-E72D297353CC}">
              <c16:uniqueId val="{00000005-2651-428C-9DEF-797B74FB89FC}"/>
            </c:ext>
          </c:extLst>
        </c:ser>
        <c:ser>
          <c:idx val="6"/>
          <c:order val="5"/>
          <c:tx>
            <c:v>Tier 2 High</c:v>
          </c:tx>
          <c:spPr>
            <a:ln w="28575" cap="rnd">
              <a:solidFill>
                <a:schemeClr val="accent6"/>
              </a:solidFill>
              <a:prstDash val="lgDashDot"/>
              <a:round/>
            </a:ln>
            <a:effectLst/>
          </c:spPr>
          <c:marker>
            <c:symbol val="none"/>
          </c:marker>
          <c:cat>
            <c:numRef>
              <c:f>'price forecasts'!$E$5:$N$5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'price forecasts'!$E$27:$N$27</c:f>
              <c:numCache>
                <c:formatCode>_("$"* #,##0.00_);_("$"* \(#,##0.00\);_("$"* "-"??_);_(@_)</c:formatCode>
                <c:ptCount val="10"/>
                <c:pt idx="0">
                  <c:v>25</c:v>
                </c:pt>
                <c:pt idx="1">
                  <c:v>30</c:v>
                </c:pt>
                <c:pt idx="2">
                  <c:v>32</c:v>
                </c:pt>
                <c:pt idx="3">
                  <c:v>35</c:v>
                </c:pt>
                <c:pt idx="4">
                  <c:v>37</c:v>
                </c:pt>
                <c:pt idx="5">
                  <c:v>40</c:v>
                </c:pt>
                <c:pt idx="6">
                  <c:v>40</c:v>
                </c:pt>
                <c:pt idx="7">
                  <c:v>40</c:v>
                </c:pt>
                <c:pt idx="8">
                  <c:v>40</c:v>
                </c:pt>
                <c:pt idx="9">
                  <c:v>40</c:v>
                </c:pt>
              </c:numCache>
            </c:numRef>
          </c:val>
          <c:smooth val="0"/>
          <c:extLst>
            <c:ext xmlns:c16="http://schemas.microsoft.com/office/drawing/2014/chart" uri="{C3380CC4-5D6E-409C-BE32-E72D297353CC}">
              <c16:uniqueId val="{00000006-2651-428C-9DEF-797B74FB89FC}"/>
            </c:ext>
          </c:extLst>
        </c:ser>
        <c:dLbls>
          <c:showLegendKey val="0"/>
          <c:showVal val="0"/>
          <c:showCatName val="0"/>
          <c:showSerName val="0"/>
          <c:showPercent val="0"/>
          <c:showBubbleSize val="0"/>
        </c:dLbls>
        <c:smooth val="0"/>
        <c:axId val="427588096"/>
        <c:axId val="427591048"/>
      </c:lineChart>
      <c:catAx>
        <c:axId val="427588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7591048"/>
        <c:crosses val="autoZero"/>
        <c:auto val="1"/>
        <c:lblAlgn val="ctr"/>
        <c:lblOffset val="100"/>
        <c:noMultiLvlLbl val="0"/>
      </c:catAx>
      <c:valAx>
        <c:axId val="42759104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7588096"/>
        <c:crosses val="autoZero"/>
        <c:crossBetween val="between"/>
      </c:valAx>
      <c:spPr>
        <a:noFill/>
        <a:ln>
          <a:noFill/>
        </a:ln>
        <a:effectLst/>
      </c:spPr>
    </c:plotArea>
    <c:legend>
      <c:legendPos val="b"/>
      <c:layout>
        <c:manualLayout>
          <c:xMode val="edge"/>
          <c:yMode val="edge"/>
          <c:x val="0.17556056205503098"/>
          <c:y val="0.89612529076519643"/>
          <c:w val="0.52667687506672844"/>
          <c:h val="9.58586788572044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1200" verticalDpi="12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215660</xdr:colOff>
      <xdr:row>1</xdr:row>
      <xdr:rowOff>0</xdr:rowOff>
    </xdr:from>
    <xdr:to>
      <xdr:col>16</xdr:col>
      <xdr:colOff>43132</xdr:colOff>
      <xdr:row>33</xdr:row>
      <xdr:rowOff>103517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5660" y="181155"/>
          <a:ext cx="9765102" cy="5900468"/>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u="none"/>
            <a:t>This</a:t>
          </a:r>
          <a:r>
            <a:rPr lang="en-US" sz="1100" b="0" u="none" baseline="0"/>
            <a:t> model is intended to address the projection requirements of the annual RES report.  For background and context, the requirements of the report are included.  The Department is open to feedback on all aspects of the model and assumptions, but would like to highlight the topics below as areas that we are most interested in getting feedback on.  </a:t>
          </a:r>
          <a:endParaRPr lang="en-US" sz="1100" b="0" u="none"/>
        </a:p>
        <a:p>
          <a:endParaRPr lang="en-US" sz="1100" b="1" u="sng"/>
        </a:p>
        <a:p>
          <a:r>
            <a:rPr lang="en-US" sz="1100" b="1" u="sng"/>
            <a:t>30 V.S.A S8005b Renewable</a:t>
          </a:r>
          <a:r>
            <a:rPr lang="en-US" sz="1100" b="1" u="sng" baseline="0"/>
            <a:t> energy programs; reports</a:t>
          </a:r>
        </a:p>
        <a:p>
          <a:r>
            <a:rPr lang="en-US" sz="1100" b="1" u="sng"/>
            <a:t>(b)</a:t>
          </a:r>
          <a:r>
            <a:rPr lang="en-US" sz="1100" b="1" u="sng" baseline="0"/>
            <a:t> Annual RES Report</a:t>
          </a:r>
        </a:p>
        <a:p>
          <a:r>
            <a:rPr lang="en-US" sz="1100" b="0" u="none" baseline="0"/>
            <a:t>(2) Projections, looking at least 10 years ahead, of the impacts of the RES.</a:t>
          </a:r>
        </a:p>
        <a:p>
          <a:r>
            <a:rPr lang="en-US" sz="1100" b="0" u="none" baseline="0"/>
            <a:t>	(A) The Department shall employ an economic model to make these projections, to be known as the Consolidated RES Model, and shall consider at least 	three scenarios based on high, mid-range, and low energy price forecasts.</a:t>
          </a:r>
        </a:p>
        <a:p>
          <a:r>
            <a:rPr lang="en-US" sz="1100" b="0" u="none" baseline="0"/>
            <a:t>	(B) The Department shall make the model and associated documents available on the Department's websit</a:t>
          </a:r>
        </a:p>
        <a:p>
          <a:r>
            <a:rPr lang="en-US" sz="1100" b="0" u="none" baseline="0"/>
            <a:t>	(C) In preparing these projections, the Department shall:</a:t>
          </a:r>
        </a:p>
        <a:p>
          <a:pPr lvl="1"/>
          <a:r>
            <a:rPr lang="en-US" sz="1100" b="0" u="none" baseline="0"/>
            <a:t>		(i) characterize each of the model's assumptions according to level of certainty, with the levels being high, medium and low; </a:t>
          </a:r>
        </a:p>
        <a:p>
          <a:r>
            <a:rPr lang="en-US" sz="1100" b="0" u="none" baseline="0"/>
            <a:t>		(ii) provide an opportunity for public comment.</a:t>
          </a:r>
        </a:p>
        <a:p>
          <a:r>
            <a:rPr lang="en-US" sz="1100" b="0" u="none" baseline="0"/>
            <a:t>	(D) The Department shall project, for the State, the impact of the RES in each of the following areas: electric utility rates; total energy consumption; 	electric energy consumption; fossil fuel consumption; and greenhouse gas emissions.  The report shall compare the amount or level in each of these 	areas with and without the program</a:t>
          </a:r>
          <a:endParaRPr lang="en-US" sz="1100" b="0" u="none"/>
        </a:p>
        <a:p>
          <a:endParaRPr lang="en-US" sz="1100" b="1" u="sng"/>
        </a:p>
        <a:p>
          <a:r>
            <a:rPr lang="en-US" sz="1100" b="1" u="sng"/>
            <a:t>Stakeholder Feedback--</a:t>
          </a:r>
          <a:r>
            <a:rPr lang="en-US" sz="1100" b="1" u="sng" baseline="0"/>
            <a:t> Areas of focus</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*Tier III costs- Tier III incentive rates could be developed assuming that consumers make economic decisions based on the life of a measure. However,</a:t>
          </a:r>
          <a:r>
            <a:rPr lang="en-US" sz="1100" baseline="0">
              <a:solidFill>
                <a:schemeClr val="dk1"/>
              </a:solidFill>
              <a:effectLst/>
              <a:latin typeface="+mn-lt"/>
              <a:ea typeface="+mn-ea"/>
              <a:cs typeface="+mn-cs"/>
            </a:rPr>
            <a:t> i</a:t>
          </a:r>
          <a:r>
            <a:rPr lang="en-US" sz="1100">
              <a:solidFill>
                <a:schemeClr val="dk1"/>
              </a:solidFill>
              <a:effectLst/>
              <a:latin typeface="+mn-lt"/>
              <a:ea typeface="+mn-ea"/>
              <a:cs typeface="+mn-cs"/>
            </a:rPr>
            <a:t>n reality, consumers are more shortsighted and need to realize a shorter payback than the life of a project.  Therefore, Tier III incentives are not based on economic payback</a:t>
          </a:r>
          <a:r>
            <a:rPr lang="en-US" sz="1100" baseline="0">
              <a:solidFill>
                <a:schemeClr val="dk1"/>
              </a:solidFill>
              <a:effectLst/>
              <a:latin typeface="+mn-lt"/>
              <a:ea typeface="+mn-ea"/>
              <a:cs typeface="+mn-cs"/>
            </a:rPr>
            <a:t> analysis</a:t>
          </a:r>
          <a:r>
            <a:rPr lang="en-US" sz="1100">
              <a:solidFill>
                <a:schemeClr val="dk1"/>
              </a:solidFill>
              <a:effectLst/>
              <a:latin typeface="+mn-lt"/>
              <a:ea typeface="+mn-ea"/>
              <a:cs typeface="+mn-cs"/>
            </a:rPr>
            <a:t>, but instead are set at a level of that will stimulate deployment of each measure.  Also included in Tier III costs is</a:t>
          </a:r>
          <a:r>
            <a:rPr lang="en-US" sz="1100" baseline="0">
              <a:solidFill>
                <a:schemeClr val="dk1"/>
              </a:solidFill>
              <a:effectLst/>
              <a:latin typeface="+mn-lt"/>
              <a:ea typeface="+mn-ea"/>
              <a:cs typeface="+mn-cs"/>
            </a:rPr>
            <a:t> overhead and adminstrative costs.  </a:t>
          </a:r>
          <a:r>
            <a:rPr lang="en-US" sz="1100">
              <a:solidFill>
                <a:schemeClr val="dk1"/>
              </a:solidFill>
              <a:effectLst/>
              <a:latin typeface="+mn-lt"/>
              <a:ea typeface="+mn-ea"/>
              <a:cs typeface="+mn-cs"/>
            </a:rPr>
            <a:t>Feedback</a:t>
          </a:r>
          <a:r>
            <a:rPr lang="en-US" sz="1100" baseline="0">
              <a:solidFill>
                <a:schemeClr val="dk1"/>
              </a:solidFill>
              <a:effectLst/>
              <a:latin typeface="+mn-lt"/>
              <a:ea typeface="+mn-ea"/>
              <a:cs typeface="+mn-cs"/>
            </a:rPr>
            <a:t> on the appropriate total cost (incentive plus fees) by measure would be useful. </a:t>
          </a:r>
          <a:r>
            <a:rPr lang="en-US" sz="1100">
              <a:solidFill>
                <a:schemeClr val="dk1"/>
              </a:solidFill>
              <a:effectLst/>
              <a:latin typeface="+mn-lt"/>
              <a:ea typeface="+mn-ea"/>
              <a:cs typeface="+mn-cs"/>
            </a:rPr>
            <a:t>  </a:t>
          </a:r>
          <a:endParaRPr lang="en-US">
            <a:effectLst/>
          </a:endParaRPr>
        </a:p>
        <a:p>
          <a:endParaRPr lang="en-US" sz="1100"/>
        </a:p>
        <a:p>
          <a:r>
            <a:rPr lang="en-US" sz="1100"/>
            <a:t>*Emissions- What is the appropriate emissions rate to use in calculating emissions reductions resulting from RES and what</a:t>
          </a:r>
          <a:r>
            <a:rPr lang="en-US" sz="1100" baseline="0"/>
            <a:t> level of emissions is appropriate for "business as usual"</a:t>
          </a:r>
          <a:r>
            <a:rPr lang="en-US" sz="1100"/>
            <a:t>?  The</a:t>
          </a:r>
          <a:r>
            <a:rPr lang="en-US" sz="1100" baseline="0"/>
            <a:t> most recent ISO-NE system emissions results</a:t>
          </a:r>
          <a:r>
            <a:rPr lang="en-US" sz="1100"/>
            <a:t> presented</a:t>
          </a:r>
          <a:r>
            <a:rPr lang="en-US" sz="1100" baseline="0"/>
            <a:t> the 2016 system wide average emission rate (710 lbs/MWh), marginal emissions rate for emitting marginal units (1,007 lbs/MWh) and a marginal emissions rate for all marginal units (842 lbs/MWh).  Additionally, in 2016 the NEPOOL GIS residual mix had an emissions rate of 2,905 lbs/ MWh. Before the implementation of RES, in 2016 Vermont's resource mix was 48% non-fossil fuel-- should it be assumed that only 52% of Vermont's mix would be emitting without RES, or should all load be assigned an emissions rate?     </a:t>
          </a:r>
          <a:endParaRPr lang="en-US" sz="1100"/>
        </a:p>
        <a:p>
          <a:endParaRPr lang="en-US" sz="1100"/>
        </a:p>
        <a:p>
          <a:r>
            <a:rPr lang="en-US" sz="1100"/>
            <a:t>*Net</a:t>
          </a:r>
          <a:r>
            <a:rPr lang="en-US" sz="1100" baseline="0"/>
            <a:t> Metering Installations</a:t>
          </a:r>
          <a:r>
            <a:rPr lang="en-US" sz="1100"/>
            <a:t>- PSD developed 3 forecasts for installed NM, and included the most recent VELCO LRTP forecast for context.  We recognize that NM has</a:t>
          </a:r>
          <a:r>
            <a:rPr lang="en-US" sz="1100" baseline="0"/>
            <a:t> significant impacts on RES costs and requirements, and are interested in stakeholder input on the </a:t>
          </a:r>
          <a:r>
            <a:rPr lang="en-US" sz="1100"/>
            <a:t>appropriate NM path to assume.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75481</xdr:colOff>
      <xdr:row>25</xdr:row>
      <xdr:rowOff>46367</xdr:rowOff>
    </xdr:from>
    <xdr:to>
      <xdr:col>27</xdr:col>
      <xdr:colOff>47624</xdr:colOff>
      <xdr:row>47</xdr:row>
      <xdr:rowOff>130968</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657764</xdr:colOff>
      <xdr:row>61</xdr:row>
      <xdr:rowOff>86263</xdr:rowOff>
    </xdr:from>
    <xdr:to>
      <xdr:col>7</xdr:col>
      <xdr:colOff>962120</xdr:colOff>
      <xdr:row>92</xdr:row>
      <xdr:rowOff>161743</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rotWithShape="1">
        <a:blip xmlns:r="http://schemas.openxmlformats.org/officeDocument/2006/relationships" r:embed="rId2"/>
        <a:srcRect l="12089" t="15724" r="26524" b="8479"/>
        <a:stretch/>
      </xdr:blipFill>
      <xdr:spPr>
        <a:xfrm>
          <a:off x="657764" y="10168386"/>
          <a:ext cx="8290754" cy="57581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199485</xdr:colOff>
      <xdr:row>5</xdr:row>
      <xdr:rowOff>86128</xdr:rowOff>
    </xdr:from>
    <xdr:to>
      <xdr:col>44</xdr:col>
      <xdr:colOff>11906</xdr:colOff>
      <xdr:row>41</xdr:row>
      <xdr:rowOff>79658</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970244</xdr:colOff>
      <xdr:row>51</xdr:row>
      <xdr:rowOff>32887</xdr:rowOff>
    </xdr:from>
    <xdr:to>
      <xdr:col>14</xdr:col>
      <xdr:colOff>488156</xdr:colOff>
      <xdr:row>75</xdr:row>
      <xdr:rowOff>166687</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1017983</xdr:colOff>
      <xdr:row>79</xdr:row>
      <xdr:rowOff>92867</xdr:rowOff>
    </xdr:from>
    <xdr:to>
      <xdr:col>14</xdr:col>
      <xdr:colOff>511969</xdr:colOff>
      <xdr:row>105</xdr:row>
      <xdr:rowOff>166687</xdr:rowOff>
    </xdr:to>
    <xdr:graphicFrame macro="">
      <xdr:nvGraphicFramePr>
        <xdr:cNvPr id="4" name="Chart 3">
          <a:extLst>
            <a:ext uri="{FF2B5EF4-FFF2-40B4-BE49-F238E27FC236}">
              <a16:creationId xmlns:a16="http://schemas.microsoft.com/office/drawing/2014/main" id="{EB2EBA6F-A46B-4369-A64D-16B85CC5BA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194093</xdr:colOff>
      <xdr:row>10</xdr:row>
      <xdr:rowOff>10784</xdr:rowOff>
    </xdr:from>
    <xdr:to>
      <xdr:col>4</xdr:col>
      <xdr:colOff>506800</xdr:colOff>
      <xdr:row>12</xdr:row>
      <xdr:rowOff>53915</xdr:rowOff>
    </xdr:to>
    <xdr:sp macro="" textlink="">
      <xdr:nvSpPr>
        <xdr:cNvPr id="2" name="Right Arrow 1">
          <a:extLst>
            <a:ext uri="{FF2B5EF4-FFF2-40B4-BE49-F238E27FC236}">
              <a16:creationId xmlns:a16="http://schemas.microsoft.com/office/drawing/2014/main" id="{00000000-0008-0000-0800-000002000000}"/>
            </a:ext>
          </a:extLst>
        </xdr:cNvPr>
        <xdr:cNvSpPr/>
      </xdr:nvSpPr>
      <xdr:spPr>
        <a:xfrm>
          <a:off x="3245687" y="1940944"/>
          <a:ext cx="938123" cy="40975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700895</xdr:colOff>
      <xdr:row>9</xdr:row>
      <xdr:rowOff>21566</xdr:rowOff>
    </xdr:from>
    <xdr:to>
      <xdr:col>7</xdr:col>
      <xdr:colOff>948905</xdr:colOff>
      <xdr:row>15</xdr:row>
      <xdr:rowOff>75480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5208198" y="1682151"/>
          <a:ext cx="3321170" cy="12400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2016, the final year before RES compliance began, Vermont's energy was sourced from 48% non-fossil fuels and 52% ISO-NE system mix.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366622</xdr:colOff>
      <xdr:row>8</xdr:row>
      <xdr:rowOff>312708</xdr:rowOff>
    </xdr:from>
    <xdr:to>
      <xdr:col>21</xdr:col>
      <xdr:colOff>312706</xdr:colOff>
      <xdr:row>53</xdr:row>
      <xdr:rowOff>188254</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rotWithShape="1">
        <a:blip xmlns:r="http://schemas.openxmlformats.org/officeDocument/2006/relationships" r:embed="rId1"/>
        <a:srcRect l="22407" t="10273" r="39321" b="8584"/>
        <a:stretch/>
      </xdr:blipFill>
      <xdr:spPr>
        <a:xfrm>
          <a:off x="14007141" y="3763274"/>
          <a:ext cx="6998179" cy="83460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ublicservice.vermont.gov/PSD/PSD%20-%20UserSwap/JWoodward/Analysis/RE%20Policy/Rates%20&amp;%20Bills/btm_gen_av_cost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ublicservice.vermont.gov/PSD/PSD%20-%20UserSwap/MFischer/Legislative%20Reports/Section%208005b(b)%20Annual%20Report/2018_jwoodward/Consolidated%20RES%20Model%20201801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ublicservice.vermont.gov/PSD/PSD%20-%20UserSwap/JWoodward/Legislative%20Reports/Section%208005b(b)%20Annual%20Report/2018/tier3possibilit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ser_inputs"/>
      <sheetName val="outputs"/>
      <sheetName val="avd_costs"/>
      <sheetName val="baseline"/>
      <sheetName val="op&amp;prog_cap"/>
      <sheetName val=" avd_lmp&amp;rec"/>
      <sheetName val="avd_cap"/>
      <sheetName val="lmp_hist"/>
      <sheetName val="gen_profile"/>
      <sheetName val="rns"/>
    </sheetNames>
    <sheetDataSet>
      <sheetData sheetId="0"/>
      <sheetData sheetId="1">
        <row r="2">
          <cell r="A2">
            <v>0.14000000000000001</v>
          </cell>
        </row>
        <row r="50">
          <cell r="A50">
            <v>0.09</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nergy$"/>
      <sheetName val="rates"/>
      <sheetName val="CCHP"/>
      <sheetName val="EV"/>
      <sheetName val="ELC WS"/>
      <sheetName val="T1&amp;2"/>
      <sheetName val="RE gen"/>
      <sheetName val="COS"/>
      <sheetName val="load"/>
      <sheetName val="LRTP"/>
      <sheetName val="SO"/>
      <sheetName val="NM"/>
      <sheetName val="obl"/>
      <sheetName val="ACP"/>
      <sheetName val="AEO"/>
      <sheetName val="report1"/>
      <sheetName val="report2"/>
      <sheetName val="report3"/>
      <sheetName val="report4"/>
      <sheetName val="report5"/>
      <sheetName val="report6"/>
    </sheetNames>
    <sheetDataSet>
      <sheetData sheetId="0"/>
      <sheetData sheetId="1">
        <row r="1">
          <cell r="A1">
            <v>1.9E-2</v>
          </cell>
        </row>
        <row r="2">
          <cell r="A2">
            <v>0.06</v>
          </cell>
        </row>
        <row r="3">
          <cell r="A3">
            <v>180</v>
          </cell>
        </row>
        <row r="4">
          <cell r="A4">
            <v>0.02</v>
          </cell>
        </row>
        <row r="5">
          <cell r="A5">
            <v>18</v>
          </cell>
        </row>
        <row r="6">
          <cell r="A6">
            <v>20</v>
          </cell>
        </row>
        <row r="7">
          <cell r="A7">
            <v>5.0000000000000001E-3</v>
          </cell>
        </row>
        <row r="8">
          <cell r="A8">
            <v>5.0000000000000001E-3</v>
          </cell>
        </row>
        <row r="10">
          <cell r="A10">
            <v>-0.2</v>
          </cell>
        </row>
        <row r="11">
          <cell r="A11">
            <v>0.2</v>
          </cell>
        </row>
        <row r="13">
          <cell r="A13" t="str">
            <v>high</v>
          </cell>
          <cell r="C13">
            <v>21.707999999999995</v>
          </cell>
        </row>
        <row r="14">
          <cell r="C14">
            <v>24.119999999999997</v>
          </cell>
        </row>
      </sheetData>
      <sheetData sheetId="2"/>
      <sheetData sheetId="3">
        <row r="13">
          <cell r="C13">
            <v>2</v>
          </cell>
        </row>
        <row r="15">
          <cell r="C15">
            <v>0.2</v>
          </cell>
        </row>
        <row r="17">
          <cell r="C17">
            <v>24.429104785921233</v>
          </cell>
        </row>
        <row r="20">
          <cell r="C20">
            <v>1.1000000000000001</v>
          </cell>
        </row>
        <row r="21">
          <cell r="C21">
            <v>1.05</v>
          </cell>
        </row>
        <row r="22">
          <cell r="C22">
            <v>3</v>
          </cell>
        </row>
        <row r="23">
          <cell r="C23">
            <v>3</v>
          </cell>
        </row>
      </sheetData>
      <sheetData sheetId="4">
        <row r="3">
          <cell r="B3">
            <v>25000</v>
          </cell>
          <cell r="C3">
            <v>35000</v>
          </cell>
        </row>
        <row r="4">
          <cell r="B4">
            <v>0</v>
          </cell>
          <cell r="C4">
            <v>-0.03</v>
          </cell>
        </row>
        <row r="6">
          <cell r="B6">
            <v>47.889328063241109</v>
          </cell>
        </row>
        <row r="8">
          <cell r="B8">
            <v>173.73333333333335</v>
          </cell>
          <cell r="C8">
            <v>35.266666666666666</v>
          </cell>
        </row>
        <row r="9">
          <cell r="C9">
            <v>3.3333333333333335</v>
          </cell>
        </row>
        <row r="10">
          <cell r="C10">
            <v>36.921693553194785</v>
          </cell>
        </row>
        <row r="12">
          <cell r="C12">
            <v>1.1000000000000001</v>
          </cell>
        </row>
        <row r="13">
          <cell r="C13">
            <v>3</v>
          </cell>
        </row>
        <row r="14">
          <cell r="C14">
            <v>3</v>
          </cell>
        </row>
      </sheetData>
      <sheetData sheetId="5">
        <row r="1">
          <cell r="A1">
            <v>5.0000000000000001E-3</v>
          </cell>
          <cell r="K1">
            <v>0.09</v>
          </cell>
        </row>
        <row r="2">
          <cell r="A2">
            <v>1.9E-2</v>
          </cell>
        </row>
        <row r="3">
          <cell r="A3">
            <v>1.3</v>
          </cell>
        </row>
        <row r="4">
          <cell r="A4">
            <v>0</v>
          </cell>
        </row>
        <row r="20">
          <cell r="H20">
            <v>-1.2076999606314143E-4</v>
          </cell>
        </row>
      </sheetData>
      <sheetData sheetId="6">
        <row r="1">
          <cell r="M1" t="str">
            <v>low</v>
          </cell>
        </row>
      </sheetData>
      <sheetData sheetId="7">
        <row r="1">
          <cell r="B1">
            <v>1</v>
          </cell>
          <cell r="I1">
            <v>0.02</v>
          </cell>
        </row>
        <row r="2">
          <cell r="I2">
            <v>0.02</v>
          </cell>
        </row>
        <row r="3">
          <cell r="B3">
            <v>111.5</v>
          </cell>
        </row>
        <row r="6">
          <cell r="J6">
            <v>1</v>
          </cell>
          <cell r="K6">
            <v>111.5</v>
          </cell>
        </row>
        <row r="7">
          <cell r="J7">
            <v>1.02</v>
          </cell>
          <cell r="K7">
            <v>113.73</v>
          </cell>
        </row>
        <row r="8">
          <cell r="J8">
            <v>1.0404</v>
          </cell>
          <cell r="K8">
            <v>116.00460000000001</v>
          </cell>
        </row>
        <row r="9">
          <cell r="J9">
            <v>1.0612079999999999</v>
          </cell>
          <cell r="K9">
            <v>118.32469200000001</v>
          </cell>
        </row>
        <row r="10">
          <cell r="J10">
            <v>1.08243216</v>
          </cell>
          <cell r="K10">
            <v>120.69118584000002</v>
          </cell>
        </row>
        <row r="11">
          <cell r="J11">
            <v>1.1040808032</v>
          </cell>
          <cell r="K11">
            <v>123.10500955680001</v>
          </cell>
        </row>
        <row r="12">
          <cell r="J12">
            <v>1.1261624192640001</v>
          </cell>
          <cell r="K12">
            <v>125.56710974793602</v>
          </cell>
        </row>
        <row r="13">
          <cell r="J13">
            <v>1.14868566764928</v>
          </cell>
          <cell r="K13">
            <v>128.07845194289473</v>
          </cell>
        </row>
        <row r="14">
          <cell r="J14">
            <v>1.1716593810022657</v>
          </cell>
          <cell r="K14">
            <v>130.64002098175263</v>
          </cell>
        </row>
        <row r="15">
          <cell r="J15">
            <v>1.1950925686223111</v>
          </cell>
          <cell r="K15">
            <v>133.25282140138768</v>
          </cell>
        </row>
      </sheetData>
      <sheetData sheetId="8">
        <row r="3">
          <cell r="J3">
            <v>0.5</v>
          </cell>
          <cell r="K3">
            <v>0.5</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possible"/>
    </sheetNames>
    <sheetDataSet>
      <sheetData sheetId="0">
        <row r="17">
          <cell r="A17">
            <v>24.429104785921233</v>
          </cell>
        </row>
        <row r="38">
          <cell r="A38">
            <v>14.453726894874265</v>
          </cell>
        </row>
      </sheetData>
    </sheetDataSet>
  </externalBook>
</externalLink>
</file>

<file path=xl/persons/person.xml><?xml version="1.0" encoding="utf-8"?>
<personList xmlns="http://schemas.microsoft.com/office/spreadsheetml/2018/threadedcomments" xmlns:x="http://schemas.openxmlformats.org/spreadsheetml/2006/main">
  <person displayName="Fischer, Maria" id="{F2A163FD-180C-4A50-8293-BE9D91599E64}" userId="S::Maria.Fischer@vermont.gov::5e0e0bef-e993-4b9b-a0c4-80d4e26dead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 dT="2019-01-03T17:42:30.57" personId="{F2A163FD-180C-4A50-8293-BE9D91599E64}" id="{2D5082E3-CDF3-4D36-A401-8E9D1C75FDA4}">
    <text>These values were set with a trial and error method—low FF has incentives for CCHP and EVs around $1000, and high FF has incentives around $500 per unit, which seem like reasonable per measure incentives.</text>
  </threadedComment>
  <threadedComment ref="G6" dT="2018-12-27T20:18:29.14" personId="{F2A163FD-180C-4A50-8293-BE9D91599E64}" id="{4774CEDB-B83C-4DBA-AC5C-52F2327F202F}">
    <text>29 kwh of additional load per MWh of claimed savings based on VEC 2017 actual</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90" zoomScaleNormal="90" workbookViewId="0">
      <selection activeCell="Q37" sqref="Q37"/>
    </sheetView>
  </sheetViews>
  <sheetFormatPr defaultRowHeight="14.4"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50"/>
  <sheetViews>
    <sheetView topLeftCell="A70" zoomScale="80" zoomScaleNormal="80" workbookViewId="0">
      <selection activeCell="AH94" sqref="AH94"/>
    </sheetView>
  </sheetViews>
  <sheetFormatPr defaultRowHeight="14.4" x14ac:dyDescent="0.3"/>
  <cols>
    <col min="1" max="1" width="15.6640625" bestFit="1" customWidth="1"/>
    <col min="2" max="2" width="24" customWidth="1"/>
    <col min="5" max="13" width="9.5546875" bestFit="1" customWidth="1"/>
    <col min="14" max="14" width="9.5546875" customWidth="1"/>
    <col min="15" max="15" width="9.5546875" bestFit="1" customWidth="1"/>
    <col min="16" max="25" width="0" hidden="1" customWidth="1"/>
    <col min="26" max="27" width="9.109375" hidden="1" customWidth="1"/>
    <col min="28" max="29" width="0" hidden="1" customWidth="1"/>
  </cols>
  <sheetData>
    <row r="1" spans="1:31" x14ac:dyDescent="0.3">
      <c r="A1" s="197" t="s">
        <v>184</v>
      </c>
      <c r="B1" s="198" t="str">
        <f>FF_scenario</f>
        <v>MID</v>
      </c>
    </row>
    <row r="2" spans="1:31" x14ac:dyDescent="0.3">
      <c r="A2" s="199" t="s">
        <v>205</v>
      </c>
      <c r="B2" s="200" t="str">
        <f>REC_scenario</f>
        <v>MID</v>
      </c>
    </row>
    <row r="3" spans="1:31" ht="15" thickBot="1" x14ac:dyDescent="0.35">
      <c r="A3" s="201" t="s">
        <v>187</v>
      </c>
      <c r="B3" s="202">
        <f>1+SUMIF(assumptions!E16:E18,FF_scenario,assumptions!D16:D18)-Mid_FF_esc</f>
        <v>1</v>
      </c>
    </row>
    <row r="5" spans="1:31" x14ac:dyDescent="0.3">
      <c r="E5" s="20">
        <v>2018</v>
      </c>
      <c r="F5" s="20">
        <v>2019</v>
      </c>
      <c r="G5" s="20">
        <v>2020</v>
      </c>
      <c r="H5" s="20">
        <v>2021</v>
      </c>
      <c r="I5" s="20">
        <v>2022</v>
      </c>
      <c r="J5" s="20">
        <v>2023</v>
      </c>
      <c r="K5" s="20">
        <v>2024</v>
      </c>
      <c r="L5" s="20">
        <v>2025</v>
      </c>
      <c r="M5" s="20">
        <v>2026</v>
      </c>
      <c r="N5" s="20">
        <v>2027</v>
      </c>
      <c r="O5" s="20">
        <v>2028</v>
      </c>
      <c r="P5" s="20">
        <v>2029</v>
      </c>
      <c r="Q5" s="20">
        <v>2030</v>
      </c>
      <c r="R5" s="20">
        <v>2031</v>
      </c>
      <c r="S5" s="20">
        <v>2032</v>
      </c>
      <c r="T5" s="20">
        <v>2033</v>
      </c>
      <c r="U5" s="20">
        <v>2034</v>
      </c>
      <c r="V5" s="20">
        <v>2035</v>
      </c>
      <c r="W5" s="20">
        <v>2036</v>
      </c>
      <c r="X5" s="20">
        <v>2037</v>
      </c>
      <c r="Y5" s="20">
        <v>2038</v>
      </c>
      <c r="Z5" s="20">
        <v>2039</v>
      </c>
      <c r="AA5" s="20">
        <v>2040</v>
      </c>
      <c r="AB5" s="20">
        <v>2041</v>
      </c>
      <c r="AC5" s="20">
        <v>2042</v>
      </c>
      <c r="AE5" t="s">
        <v>89</v>
      </c>
    </row>
    <row r="6" spans="1:31" x14ac:dyDescent="0.3">
      <c r="A6" s="140" t="s">
        <v>178</v>
      </c>
      <c r="B6" s="33" t="s">
        <v>65</v>
      </c>
      <c r="C6" s="37" t="s">
        <v>66</v>
      </c>
      <c r="D6" s="37"/>
      <c r="E6" s="38">
        <v>43.178987828279404</v>
      </c>
      <c r="F6" s="38">
        <v>42.955770339127724</v>
      </c>
      <c r="G6" s="38">
        <v>43.801029013475187</v>
      </c>
      <c r="H6" s="38">
        <v>45.202069285072376</v>
      </c>
      <c r="I6" s="38">
        <v>45.062176757271608</v>
      </c>
      <c r="J6" s="38">
        <v>44.681023742493089</v>
      </c>
      <c r="K6" s="38">
        <v>48.083659718509608</v>
      </c>
      <c r="L6" s="38">
        <v>46.783185588111948</v>
      </c>
      <c r="M6" s="38">
        <v>47.706940041741859</v>
      </c>
      <c r="N6" s="38">
        <v>49.793009360746119</v>
      </c>
      <c r="O6" s="38">
        <v>50.861791590472727</v>
      </c>
      <c r="P6" s="38"/>
      <c r="Q6" s="38"/>
      <c r="R6" s="38"/>
      <c r="S6" s="38"/>
      <c r="T6" s="38"/>
      <c r="U6" s="38"/>
      <c r="V6" s="38"/>
      <c r="W6" s="38"/>
      <c r="X6" s="38"/>
      <c r="Y6" s="38"/>
      <c r="Z6" s="38"/>
      <c r="AA6" s="38"/>
      <c r="AB6" s="38"/>
      <c r="AC6" s="38"/>
      <c r="AE6" s="2">
        <f>(N6/E6)^(1/($N$5-$E$5))-1</f>
        <v>1.5961671945691869E-2</v>
      </c>
    </row>
    <row r="7" spans="1:31" s="31" customFormat="1" x14ac:dyDescent="0.3">
      <c r="A7" s="141" t="s">
        <v>178</v>
      </c>
      <c r="B7" s="39" t="s">
        <v>67</v>
      </c>
      <c r="C7" s="40" t="s">
        <v>68</v>
      </c>
      <c r="D7" s="40"/>
      <c r="E7" s="31">
        <v>9.5500000000000007</v>
      </c>
      <c r="F7" s="31">
        <v>7.03</v>
      </c>
      <c r="G7" s="31">
        <v>5.3</v>
      </c>
      <c r="H7" s="31">
        <v>4.63</v>
      </c>
      <c r="I7" s="31">
        <v>4.84</v>
      </c>
      <c r="J7" s="31">
        <v>4.9400000000000004</v>
      </c>
      <c r="K7" s="31">
        <v>5.22</v>
      </c>
      <c r="L7" s="31">
        <v>5.65</v>
      </c>
      <c r="M7" s="31">
        <v>6.13</v>
      </c>
      <c r="N7" s="31">
        <v>6.6</v>
      </c>
      <c r="O7" s="31">
        <v>7.07</v>
      </c>
      <c r="AE7" s="2">
        <f>(N7/E7)^(1/($N$5-$E$5))-1</f>
        <v>-4.0221153698987266E-2</v>
      </c>
    </row>
    <row r="8" spans="1:31" s="31" customFormat="1" x14ac:dyDescent="0.3">
      <c r="A8" s="141" t="s">
        <v>178</v>
      </c>
      <c r="B8" s="150" t="s">
        <v>58</v>
      </c>
      <c r="C8" s="151" t="s">
        <v>69</v>
      </c>
      <c r="D8" s="151"/>
      <c r="E8" s="152">
        <v>110.42843000000001</v>
      </c>
      <c r="F8" s="152">
        <v>117</v>
      </c>
      <c r="G8" s="152">
        <v>123</v>
      </c>
      <c r="H8" s="152">
        <v>129</v>
      </c>
      <c r="I8" s="152">
        <v>135</v>
      </c>
      <c r="J8" s="152">
        <v>137.69999999999999</v>
      </c>
      <c r="K8" s="152">
        <v>140.45399999999998</v>
      </c>
      <c r="L8" s="152">
        <v>143.26307999999997</v>
      </c>
      <c r="M8" s="152">
        <v>146.12834159999997</v>
      </c>
      <c r="N8" s="152">
        <v>149.05090843199997</v>
      </c>
      <c r="O8" s="152">
        <v>152.03192660063996</v>
      </c>
      <c r="AE8" s="2">
        <f>(N8/E8)^(1/($N$5-$E$5))-1</f>
        <v>3.3885957391914578E-2</v>
      </c>
    </row>
    <row r="9" spans="1:31" s="31" customFormat="1" x14ac:dyDescent="0.3">
      <c r="A9" s="141"/>
      <c r="B9" s="39" t="s">
        <v>186</v>
      </c>
      <c r="C9" s="40" t="s">
        <v>54</v>
      </c>
      <c r="D9">
        <f>(N9/E9)^(1/($N$5-$E$5))</f>
        <v>1.0107872864597345</v>
      </c>
      <c r="E9" s="61">
        <f>E6+(E7*12/8.76)+(E8/8.76)</f>
        <v>68.86716476891867</v>
      </c>
      <c r="F9" s="61">
        <f t="shared" ref="F9:O9" si="0">F6+(F7*12/8.76)+(F8/8.76)</f>
        <v>65.942071708990738</v>
      </c>
      <c r="G9" s="61">
        <f t="shared" si="0"/>
        <v>65.102398876488891</v>
      </c>
      <c r="H9" s="61">
        <f t="shared" si="0"/>
        <v>66.270562435757313</v>
      </c>
      <c r="I9" s="61">
        <f t="shared" si="0"/>
        <v>67.103272647682573</v>
      </c>
      <c r="J9" s="61">
        <f t="shared" si="0"/>
        <v>67.167325112356096</v>
      </c>
      <c r="K9" s="61">
        <f t="shared" si="0"/>
        <v>71.267906293852079</v>
      </c>
      <c r="L9" s="61">
        <f t="shared" si="0"/>
        <v>70.877144492221532</v>
      </c>
      <c r="M9" s="61">
        <f t="shared" si="0"/>
        <v>72.785517849961039</v>
      </c>
      <c r="N9" s="61">
        <f t="shared" si="0"/>
        <v>75.849049136088581</v>
      </c>
      <c r="O9" s="61">
        <f t="shared" si="0"/>
        <v>77.901965859952185</v>
      </c>
      <c r="AE9" s="242">
        <f>(N9/E9)^(1/($N$5-$E$5))-1</f>
        <v>1.078728645973448E-2</v>
      </c>
    </row>
    <row r="10" spans="1:31" s="31" customFormat="1" x14ac:dyDescent="0.3">
      <c r="A10" s="141"/>
      <c r="B10" s="39"/>
      <c r="C10" s="40"/>
      <c r="D10"/>
      <c r="E10" s="61"/>
      <c r="F10" s="61"/>
      <c r="G10" s="61"/>
      <c r="H10" s="61"/>
      <c r="I10" s="61"/>
      <c r="J10" s="61"/>
      <c r="K10" s="61"/>
      <c r="L10" s="61"/>
      <c r="M10" s="61"/>
      <c r="N10" s="61"/>
      <c r="O10" s="61"/>
      <c r="AE10" s="2"/>
    </row>
    <row r="11" spans="1:31" x14ac:dyDescent="0.3">
      <c r="A11" s="141" t="s">
        <v>506</v>
      </c>
      <c r="B11" s="238" t="s">
        <v>203</v>
      </c>
      <c r="C11" s="239" t="s">
        <v>134</v>
      </c>
      <c r="D11" s="252">
        <f>(N11/E11)^(1/($N$5-$E$5))</f>
        <v>1.056880863848122</v>
      </c>
      <c r="E11" s="83">
        <f>'AEO- reference'!H68</f>
        <v>17.182101629999998</v>
      </c>
      <c r="F11" s="83">
        <f>'AEO- reference'!I68</f>
        <v>18.159571359999997</v>
      </c>
      <c r="G11" s="83">
        <f>'AEO- reference'!J68</f>
        <v>20.938745240000003</v>
      </c>
      <c r="H11" s="83">
        <f>'AEO- reference'!K68</f>
        <v>22.575926339999999</v>
      </c>
      <c r="I11" s="83">
        <f>'AEO- reference'!L68</f>
        <v>23.747669870000003</v>
      </c>
      <c r="J11" s="83">
        <f>'AEO- reference'!M68</f>
        <v>24.9333037</v>
      </c>
      <c r="K11" s="83">
        <f>'AEO- reference'!N68</f>
        <v>25.9049014</v>
      </c>
      <c r="L11" s="83">
        <f>'AEO- reference'!O68</f>
        <v>26.730874219999997</v>
      </c>
      <c r="M11" s="83">
        <f>'AEO- reference'!P68</f>
        <v>27.41582386</v>
      </c>
      <c r="N11" s="83">
        <f>'AEO- reference'!Q68</f>
        <v>28.269009659999998</v>
      </c>
      <c r="O11" s="83">
        <f>'AEO- reference'!R68</f>
        <v>29.122366859999996</v>
      </c>
    </row>
    <row r="12" spans="1:31" s="58" customFormat="1" x14ac:dyDescent="0.3">
      <c r="A12" s="58" t="s">
        <v>34</v>
      </c>
      <c r="B12" s="238" t="s">
        <v>203</v>
      </c>
      <c r="C12" s="239" t="s">
        <v>134</v>
      </c>
      <c r="D12" s="58">
        <f>(N12/E12)^(1/($N$5-$E$5))</f>
        <v>0.99</v>
      </c>
      <c r="E12" s="250">
        <v>17</v>
      </c>
      <c r="F12" s="251">
        <f t="shared" ref="F12:AC12" si="1">E12*(1+Low_FF_esc)</f>
        <v>16.829999999999998</v>
      </c>
      <c r="G12" s="251">
        <f t="shared" si="1"/>
        <v>16.6617</v>
      </c>
      <c r="H12" s="251">
        <f t="shared" si="1"/>
        <v>16.495083000000001</v>
      </c>
      <c r="I12" s="251">
        <f t="shared" si="1"/>
        <v>16.330132170000002</v>
      </c>
      <c r="J12" s="251">
        <f t="shared" si="1"/>
        <v>16.166830848300002</v>
      </c>
      <c r="K12" s="251">
        <f t="shared" si="1"/>
        <v>16.005162539817</v>
      </c>
      <c r="L12" s="251">
        <f t="shared" si="1"/>
        <v>15.84511091441883</v>
      </c>
      <c r="M12" s="251">
        <f t="shared" si="1"/>
        <v>15.686659805274642</v>
      </c>
      <c r="N12" s="251">
        <f t="shared" si="1"/>
        <v>15.529793207221896</v>
      </c>
      <c r="O12" s="251">
        <f t="shared" si="1"/>
        <v>15.374495275149677</v>
      </c>
      <c r="P12" s="241">
        <f t="shared" si="1"/>
        <v>15.22075032239818</v>
      </c>
      <c r="Q12" s="241">
        <f t="shared" si="1"/>
        <v>15.068542819174198</v>
      </c>
      <c r="R12" s="241">
        <f t="shared" si="1"/>
        <v>14.917857390982455</v>
      </c>
      <c r="S12" s="241">
        <f t="shared" si="1"/>
        <v>14.76867881707263</v>
      </c>
      <c r="T12" s="241">
        <f t="shared" si="1"/>
        <v>14.620992028901902</v>
      </c>
      <c r="U12" s="241">
        <f t="shared" si="1"/>
        <v>14.474782108612883</v>
      </c>
      <c r="V12" s="241">
        <f t="shared" si="1"/>
        <v>14.330034287526754</v>
      </c>
      <c r="W12" s="241">
        <f t="shared" si="1"/>
        <v>14.186733944651486</v>
      </c>
      <c r="X12" s="241">
        <f t="shared" si="1"/>
        <v>14.044866605204971</v>
      </c>
      <c r="Y12" s="241">
        <f t="shared" si="1"/>
        <v>13.904417939152921</v>
      </c>
      <c r="Z12" s="241">
        <f t="shared" si="1"/>
        <v>13.765373759761392</v>
      </c>
      <c r="AA12" s="241">
        <f t="shared" si="1"/>
        <v>13.627720022163778</v>
      </c>
      <c r="AB12" s="241">
        <f t="shared" si="1"/>
        <v>13.49144282194214</v>
      </c>
      <c r="AC12" s="241">
        <f t="shared" si="1"/>
        <v>13.356528393722719</v>
      </c>
      <c r="AE12" s="242">
        <f>(N12/E12)^(1/($N$5-$E$5))-1</f>
        <v>-1.0000000000000009E-2</v>
      </c>
    </row>
    <row r="13" spans="1:31" s="58" customFormat="1" x14ac:dyDescent="0.3">
      <c r="A13" s="58" t="s">
        <v>45</v>
      </c>
      <c r="B13" s="238" t="s">
        <v>203</v>
      </c>
      <c r="C13" s="239" t="s">
        <v>134</v>
      </c>
      <c r="D13" s="58">
        <f>(N13/E13)^(1/($N$5-$E$5))</f>
        <v>1.016</v>
      </c>
      <c r="E13" s="250">
        <v>17</v>
      </c>
      <c r="F13" s="251">
        <f t="shared" ref="F13:AC13" si="2">E13*(1+Mid_FF_esc)</f>
        <v>17.271999999999998</v>
      </c>
      <c r="G13" s="251">
        <f t="shared" si="2"/>
        <v>17.548351999999998</v>
      </c>
      <c r="H13" s="251">
        <f t="shared" si="2"/>
        <v>17.829125631999997</v>
      </c>
      <c r="I13" s="251">
        <f t="shared" si="2"/>
        <v>18.114391642111997</v>
      </c>
      <c r="J13" s="251">
        <f t="shared" si="2"/>
        <v>18.404221908385789</v>
      </c>
      <c r="K13" s="251">
        <f t="shared" si="2"/>
        <v>18.698689458919961</v>
      </c>
      <c r="L13" s="251">
        <f t="shared" si="2"/>
        <v>18.997868490262682</v>
      </c>
      <c r="M13" s="251">
        <f t="shared" si="2"/>
        <v>19.301834386106886</v>
      </c>
      <c r="N13" s="251">
        <f t="shared" si="2"/>
        <v>19.610663736284597</v>
      </c>
      <c r="O13" s="251">
        <f t="shared" si="2"/>
        <v>19.924434356065149</v>
      </c>
      <c r="P13" s="241">
        <f t="shared" si="2"/>
        <v>20.243225305762191</v>
      </c>
      <c r="Q13" s="241">
        <f t="shared" si="2"/>
        <v>20.567116910654388</v>
      </c>
      <c r="R13" s="241">
        <f t="shared" si="2"/>
        <v>20.89619078122486</v>
      </c>
      <c r="S13" s="241">
        <f t="shared" si="2"/>
        <v>21.230529833724457</v>
      </c>
      <c r="T13" s="241">
        <f t="shared" si="2"/>
        <v>21.57021831106405</v>
      </c>
      <c r="U13" s="241">
        <f t="shared" si="2"/>
        <v>21.915341804041073</v>
      </c>
      <c r="V13" s="241">
        <f t="shared" si="2"/>
        <v>22.265987272905733</v>
      </c>
      <c r="W13" s="241">
        <f t="shared" si="2"/>
        <v>22.622243069272226</v>
      </c>
      <c r="X13" s="241">
        <f t="shared" si="2"/>
        <v>22.984198958380581</v>
      </c>
      <c r="Y13" s="241">
        <f t="shared" si="2"/>
        <v>23.35194614171467</v>
      </c>
      <c r="Z13" s="241">
        <f t="shared" si="2"/>
        <v>23.725577279982105</v>
      </c>
      <c r="AA13" s="241">
        <f t="shared" si="2"/>
        <v>24.105186516461817</v>
      </c>
      <c r="AB13" s="241">
        <f t="shared" si="2"/>
        <v>24.490869500725207</v>
      </c>
      <c r="AC13" s="241">
        <f t="shared" si="2"/>
        <v>24.882723412736812</v>
      </c>
      <c r="AE13" s="242">
        <f>(N13/E13)^(1/($N$5-$E$5))-1</f>
        <v>1.6000000000000014E-2</v>
      </c>
    </row>
    <row r="14" spans="1:31" s="58" customFormat="1" x14ac:dyDescent="0.3">
      <c r="A14" s="58" t="s">
        <v>35</v>
      </c>
      <c r="B14" s="238" t="s">
        <v>203</v>
      </c>
      <c r="C14" s="239" t="s">
        <v>134</v>
      </c>
      <c r="D14" s="58">
        <f>(N14/E14)^(1/($N$5-$E$5))</f>
        <v>1.05</v>
      </c>
      <c r="E14" s="250">
        <v>17</v>
      </c>
      <c r="F14" s="251">
        <f t="shared" ref="F14:AC14" si="3">E14*(1+High_FF_esc)</f>
        <v>17.850000000000001</v>
      </c>
      <c r="G14" s="251">
        <f t="shared" si="3"/>
        <v>18.742500000000003</v>
      </c>
      <c r="H14" s="251">
        <f t="shared" si="3"/>
        <v>19.679625000000005</v>
      </c>
      <c r="I14" s="251">
        <f t="shared" si="3"/>
        <v>20.663606250000004</v>
      </c>
      <c r="J14" s="251">
        <f t="shared" si="3"/>
        <v>21.696786562500005</v>
      </c>
      <c r="K14" s="251">
        <f t="shared" si="3"/>
        <v>22.781625890625005</v>
      </c>
      <c r="L14" s="251">
        <f t="shared" si="3"/>
        <v>23.920707185156257</v>
      </c>
      <c r="M14" s="251">
        <f t="shared" si="3"/>
        <v>25.11674254441407</v>
      </c>
      <c r="N14" s="251">
        <f t="shared" si="3"/>
        <v>26.372579671634774</v>
      </c>
      <c r="O14" s="251">
        <f t="shared" si="3"/>
        <v>27.691208655216514</v>
      </c>
      <c r="P14" s="241">
        <f t="shared" si="3"/>
        <v>29.075769087977342</v>
      </c>
      <c r="Q14" s="241">
        <f t="shared" si="3"/>
        <v>30.52955754237621</v>
      </c>
      <c r="R14" s="241">
        <f t="shared" si="3"/>
        <v>32.056035419495025</v>
      </c>
      <c r="S14" s="241">
        <f t="shared" si="3"/>
        <v>33.658837190469775</v>
      </c>
      <c r="T14" s="241">
        <f t="shared" si="3"/>
        <v>35.341779049993264</v>
      </c>
      <c r="U14" s="241">
        <f t="shared" si="3"/>
        <v>37.108868002492926</v>
      </c>
      <c r="V14" s="241">
        <f t="shared" si="3"/>
        <v>38.964311402617575</v>
      </c>
      <c r="W14" s="241">
        <f t="shared" si="3"/>
        <v>40.912526972748452</v>
      </c>
      <c r="X14" s="241">
        <f t="shared" si="3"/>
        <v>42.958153321385879</v>
      </c>
      <c r="Y14" s="241">
        <f t="shared" si="3"/>
        <v>45.106060987455173</v>
      </c>
      <c r="Z14" s="241">
        <f t="shared" si="3"/>
        <v>47.361364036827936</v>
      </c>
      <c r="AA14" s="241">
        <f t="shared" si="3"/>
        <v>49.729432238669332</v>
      </c>
      <c r="AB14" s="241">
        <f t="shared" si="3"/>
        <v>52.2159038506028</v>
      </c>
      <c r="AC14" s="241">
        <f t="shared" si="3"/>
        <v>54.82669904313294</v>
      </c>
      <c r="AE14" s="242">
        <f>(N14/E14)^(1/($N$5-$E$5))-1</f>
        <v>5.0000000000000044E-2</v>
      </c>
    </row>
    <row r="15" spans="1:31" s="58" customFormat="1" x14ac:dyDescent="0.3">
      <c r="B15" s="238"/>
      <c r="C15" s="239"/>
      <c r="E15" s="250"/>
      <c r="F15" s="251"/>
      <c r="G15" s="251"/>
      <c r="H15" s="251"/>
      <c r="I15" s="251"/>
      <c r="J15" s="251"/>
      <c r="K15" s="251"/>
      <c r="L15" s="251"/>
      <c r="M15" s="251"/>
      <c r="N15" s="251"/>
      <c r="O15" s="251"/>
      <c r="P15" s="241"/>
      <c r="Q15" s="241"/>
      <c r="R15" s="241"/>
      <c r="S15" s="241"/>
      <c r="T15" s="241"/>
      <c r="U15" s="241"/>
      <c r="V15" s="241"/>
      <c r="W15" s="241"/>
      <c r="X15" s="241"/>
      <c r="Y15" s="241"/>
      <c r="Z15" s="241"/>
      <c r="AA15" s="241"/>
      <c r="AB15" s="241"/>
      <c r="AC15" s="241"/>
      <c r="AE15" s="242"/>
    </row>
    <row r="16" spans="1:31" x14ac:dyDescent="0.3">
      <c r="A16" s="141" t="s">
        <v>506</v>
      </c>
      <c r="B16" s="238" t="s">
        <v>204</v>
      </c>
      <c r="C16" s="239" t="s">
        <v>134</v>
      </c>
      <c r="D16" s="252">
        <f>(N16/E16)^(1/($N$5-$E$5))</f>
        <v>1.0565725938749706</v>
      </c>
      <c r="E16" s="83">
        <f>'AEO- reference'!H86</f>
        <v>20.956721999999999</v>
      </c>
      <c r="F16" s="83">
        <f>'AEO- reference'!I86</f>
        <v>22.001801</v>
      </c>
      <c r="G16" s="83">
        <f>'AEO- reference'!J86</f>
        <v>25.704908</v>
      </c>
      <c r="H16" s="83">
        <f>'AEO- reference'!K86</f>
        <v>27.916779999999999</v>
      </c>
      <c r="I16" s="83">
        <f>'AEO- reference'!L86</f>
        <v>29.296676999999999</v>
      </c>
      <c r="J16" s="83">
        <f>'AEO- reference'!M86</f>
        <v>30.566793000000001</v>
      </c>
      <c r="K16" s="83">
        <f>'AEO- reference'!N86</f>
        <v>31.977440000000001</v>
      </c>
      <c r="L16" s="83">
        <f>'AEO- reference'!O86</f>
        <v>32.680824000000001</v>
      </c>
      <c r="M16" s="83">
        <f>'AEO- reference'!P86</f>
        <v>33.422255999999997</v>
      </c>
      <c r="N16" s="83">
        <f>'AEO- reference'!Q86</f>
        <v>34.388832000000001</v>
      </c>
      <c r="O16" s="83">
        <f>'AEO- reference'!R86</f>
        <v>35.431190000000001</v>
      </c>
    </row>
    <row r="17" spans="1:32" s="58" customFormat="1" x14ac:dyDescent="0.3">
      <c r="A17" s="58" t="s">
        <v>34</v>
      </c>
      <c r="B17" s="238" t="s">
        <v>204</v>
      </c>
      <c r="C17" s="239" t="s">
        <v>134</v>
      </c>
      <c r="D17" s="58">
        <f>(N17/E17)^(1/($N$5-$E$5))</f>
        <v>0.99</v>
      </c>
      <c r="E17" s="250">
        <v>20</v>
      </c>
      <c r="F17" s="251">
        <f t="shared" ref="F17:AC17" si="4">E17*(1+Low_FF_esc)</f>
        <v>19.8</v>
      </c>
      <c r="G17" s="251">
        <f t="shared" si="4"/>
        <v>19.602</v>
      </c>
      <c r="H17" s="251">
        <f t="shared" si="4"/>
        <v>19.40598</v>
      </c>
      <c r="I17" s="251">
        <f t="shared" si="4"/>
        <v>19.211920199999998</v>
      </c>
      <c r="J17" s="251">
        <f t="shared" si="4"/>
        <v>19.019800997999997</v>
      </c>
      <c r="K17" s="251">
        <f t="shared" si="4"/>
        <v>18.829602988019996</v>
      </c>
      <c r="L17" s="251">
        <f t="shared" si="4"/>
        <v>18.641306958139797</v>
      </c>
      <c r="M17" s="251">
        <f t="shared" si="4"/>
        <v>18.454893888558399</v>
      </c>
      <c r="N17" s="251">
        <f t="shared" si="4"/>
        <v>18.270344949672815</v>
      </c>
      <c r="O17" s="251">
        <f t="shared" si="4"/>
        <v>18.087641500176087</v>
      </c>
      <c r="P17" s="241">
        <f t="shared" si="4"/>
        <v>17.906765085174325</v>
      </c>
      <c r="Q17" s="241">
        <f t="shared" si="4"/>
        <v>17.727697434322582</v>
      </c>
      <c r="R17" s="241">
        <f t="shared" si="4"/>
        <v>17.550420459979357</v>
      </c>
      <c r="S17" s="241">
        <f t="shared" si="4"/>
        <v>17.374916255379564</v>
      </c>
      <c r="T17" s="241">
        <f t="shared" si="4"/>
        <v>17.201167092825767</v>
      </c>
      <c r="U17" s="241">
        <f t="shared" si="4"/>
        <v>17.02915542189751</v>
      </c>
      <c r="V17" s="241">
        <f t="shared" si="4"/>
        <v>16.858863867678537</v>
      </c>
      <c r="W17" s="241">
        <f t="shared" si="4"/>
        <v>16.690275229001752</v>
      </c>
      <c r="X17" s="241">
        <f t="shared" si="4"/>
        <v>16.523372476711735</v>
      </c>
      <c r="Y17" s="241">
        <f t="shared" si="4"/>
        <v>16.358138751944619</v>
      </c>
      <c r="Z17" s="241">
        <f t="shared" si="4"/>
        <v>16.194557364425172</v>
      </c>
      <c r="AA17" s="241">
        <f t="shared" si="4"/>
        <v>16.032611790780919</v>
      </c>
      <c r="AB17" s="241">
        <f t="shared" si="4"/>
        <v>15.87228567287311</v>
      </c>
      <c r="AC17" s="241">
        <f t="shared" si="4"/>
        <v>15.713562816144378</v>
      </c>
      <c r="AE17" s="242">
        <f>(N17/E17)^(1/($N$5-$E$5))-1</f>
        <v>-1.0000000000000009E-2</v>
      </c>
      <c r="AF17" s="58">
        <f t="shared" ref="AF17:AF18" si="5">N17/E17</f>
        <v>0.91351724748364072</v>
      </c>
    </row>
    <row r="18" spans="1:32" s="58" customFormat="1" x14ac:dyDescent="0.3">
      <c r="A18" s="58" t="s">
        <v>45</v>
      </c>
      <c r="B18" s="238" t="s">
        <v>204</v>
      </c>
      <c r="C18" s="239" t="s">
        <v>134</v>
      </c>
      <c r="D18" s="58">
        <f>(N18/E18)^(1/($N$5-$E$5))</f>
        <v>1.016</v>
      </c>
      <c r="E18" s="250">
        <v>20</v>
      </c>
      <c r="F18" s="251">
        <f t="shared" ref="F18:AC18" si="6">E18*(1+Mid_FF_esc)</f>
        <v>20.32</v>
      </c>
      <c r="G18" s="251">
        <f t="shared" si="6"/>
        <v>20.645120000000002</v>
      </c>
      <c r="H18" s="251">
        <f t="shared" si="6"/>
        <v>20.975441920000002</v>
      </c>
      <c r="I18" s="251">
        <f t="shared" si="6"/>
        <v>21.311048990720003</v>
      </c>
      <c r="J18" s="251">
        <f t="shared" si="6"/>
        <v>21.652025774571523</v>
      </c>
      <c r="K18" s="251">
        <f t="shared" si="6"/>
        <v>21.998458186964669</v>
      </c>
      <c r="L18" s="251">
        <f t="shared" si="6"/>
        <v>22.350433517956105</v>
      </c>
      <c r="M18" s="251">
        <f t="shared" si="6"/>
        <v>22.708040454243402</v>
      </c>
      <c r="N18" s="251">
        <f t="shared" si="6"/>
        <v>23.071369101511298</v>
      </c>
      <c r="O18" s="251">
        <f t="shared" si="6"/>
        <v>23.440511007135481</v>
      </c>
      <c r="P18" s="241">
        <f t="shared" si="6"/>
        <v>23.815559183249647</v>
      </c>
      <c r="Q18" s="241">
        <f t="shared" si="6"/>
        <v>24.196608130181641</v>
      </c>
      <c r="R18" s="241">
        <f t="shared" si="6"/>
        <v>24.583753860264547</v>
      </c>
      <c r="S18" s="241">
        <f t="shared" si="6"/>
        <v>24.977093922028782</v>
      </c>
      <c r="T18" s="241">
        <f t="shared" si="6"/>
        <v>25.376727424781244</v>
      </c>
      <c r="U18" s="241">
        <f t="shared" si="6"/>
        <v>25.782755063577746</v>
      </c>
      <c r="V18" s="241">
        <f t="shared" si="6"/>
        <v>26.195279144594991</v>
      </c>
      <c r="W18" s="241">
        <f t="shared" si="6"/>
        <v>26.614403610908511</v>
      </c>
      <c r="X18" s="241">
        <f t="shared" si="6"/>
        <v>27.040234068683048</v>
      </c>
      <c r="Y18" s="241">
        <f t="shared" si="6"/>
        <v>27.472877813781977</v>
      </c>
      <c r="Z18" s="241">
        <f t="shared" si="6"/>
        <v>27.91244385880249</v>
      </c>
      <c r="AA18" s="241">
        <f t="shared" si="6"/>
        <v>28.359042960543331</v>
      </c>
      <c r="AB18" s="241">
        <f t="shared" si="6"/>
        <v>28.812787647912025</v>
      </c>
      <c r="AC18" s="241">
        <f t="shared" si="6"/>
        <v>29.273792250278618</v>
      </c>
      <c r="AE18" s="242">
        <f>(N18/E18)^(1/($N$5-$E$5))-1</f>
        <v>1.6000000000000014E-2</v>
      </c>
      <c r="AF18" s="58">
        <f t="shared" si="5"/>
        <v>1.1535684550755649</v>
      </c>
    </row>
    <row r="19" spans="1:32" s="58" customFormat="1" x14ac:dyDescent="0.3">
      <c r="A19" s="58" t="s">
        <v>35</v>
      </c>
      <c r="B19" s="238" t="s">
        <v>204</v>
      </c>
      <c r="C19" s="239" t="s">
        <v>134</v>
      </c>
      <c r="D19" s="58">
        <f>(N19/E19)^(1/($N$5-$E$5))</f>
        <v>1.05</v>
      </c>
      <c r="E19" s="240">
        <v>20</v>
      </c>
      <c r="F19" s="241">
        <f t="shared" ref="F19:AC19" si="7">E19*(1+High_FF_esc)</f>
        <v>21</v>
      </c>
      <c r="G19" s="241">
        <f t="shared" si="7"/>
        <v>22.05</v>
      </c>
      <c r="H19" s="241">
        <f t="shared" si="7"/>
        <v>23.152500000000003</v>
      </c>
      <c r="I19" s="241">
        <f t="shared" si="7"/>
        <v>24.310125000000003</v>
      </c>
      <c r="J19" s="241">
        <f t="shared" si="7"/>
        <v>25.525631250000004</v>
      </c>
      <c r="K19" s="241">
        <f t="shared" si="7"/>
        <v>26.801912812500007</v>
      </c>
      <c r="L19" s="241">
        <f t="shared" si="7"/>
        <v>28.142008453125008</v>
      </c>
      <c r="M19" s="241">
        <f t="shared" si="7"/>
        <v>29.549108875781261</v>
      </c>
      <c r="N19" s="241">
        <f t="shared" si="7"/>
        <v>31.026564319570326</v>
      </c>
      <c r="O19" s="241">
        <f t="shared" si="7"/>
        <v>32.577892535548841</v>
      </c>
      <c r="P19" s="241">
        <f t="shared" si="7"/>
        <v>34.206787162326286</v>
      </c>
      <c r="Q19" s="241">
        <f t="shared" si="7"/>
        <v>35.917126520442601</v>
      </c>
      <c r="R19" s="241">
        <f t="shared" si="7"/>
        <v>37.712982846464733</v>
      </c>
      <c r="S19" s="241">
        <f t="shared" si="7"/>
        <v>39.598631988787972</v>
      </c>
      <c r="T19" s="241">
        <f t="shared" si="7"/>
        <v>41.578563588227375</v>
      </c>
      <c r="U19" s="241">
        <f t="shared" si="7"/>
        <v>43.657491767638746</v>
      </c>
      <c r="V19" s="241">
        <f t="shared" si="7"/>
        <v>45.840366356020688</v>
      </c>
      <c r="W19" s="241">
        <f t="shared" si="7"/>
        <v>48.132384673821726</v>
      </c>
      <c r="X19" s="241">
        <f t="shared" si="7"/>
        <v>50.539003907512814</v>
      </c>
      <c r="Y19" s="241">
        <f t="shared" si="7"/>
        <v>53.065954102888455</v>
      </c>
      <c r="Z19" s="241">
        <f t="shared" si="7"/>
        <v>55.71925180803288</v>
      </c>
      <c r="AA19" s="241">
        <f t="shared" si="7"/>
        <v>58.505214398434525</v>
      </c>
      <c r="AB19" s="241">
        <f t="shared" si="7"/>
        <v>61.430475118356256</v>
      </c>
      <c r="AC19" s="241">
        <f t="shared" si="7"/>
        <v>64.501998874274065</v>
      </c>
      <c r="AE19" s="242">
        <f>(N19/E19)^(1/($N$5-$E$5))-1</f>
        <v>5.0000000000000044E-2</v>
      </c>
      <c r="AF19" s="58">
        <f>N19/E19</f>
        <v>1.5513282159785162</v>
      </c>
    </row>
    <row r="20" spans="1:32" x14ac:dyDescent="0.3">
      <c r="B20" s="39"/>
      <c r="C20" s="40"/>
      <c r="E20" s="104"/>
      <c r="F20" s="61"/>
      <c r="G20" s="61"/>
      <c r="H20" s="61"/>
      <c r="I20" s="61"/>
      <c r="J20" s="61"/>
      <c r="K20" s="61"/>
      <c r="L20" s="61"/>
      <c r="M20" s="61"/>
      <c r="N20" s="61"/>
      <c r="O20" s="61"/>
      <c r="P20" s="61"/>
      <c r="Q20" s="61"/>
      <c r="R20" s="61"/>
      <c r="S20" s="61"/>
      <c r="T20" s="61"/>
      <c r="U20" s="61"/>
      <c r="V20" s="61"/>
      <c r="W20" s="61"/>
      <c r="X20" s="61"/>
      <c r="Y20" s="61"/>
      <c r="Z20" s="61"/>
      <c r="AA20" s="61"/>
      <c r="AB20" s="61"/>
      <c r="AC20" s="61"/>
      <c r="AE20" s="2"/>
    </row>
    <row r="21" spans="1:32" x14ac:dyDescent="0.3">
      <c r="A21" t="s">
        <v>18</v>
      </c>
      <c r="B21" s="33" t="s">
        <v>81</v>
      </c>
      <c r="C21" t="s">
        <v>54</v>
      </c>
      <c r="D21" s="31">
        <v>0.5</v>
      </c>
      <c r="E21" s="31">
        <v>1</v>
      </c>
      <c r="F21" s="31">
        <v>1</v>
      </c>
      <c r="G21" s="31">
        <v>1</v>
      </c>
      <c r="H21" s="31">
        <v>1</v>
      </c>
      <c r="I21" s="31">
        <v>1</v>
      </c>
      <c r="J21" s="31">
        <v>1</v>
      </c>
      <c r="K21" s="31">
        <v>1</v>
      </c>
      <c r="L21" s="31">
        <v>1</v>
      </c>
      <c r="M21" s="31">
        <v>1</v>
      </c>
      <c r="N21" s="31">
        <v>1</v>
      </c>
      <c r="O21" s="22"/>
      <c r="P21" s="2"/>
      <c r="Q21" s="360"/>
      <c r="R21" s="22"/>
      <c r="S21" s="22"/>
      <c r="T21" s="22"/>
      <c r="U21" s="22"/>
    </row>
    <row r="22" spans="1:32" x14ac:dyDescent="0.3">
      <c r="A22" t="s">
        <v>19</v>
      </c>
      <c r="B22" s="33" t="s">
        <v>81</v>
      </c>
      <c r="C22" t="s">
        <v>54</v>
      </c>
      <c r="D22" s="31">
        <v>1</v>
      </c>
      <c r="E22" s="31">
        <v>1</v>
      </c>
      <c r="F22" s="31">
        <f>E22*1.2</f>
        <v>1.2</v>
      </c>
      <c r="G22" s="31">
        <f t="shared" ref="G22:N22" si="8">F22*1.2</f>
        <v>1.44</v>
      </c>
      <c r="H22" s="31">
        <f t="shared" si="8"/>
        <v>1.728</v>
      </c>
      <c r="I22" s="31">
        <f t="shared" si="8"/>
        <v>2.0735999999999999</v>
      </c>
      <c r="J22" s="31">
        <f t="shared" si="8"/>
        <v>2.4883199999999999</v>
      </c>
      <c r="K22" s="31">
        <f t="shared" si="8"/>
        <v>2.9859839999999997</v>
      </c>
      <c r="L22" s="31">
        <f t="shared" si="8"/>
        <v>3.5831807999999996</v>
      </c>
      <c r="M22" s="31">
        <f t="shared" si="8"/>
        <v>4.2998169599999994</v>
      </c>
      <c r="N22" s="31">
        <f t="shared" si="8"/>
        <v>5.1597803519999994</v>
      </c>
      <c r="O22" s="22"/>
      <c r="P22" s="2"/>
      <c r="Q22" s="360"/>
      <c r="R22" s="22"/>
      <c r="S22" s="22"/>
      <c r="T22" s="22"/>
      <c r="U22" s="22"/>
    </row>
    <row r="23" spans="1:32" x14ac:dyDescent="0.3">
      <c r="A23" t="s">
        <v>20</v>
      </c>
      <c r="B23" s="33" t="s">
        <v>81</v>
      </c>
      <c r="C23" t="s">
        <v>54</v>
      </c>
      <c r="D23" s="31">
        <v>1</v>
      </c>
      <c r="E23" s="31">
        <v>3</v>
      </c>
      <c r="F23" s="31">
        <v>4</v>
      </c>
      <c r="G23" s="31">
        <v>5</v>
      </c>
      <c r="H23" s="31">
        <v>6</v>
      </c>
      <c r="I23" s="31">
        <v>7</v>
      </c>
      <c r="J23" s="31">
        <v>8</v>
      </c>
      <c r="K23" s="31">
        <v>9</v>
      </c>
      <c r="L23" s="31">
        <v>10</v>
      </c>
      <c r="M23" s="31">
        <v>10</v>
      </c>
      <c r="N23" s="31">
        <v>10</v>
      </c>
      <c r="O23" s="22"/>
      <c r="P23" s="2"/>
      <c r="Q23" s="22"/>
      <c r="R23" s="22"/>
      <c r="S23" s="22"/>
      <c r="T23" s="22"/>
      <c r="U23" s="22"/>
    </row>
    <row r="24" spans="1:32" x14ac:dyDescent="0.3">
      <c r="B24" s="33"/>
    </row>
    <row r="25" spans="1:32" x14ac:dyDescent="0.3">
      <c r="A25" t="s">
        <v>18</v>
      </c>
      <c r="B25" s="33" t="s">
        <v>82</v>
      </c>
      <c r="C25" t="s">
        <v>54</v>
      </c>
      <c r="D25" s="41"/>
      <c r="E25" s="31">
        <v>4</v>
      </c>
      <c r="F25" s="31">
        <v>8</v>
      </c>
      <c r="G25" s="31">
        <v>10</v>
      </c>
      <c r="H25" s="31">
        <v>12</v>
      </c>
      <c r="I25" s="31">
        <v>15</v>
      </c>
      <c r="J25" s="31">
        <v>15</v>
      </c>
      <c r="K25" s="31">
        <v>15</v>
      </c>
      <c r="L25" s="31">
        <v>15</v>
      </c>
      <c r="M25" s="31">
        <v>15</v>
      </c>
      <c r="N25" s="31">
        <v>15</v>
      </c>
      <c r="O25" s="22"/>
      <c r="P25" s="22"/>
      <c r="Q25" s="22"/>
      <c r="R25" s="22"/>
      <c r="S25" s="22"/>
      <c r="T25" s="22"/>
      <c r="U25" s="22"/>
    </row>
    <row r="26" spans="1:32" x14ac:dyDescent="0.3">
      <c r="A26" t="s">
        <v>19</v>
      </c>
      <c r="B26" s="33" t="s">
        <v>82</v>
      </c>
      <c r="C26" t="s">
        <v>54</v>
      </c>
      <c r="D26" s="31"/>
      <c r="E26" s="31">
        <v>7</v>
      </c>
      <c r="F26" s="31">
        <v>13</v>
      </c>
      <c r="G26" s="31">
        <v>19</v>
      </c>
      <c r="H26" s="31">
        <v>22</v>
      </c>
      <c r="I26" s="31">
        <v>23</v>
      </c>
      <c r="J26" s="31">
        <v>24</v>
      </c>
      <c r="K26" s="31">
        <v>24</v>
      </c>
      <c r="L26" s="31">
        <v>24</v>
      </c>
      <c r="M26" s="31">
        <v>24</v>
      </c>
      <c r="N26" s="31">
        <v>24</v>
      </c>
      <c r="O26" s="22"/>
      <c r="P26" s="22"/>
      <c r="Q26" s="22"/>
      <c r="R26" s="22"/>
      <c r="S26" s="22"/>
      <c r="T26" s="22"/>
      <c r="U26" s="22"/>
    </row>
    <row r="27" spans="1:32" x14ac:dyDescent="0.3">
      <c r="A27" t="s">
        <v>20</v>
      </c>
      <c r="B27" s="33" t="s">
        <v>82</v>
      </c>
      <c r="C27" t="s">
        <v>54</v>
      </c>
      <c r="D27" s="31"/>
      <c r="E27" s="31">
        <v>25</v>
      </c>
      <c r="F27" s="31">
        <v>30</v>
      </c>
      <c r="G27" s="31">
        <v>32</v>
      </c>
      <c r="H27" s="31">
        <v>35</v>
      </c>
      <c r="I27" s="31">
        <v>37</v>
      </c>
      <c r="J27" s="31">
        <v>40</v>
      </c>
      <c r="K27" s="31">
        <v>40</v>
      </c>
      <c r="L27" s="31">
        <v>40</v>
      </c>
      <c r="M27" s="31">
        <v>40</v>
      </c>
      <c r="N27" s="31">
        <v>40</v>
      </c>
      <c r="O27" s="22"/>
      <c r="P27" s="22"/>
      <c r="Q27" s="360"/>
      <c r="R27" s="22"/>
      <c r="S27" s="22"/>
      <c r="T27" s="22"/>
      <c r="U27" s="22"/>
    </row>
    <row r="28" spans="1:32" x14ac:dyDescent="0.3">
      <c r="Q28" s="360"/>
    </row>
    <row r="30" spans="1:32" ht="15" thickBot="1" x14ac:dyDescent="0.35"/>
    <row r="31" spans="1:32" x14ac:dyDescent="0.3">
      <c r="A31" s="173" t="s">
        <v>206</v>
      </c>
      <c r="B31" s="153"/>
      <c r="C31" s="153"/>
      <c r="D31" s="153"/>
      <c r="E31" s="153"/>
      <c r="F31" s="153"/>
      <c r="G31" s="153"/>
      <c r="H31" s="153"/>
      <c r="I31" s="153"/>
      <c r="J31" s="153"/>
      <c r="K31" s="153"/>
      <c r="L31" s="153"/>
      <c r="M31" s="153"/>
      <c r="N31" s="154"/>
    </row>
    <row r="32" spans="1:32" x14ac:dyDescent="0.3">
      <c r="A32" s="155"/>
      <c r="B32" s="156"/>
      <c r="C32" s="156"/>
      <c r="D32" s="156"/>
      <c r="E32" s="156"/>
      <c r="F32" s="156"/>
      <c r="G32" s="156"/>
      <c r="H32" s="156"/>
      <c r="I32" s="156"/>
      <c r="J32" s="156"/>
      <c r="K32" s="156"/>
      <c r="L32" s="156"/>
      <c r="M32" s="156"/>
      <c r="N32" s="157"/>
    </row>
    <row r="33" spans="1:31" x14ac:dyDescent="0.3">
      <c r="A33" s="155"/>
      <c r="B33" s="156" t="s">
        <v>161</v>
      </c>
      <c r="C33" s="158" t="s">
        <v>66</v>
      </c>
      <c r="D33" s="156">
        <f>(N33/E33)^(1/($N$5-$E$5))</f>
        <v>1.0142638746899788</v>
      </c>
      <c r="E33" s="159">
        <f>(E6*CCHP_LMP_multiplier+('price forecasts'!E7*12/8.76*FCM_coincidence)+('price forecasts'!E8/8.76*RNS_coincidence))*($B$3^(E$5-base_year))</f>
        <v>51.75998145485319</v>
      </c>
      <c r="F33" s="159">
        <f>(F6*CCHP_LMP_multiplier+('price forecasts'!F7*12/8.76*FCM_coincidence)+('price forecasts'!F8/8.76*RNS_coincidence))*($B$3^(F$5-base_year))</f>
        <v>50.850134198549867</v>
      </c>
      <c r="G33" s="159">
        <f>(G6*CCHP_LMP_multiplier+('price forecasts'!G7*12/8.76*FCM_coincidence)+('price forecasts'!G8/8.76*RNS_coincidence))*($B$3^(G$5-base_year))</f>
        <v>51.316422929902373</v>
      </c>
      <c r="H33" s="159">
        <f>(H6*CCHP_LMP_multiplier+('price forecasts'!H7*12/8.76*FCM_coincidence)+('price forecasts'!H8/8.76*RNS_coincidence))*($B$3^(H$5-base_year))</f>
        <v>52.729296036997226</v>
      </c>
      <c r="I33" s="159">
        <f>(I6*CCHP_LMP_multiplier+('price forecasts'!I7*12/8.76*FCM_coincidence)+('price forecasts'!I8/8.76*RNS_coincidence))*($B$3^(I$5-base_year))</f>
        <v>52.825559567737933</v>
      </c>
      <c r="J33" s="159">
        <f>(J6*CCHP_LMP_multiplier+('price forecasts'!J7*12/8.76*FCM_coincidence)+('price forecasts'!J8/8.76*RNS_coincidence))*($B$3^(J$5-base_year))</f>
        <v>52.536650272083499</v>
      </c>
      <c r="K33" s="159">
        <f>(K6*CCHP_LMP_multiplier+('price forecasts'!K7*12/8.76*FCM_coincidence)+('price forecasts'!K8/8.76*RNS_coincidence))*($B$3^(K$5-base_year))</f>
        <v>56.283904348270703</v>
      </c>
      <c r="L33" s="159">
        <f>(L6*CCHP_LMP_multiplier+('price forecasts'!L7*12/8.76*FCM_coincidence)+('price forecasts'!L8/8.76*RNS_coincidence))*($B$3^(L$5-base_year))</f>
        <v>55.145834593544947</v>
      </c>
      <c r="M33" s="159">
        <f>(M6*CCHP_LMP_multiplier+('price forecasts'!M7*12/8.76*FCM_coincidence)+('price forecasts'!M8/8.76*RNS_coincidence))*($B$3^(M$5-base_year))</f>
        <v>56.361931495883745</v>
      </c>
      <c r="N33" s="160">
        <f>(N6*CCHP_LMP_multiplier+('price forecasts'!N7*12/8.76*FCM_coincidence)+('price forecasts'!N8/8.76*RNS_coincidence))*($B$3^(N$5-base_year))</f>
        <v>58.796669772619047</v>
      </c>
      <c r="O33" s="61"/>
    </row>
    <row r="34" spans="1:31" x14ac:dyDescent="0.3">
      <c r="A34" s="155"/>
      <c r="B34" s="156" t="s">
        <v>162</v>
      </c>
      <c r="C34" s="158" t="s">
        <v>66</v>
      </c>
      <c r="D34" s="156">
        <f>(N34/E34)^(1/($N$5-$E$5))</f>
        <v>1.0141415908186737</v>
      </c>
      <c r="E34" s="159">
        <f>(E6*EV_LMP_multiplier+('price forecasts'!E7*12/8.76*FCM_coincidence)+('price forecasts'!E8/8.76*RNS_coincidence))*($B$3^(E$5-base_year))</f>
        <v>48.305662428590836</v>
      </c>
      <c r="F34" s="159">
        <f>(F6*EV_LMP_multiplier+('price forecasts'!F7*12/8.76*FCM_coincidence)+('price forecasts'!F8/8.76*RNS_coincidence))*($B$3^(F$5-base_year))</f>
        <v>47.413672571419646</v>
      </c>
      <c r="G34" s="159">
        <f>(G6*EV_LMP_multiplier+('price forecasts'!G7*12/8.76*FCM_coincidence)+('price forecasts'!G8/8.76*RNS_coincidence))*($B$3^(G$5-base_year))</f>
        <v>47.81234060882435</v>
      </c>
      <c r="H34" s="159">
        <f>(H6*EV_LMP_multiplier+('price forecasts'!H7*12/8.76*FCM_coincidence)+('price forecasts'!H8/8.76*RNS_coincidence))*($B$3^(H$5-base_year))</f>
        <v>49.113130494191438</v>
      </c>
      <c r="I34" s="159">
        <f>(I6*EV_LMP_multiplier+('price forecasts'!I7*12/8.76*FCM_coincidence)+('price forecasts'!I8/8.76*RNS_coincidence))*($B$3^(I$5-base_year))</f>
        <v>49.220585427156195</v>
      </c>
      <c r="J34" s="159">
        <f>(J6*EV_LMP_multiplier+('price forecasts'!J7*12/8.76*FCM_coincidence)+('price forecasts'!J8/8.76*RNS_coincidence))*($B$3^(J$5-base_year))</f>
        <v>48.962168372684047</v>
      </c>
      <c r="K34" s="159">
        <f>(K6*EV_LMP_multiplier+('price forecasts'!K7*12/8.76*FCM_coincidence)+('price forecasts'!K8/8.76*RNS_coincidence))*($B$3^(K$5-base_year))</f>
        <v>52.437211570789934</v>
      </c>
      <c r="L34" s="159">
        <f>(L6*EV_LMP_multiplier+('price forecasts'!L7*12/8.76*FCM_coincidence)+('price forecasts'!L8/8.76*RNS_coincidence))*($B$3^(L$5-base_year))</f>
        <v>51.403179746495987</v>
      </c>
      <c r="M34" s="159">
        <f>(M6*EV_LMP_multiplier+('price forecasts'!M7*12/8.76*FCM_coincidence)+('price forecasts'!M8/8.76*RNS_coincidence))*($B$3^(M$5-base_year))</f>
        <v>52.545376292544397</v>
      </c>
      <c r="N34" s="160">
        <f>(N6*EV_LMP_multiplier+('price forecasts'!N7*12/8.76*FCM_coincidence)+('price forecasts'!N8/8.76*RNS_coincidence))*($B$3^(N$5-base_year))</f>
        <v>54.813229023759348</v>
      </c>
      <c r="O34" s="61"/>
    </row>
    <row r="35" spans="1:31" x14ac:dyDescent="0.3">
      <c r="A35" s="155"/>
      <c r="B35" s="156" t="s">
        <v>175</v>
      </c>
      <c r="C35" s="158" t="s">
        <v>66</v>
      </c>
      <c r="D35" s="156">
        <f>(N35/E35)^(1/($N$5-$E$5))</f>
        <v>1.0141894572805095</v>
      </c>
      <c r="E35" s="159">
        <f>(E6*Custom_LMP_multiplier+('price forecasts'!E7*12/8.76*FCM_coincidence)+('price forecasts'!E8/8.76*RNS_coincidence))*($B$3^(E$5-base_year))</f>
        <v>49.60103206343922</v>
      </c>
      <c r="F35" s="159">
        <f>(F6*Custom_LMP_multiplier+('price forecasts'!F7*12/8.76*FCM_coincidence)+('price forecasts'!F8/8.76*RNS_coincidence))*($B$3^(F$5-base_year))</f>
        <v>48.702345681593478</v>
      </c>
      <c r="G35" s="159">
        <f>(G6*Custom_LMP_multiplier+('price forecasts'!G7*12/8.76*FCM_coincidence)+('price forecasts'!G8/8.76*RNS_coincidence))*($B$3^(G$5-base_year))</f>
        <v>49.126371479228609</v>
      </c>
      <c r="H35" s="159">
        <f>(H6*Custom_LMP_multiplier+('price forecasts'!H7*12/8.76*FCM_coincidence)+('price forecasts'!H8/8.76*RNS_coincidence))*($B$3^(H$5-base_year))</f>
        <v>50.469192572743609</v>
      </c>
      <c r="I35" s="159">
        <f>(I6*Custom_LMP_multiplier+('price forecasts'!I7*12/8.76*FCM_coincidence)+('price forecasts'!I8/8.76*RNS_coincidence))*($B$3^(I$5-base_year))</f>
        <v>50.572450729874348</v>
      </c>
      <c r="J35" s="159">
        <f>(J6*Custom_LMP_multiplier+('price forecasts'!J7*12/8.76*FCM_coincidence)+('price forecasts'!J8/8.76*RNS_coincidence))*($B$3^(J$5-base_year))</f>
        <v>50.302599084958842</v>
      </c>
      <c r="K35" s="159">
        <f>(K6*Custom_LMP_multiplier+('price forecasts'!K7*12/8.76*FCM_coincidence)+('price forecasts'!K8/8.76*RNS_coincidence))*($B$3^(K$5-base_year))</f>
        <v>53.879721362345222</v>
      </c>
      <c r="L35" s="159">
        <f>(L6*Custom_LMP_multiplier+('price forecasts'!L7*12/8.76*FCM_coincidence)+('price forecasts'!L8/8.76*RNS_coincidence))*($B$3^(L$5-base_year))</f>
        <v>52.806675314139348</v>
      </c>
      <c r="M35" s="159">
        <f>(M6*Custom_LMP_multiplier+('price forecasts'!M7*12/8.76*FCM_coincidence)+('price forecasts'!M8/8.76*RNS_coincidence))*($B$3^(M$5-base_year))</f>
        <v>53.976584493796651</v>
      </c>
      <c r="N35" s="160">
        <f>(N6*Custom_LMP_multiplier+('price forecasts'!N7*12/8.76*FCM_coincidence)+('price forecasts'!N8/8.76*RNS_coincidence))*($B$3^(N$5-base_year))</f>
        <v>56.307019304581736</v>
      </c>
      <c r="O35" s="61"/>
    </row>
    <row r="36" spans="1:31" x14ac:dyDescent="0.3">
      <c r="A36" s="155"/>
      <c r="B36" s="156" t="s">
        <v>176</v>
      </c>
      <c r="C36" s="158" t="s">
        <v>66</v>
      </c>
      <c r="D36" s="156">
        <f>(N36/E36)^(1/($N$5-$E$5))</f>
        <v>1.0141894572805095</v>
      </c>
      <c r="E36" s="159">
        <f>(E6*Custom_LMP_multiplier+('price forecasts'!E7*12/8.76*FCM_coincidence)+('price forecasts'!E8/8.76*RNS_coincidence))*($B$3^(E$5-base_year))</f>
        <v>49.60103206343922</v>
      </c>
      <c r="F36" s="159">
        <f>(F6*Custom_LMP_multiplier+('price forecasts'!F7*12/8.76*FCM_coincidence)+('price forecasts'!F8/8.76*RNS_coincidence))*($B$3^(F$5-base_year))</f>
        <v>48.702345681593478</v>
      </c>
      <c r="G36" s="159">
        <f>(G6*Custom_LMP_multiplier+('price forecasts'!G7*12/8.76*FCM_coincidence)+('price forecasts'!G8/8.76*RNS_coincidence))*($B$3^(G$5-base_year))</f>
        <v>49.126371479228609</v>
      </c>
      <c r="H36" s="159">
        <f>(H6*Custom_LMP_multiplier+('price forecasts'!H7*12/8.76*FCM_coincidence)+('price forecasts'!H8/8.76*RNS_coincidence))*($B$3^(H$5-base_year))</f>
        <v>50.469192572743609</v>
      </c>
      <c r="I36" s="159">
        <f>(I6*Custom_LMP_multiplier+('price forecasts'!I7*12/8.76*FCM_coincidence)+('price forecasts'!I8/8.76*RNS_coincidence))*($B$3^(I$5-base_year))</f>
        <v>50.572450729874348</v>
      </c>
      <c r="J36" s="159">
        <f>(J6*Custom_LMP_multiplier+('price forecasts'!J7*12/8.76*FCM_coincidence)+('price forecasts'!J8/8.76*RNS_coincidence))*($B$3^(J$5-base_year))</f>
        <v>50.302599084958842</v>
      </c>
      <c r="K36" s="159">
        <f>(K6*Custom_LMP_multiplier+('price forecasts'!K7*12/8.76*FCM_coincidence)+('price forecasts'!K8/8.76*RNS_coincidence))*($B$3^(K$5-base_year))</f>
        <v>53.879721362345222</v>
      </c>
      <c r="L36" s="159">
        <f>(L6*Custom_LMP_multiplier+('price forecasts'!L7*12/8.76*FCM_coincidence)+('price forecasts'!L8/8.76*RNS_coincidence))*($B$3^(L$5-base_year))</f>
        <v>52.806675314139348</v>
      </c>
      <c r="M36" s="159">
        <f>(M6*Custom_LMP_multiplier+('price forecasts'!M7*12/8.76*FCM_coincidence)+('price forecasts'!M8/8.76*RNS_coincidence))*($B$3^(M$5-base_year))</f>
        <v>53.976584493796651</v>
      </c>
      <c r="N36" s="160">
        <f>(N6*Custom_LMP_multiplier+('price forecasts'!N7*12/8.76*FCM_coincidence)+('price forecasts'!N8/8.76*RNS_coincidence))*($B$3^(N$5-base_year))</f>
        <v>56.307019304581736</v>
      </c>
      <c r="O36" s="61"/>
      <c r="AE36" s="242">
        <f>(N36/E36)^(1/($N$5-$E$5))-1</f>
        <v>1.4189457280509465E-2</v>
      </c>
    </row>
    <row r="37" spans="1:31" x14ac:dyDescent="0.3">
      <c r="A37" s="155"/>
      <c r="B37" s="156"/>
      <c r="C37" s="158"/>
      <c r="D37" s="156"/>
      <c r="E37" s="159"/>
      <c r="F37" s="159"/>
      <c r="G37" s="159"/>
      <c r="H37" s="159"/>
      <c r="I37" s="159"/>
      <c r="J37" s="159"/>
      <c r="K37" s="159"/>
      <c r="L37" s="159"/>
      <c r="M37" s="159"/>
      <c r="N37" s="160"/>
      <c r="O37" s="61"/>
    </row>
    <row r="38" spans="1:31" x14ac:dyDescent="0.3">
      <c r="A38" s="155"/>
      <c r="B38" s="156" t="s">
        <v>202</v>
      </c>
      <c r="C38" s="158"/>
      <c r="D38" s="156"/>
      <c r="E38" s="175">
        <v>1</v>
      </c>
      <c r="F38" s="161">
        <f>F33/E33</f>
        <v>0.9824218009603245</v>
      </c>
      <c r="G38" s="161">
        <f>G33/F33</f>
        <v>1.0091698623553642</v>
      </c>
      <c r="H38" s="161">
        <f>H33/G33</f>
        <v>1.0275325719609261</v>
      </c>
      <c r="I38" s="161">
        <f t="shared" ref="I38:M38" si="9">I33/H33</f>
        <v>1.0018256175973441</v>
      </c>
      <c r="J38" s="161">
        <f t="shared" si="9"/>
        <v>0.99453088054308314</v>
      </c>
      <c r="K38" s="161">
        <f t="shared" si="9"/>
        <v>1.0713264750755986</v>
      </c>
      <c r="L38" s="161">
        <f t="shared" si="9"/>
        <v>0.97977983638655086</v>
      </c>
      <c r="M38" s="161">
        <f t="shared" si="9"/>
        <v>1.0220523800446961</v>
      </c>
      <c r="N38" s="162">
        <f>N33/M33</f>
        <v>1.043198276072443</v>
      </c>
      <c r="O38" s="61"/>
    </row>
    <row r="39" spans="1:31" x14ac:dyDescent="0.3">
      <c r="A39" s="155"/>
      <c r="B39" s="156"/>
      <c r="C39" s="156"/>
      <c r="D39" s="156"/>
      <c r="E39" s="156"/>
      <c r="F39" s="156"/>
      <c r="G39" s="156"/>
      <c r="H39" s="156"/>
      <c r="I39" s="156"/>
      <c r="J39" s="156"/>
      <c r="K39" s="156"/>
      <c r="L39" s="156"/>
      <c r="M39" s="156"/>
      <c r="N39" s="157"/>
    </row>
    <row r="40" spans="1:31" x14ac:dyDescent="0.3">
      <c r="A40" s="155"/>
      <c r="B40" s="163" t="s">
        <v>203</v>
      </c>
      <c r="C40" s="164" t="s">
        <v>134</v>
      </c>
      <c r="D40" s="156"/>
      <c r="E40" s="165">
        <f>SUMIF($A12:$A14,FF_scenario,E$12:E$14)</f>
        <v>17</v>
      </c>
      <c r="F40" s="165">
        <f t="shared" ref="F40:N40" si="10">SUMIF($A12:$A14,FF_scenario,F$12:F$14)</f>
        <v>17.271999999999998</v>
      </c>
      <c r="G40" s="165">
        <f t="shared" si="10"/>
        <v>17.548351999999998</v>
      </c>
      <c r="H40" s="165">
        <f t="shared" si="10"/>
        <v>17.829125631999997</v>
      </c>
      <c r="I40" s="165">
        <f t="shared" si="10"/>
        <v>18.114391642111997</v>
      </c>
      <c r="J40" s="165">
        <f t="shared" si="10"/>
        <v>18.404221908385789</v>
      </c>
      <c r="K40" s="165">
        <f t="shared" si="10"/>
        <v>18.698689458919961</v>
      </c>
      <c r="L40" s="165">
        <f t="shared" si="10"/>
        <v>18.997868490262682</v>
      </c>
      <c r="M40" s="165">
        <f t="shared" si="10"/>
        <v>19.301834386106886</v>
      </c>
      <c r="N40" s="166">
        <f t="shared" si="10"/>
        <v>19.610663736284597</v>
      </c>
    </row>
    <row r="41" spans="1:31" x14ac:dyDescent="0.3">
      <c r="A41" s="155"/>
      <c r="B41" s="163" t="s">
        <v>204</v>
      </c>
      <c r="C41" s="164" t="s">
        <v>134</v>
      </c>
      <c r="D41" s="156"/>
      <c r="E41" s="165">
        <f t="shared" ref="E41:N41" si="11">SUMIF($A17:$A19,FF_scenario,E$17:E$19)</f>
        <v>20</v>
      </c>
      <c r="F41" s="165">
        <f t="shared" si="11"/>
        <v>20.32</v>
      </c>
      <c r="G41" s="165">
        <f t="shared" si="11"/>
        <v>20.645120000000002</v>
      </c>
      <c r="H41" s="165">
        <f t="shared" si="11"/>
        <v>20.975441920000002</v>
      </c>
      <c r="I41" s="165">
        <f t="shared" si="11"/>
        <v>21.311048990720003</v>
      </c>
      <c r="J41" s="165">
        <f t="shared" si="11"/>
        <v>21.652025774571523</v>
      </c>
      <c r="K41" s="165">
        <f t="shared" si="11"/>
        <v>21.998458186964669</v>
      </c>
      <c r="L41" s="165">
        <f t="shared" si="11"/>
        <v>22.350433517956105</v>
      </c>
      <c r="M41" s="165">
        <f t="shared" si="11"/>
        <v>22.708040454243402</v>
      </c>
      <c r="N41" s="166">
        <f t="shared" si="11"/>
        <v>23.071369101511298</v>
      </c>
    </row>
    <row r="42" spans="1:31" x14ac:dyDescent="0.3">
      <c r="A42" s="155"/>
      <c r="B42" s="167" t="s">
        <v>81</v>
      </c>
      <c r="C42" s="156" t="s">
        <v>54</v>
      </c>
      <c r="D42" s="156"/>
      <c r="E42" s="165">
        <f t="shared" ref="E42:N42" si="12">SUMIF($A21:$A23,REC_scenario,E$21:E$23)</f>
        <v>1</v>
      </c>
      <c r="F42" s="165">
        <f t="shared" si="12"/>
        <v>1.2</v>
      </c>
      <c r="G42" s="165">
        <f t="shared" si="12"/>
        <v>1.44</v>
      </c>
      <c r="H42" s="165">
        <f t="shared" si="12"/>
        <v>1.728</v>
      </c>
      <c r="I42" s="165">
        <f t="shared" si="12"/>
        <v>2.0735999999999999</v>
      </c>
      <c r="J42" s="165">
        <f t="shared" si="12"/>
        <v>2.4883199999999999</v>
      </c>
      <c r="K42" s="165">
        <f t="shared" si="12"/>
        <v>2.9859839999999997</v>
      </c>
      <c r="L42" s="165">
        <f t="shared" si="12"/>
        <v>3.5831807999999996</v>
      </c>
      <c r="M42" s="165">
        <f t="shared" si="12"/>
        <v>4.2998169599999994</v>
      </c>
      <c r="N42" s="166">
        <f t="shared" si="12"/>
        <v>5.1597803519999994</v>
      </c>
    </row>
    <row r="43" spans="1:31" ht="15" thickBot="1" x14ac:dyDescent="0.35">
      <c r="A43" s="168"/>
      <c r="B43" s="169" t="s">
        <v>82</v>
      </c>
      <c r="C43" s="170" t="s">
        <v>54</v>
      </c>
      <c r="D43" s="170"/>
      <c r="E43" s="171">
        <f t="shared" ref="E43:N43" si="13">SUMIF($A25:$A27,REC_scenario,E$25:E$27)</f>
        <v>7</v>
      </c>
      <c r="F43" s="171">
        <f t="shared" si="13"/>
        <v>13</v>
      </c>
      <c r="G43" s="171">
        <f t="shared" si="13"/>
        <v>19</v>
      </c>
      <c r="H43" s="171">
        <f t="shared" si="13"/>
        <v>22</v>
      </c>
      <c r="I43" s="171">
        <f t="shared" si="13"/>
        <v>23</v>
      </c>
      <c r="J43" s="171">
        <f t="shared" si="13"/>
        <v>24</v>
      </c>
      <c r="K43" s="171">
        <f t="shared" si="13"/>
        <v>24</v>
      </c>
      <c r="L43" s="171">
        <f t="shared" si="13"/>
        <v>24</v>
      </c>
      <c r="M43" s="171">
        <f t="shared" si="13"/>
        <v>24</v>
      </c>
      <c r="N43" s="172">
        <f t="shared" si="13"/>
        <v>24</v>
      </c>
    </row>
    <row r="49" spans="2:2" x14ac:dyDescent="0.3">
      <c r="B49" t="s">
        <v>133</v>
      </c>
    </row>
    <row r="50" spans="2:2" x14ac:dyDescent="0.3">
      <c r="B50" t="s">
        <v>179</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O51"/>
  <sheetViews>
    <sheetView zoomScale="90" zoomScaleNormal="90" workbookViewId="0">
      <selection activeCell="C42" sqref="C42"/>
    </sheetView>
  </sheetViews>
  <sheetFormatPr defaultRowHeight="14.4" x14ac:dyDescent="0.3"/>
  <cols>
    <col min="2" max="2" width="39.44140625" customWidth="1"/>
    <col min="3" max="3" width="17.44140625" bestFit="1" customWidth="1"/>
    <col min="4" max="4" width="20" bestFit="1" customWidth="1"/>
    <col min="5" max="5" width="16.44140625" bestFit="1" customWidth="1"/>
    <col min="6" max="12" width="15.44140625" bestFit="1" customWidth="1"/>
    <col min="13" max="14" width="15" bestFit="1" customWidth="1"/>
  </cols>
  <sheetData>
    <row r="3" spans="2:5" x14ac:dyDescent="0.3">
      <c r="B3" t="s">
        <v>520</v>
      </c>
    </row>
    <row r="4" spans="2:5" ht="15" thickBot="1" x14ac:dyDescent="0.35"/>
    <row r="5" spans="2:5" x14ac:dyDescent="0.3">
      <c r="B5" s="180" t="s">
        <v>557</v>
      </c>
      <c r="C5" s="268" t="s">
        <v>519</v>
      </c>
    </row>
    <row r="6" spans="2:5" x14ac:dyDescent="0.3">
      <c r="B6" s="207" t="s">
        <v>39</v>
      </c>
      <c r="C6" s="266">
        <v>-1.4926139628678486E-4</v>
      </c>
    </row>
    <row r="7" spans="2:5" x14ac:dyDescent="0.3">
      <c r="B7" s="207" t="s">
        <v>515</v>
      </c>
      <c r="C7" s="266">
        <v>1.2087642289332534E-3</v>
      </c>
    </row>
    <row r="8" spans="2:5" x14ac:dyDescent="0.3">
      <c r="B8" s="207" t="s">
        <v>40</v>
      </c>
      <c r="C8" s="266">
        <v>3.4975262069911178E-3</v>
      </c>
    </row>
    <row r="9" spans="2:5" ht="14.25" customHeight="1" x14ac:dyDescent="0.3">
      <c r="B9" s="207" t="s">
        <v>516</v>
      </c>
      <c r="C9" s="266">
        <v>0.20241852902268084</v>
      </c>
    </row>
    <row r="10" spans="2:5" ht="14.25" customHeight="1" x14ac:dyDescent="0.4">
      <c r="B10" s="207" t="s">
        <v>41</v>
      </c>
      <c r="C10" s="266">
        <v>0.14292602103244564</v>
      </c>
      <c r="E10" s="271"/>
    </row>
    <row r="11" spans="2:5" x14ac:dyDescent="0.3">
      <c r="B11" s="207" t="s">
        <v>42</v>
      </c>
      <c r="C11" s="266">
        <v>0</v>
      </c>
    </row>
    <row r="12" spans="2:5" x14ac:dyDescent="0.3">
      <c r="B12" s="207" t="s">
        <v>271</v>
      </c>
      <c r="C12" s="266">
        <v>2.9463828131980571E-3</v>
      </c>
    </row>
    <row r="13" spans="2:5" x14ac:dyDescent="0.3">
      <c r="B13" s="207" t="s">
        <v>517</v>
      </c>
      <c r="C13" s="266">
        <v>0.12831583693235105</v>
      </c>
    </row>
    <row r="14" spans="2:5" x14ac:dyDescent="0.3">
      <c r="B14" s="207" t="s">
        <v>13</v>
      </c>
      <c r="C14" s="266">
        <v>1.29194030786006E-4</v>
      </c>
    </row>
    <row r="15" spans="2:5" x14ac:dyDescent="0.3">
      <c r="B15" s="207" t="s">
        <v>518</v>
      </c>
      <c r="C15" s="266">
        <v>0.51870700712890083</v>
      </c>
    </row>
    <row r="16" spans="2:5" x14ac:dyDescent="0.3">
      <c r="B16" s="269" t="s">
        <v>43</v>
      </c>
      <c r="C16" s="270">
        <v>0</v>
      </c>
    </row>
    <row r="17" spans="2:15" ht="15" thickBot="1" x14ac:dyDescent="0.35">
      <c r="B17" s="209" t="s">
        <v>8</v>
      </c>
      <c r="C17" s="267">
        <v>1</v>
      </c>
    </row>
    <row r="19" spans="2:15" x14ac:dyDescent="0.3">
      <c r="B19" t="s">
        <v>548</v>
      </c>
      <c r="C19" s="23">
        <f>C15</f>
        <v>0.51870700712890083</v>
      </c>
    </row>
    <row r="20" spans="2:15" x14ac:dyDescent="0.3">
      <c r="B20" t="s">
        <v>614</v>
      </c>
      <c r="C20" s="16">
        <f>C19*C22</f>
        <v>2809135.3764826697</v>
      </c>
    </row>
    <row r="21" spans="2:15" x14ac:dyDescent="0.3">
      <c r="B21" t="s">
        <v>618</v>
      </c>
      <c r="C21" s="16">
        <f>C20*8</f>
        <v>22473083.011861358</v>
      </c>
    </row>
    <row r="22" spans="2:15" x14ac:dyDescent="0.3">
      <c r="B22" t="s">
        <v>521</v>
      </c>
      <c r="C22" s="22">
        <f>loads!D3</f>
        <v>5415649.5630000001</v>
      </c>
      <c r="D22" s="16"/>
    </row>
    <row r="23" spans="2:15" x14ac:dyDescent="0.3">
      <c r="B23" t="s">
        <v>545</v>
      </c>
      <c r="C23" s="22">
        <v>710</v>
      </c>
    </row>
    <row r="24" spans="2:15" x14ac:dyDescent="0.3">
      <c r="B24" t="s">
        <v>546</v>
      </c>
      <c r="C24" s="22">
        <v>842</v>
      </c>
    </row>
    <row r="25" spans="2:15" x14ac:dyDescent="0.3">
      <c r="B25" t="s">
        <v>559</v>
      </c>
      <c r="C25" s="16">
        <f>C22*C15*C24</f>
        <v>2365291986.9984078</v>
      </c>
      <c r="D25" t="s">
        <v>522</v>
      </c>
      <c r="E25" s="18"/>
    </row>
    <row r="26" spans="2:15" x14ac:dyDescent="0.3">
      <c r="B26" t="s">
        <v>558</v>
      </c>
      <c r="C26" s="335">
        <f>C25/C22</f>
        <v>436.75130000253449</v>
      </c>
    </row>
    <row r="28" spans="2:15" s="20" customFormat="1" x14ac:dyDescent="0.3">
      <c r="D28" s="60">
        <v>2017</v>
      </c>
      <c r="E28" s="60">
        <v>2018</v>
      </c>
      <c r="F28" s="60">
        <v>2019</v>
      </c>
      <c r="G28" s="60">
        <v>2020</v>
      </c>
      <c r="H28" s="60">
        <v>2021</v>
      </c>
      <c r="I28" s="60">
        <v>2022</v>
      </c>
      <c r="J28" s="60">
        <v>2023</v>
      </c>
      <c r="K28" s="60">
        <v>2024</v>
      </c>
      <c r="L28" s="60">
        <v>2025</v>
      </c>
      <c r="M28" s="60">
        <v>2026</v>
      </c>
      <c r="N28" s="60">
        <v>2027</v>
      </c>
      <c r="O28" s="60"/>
    </row>
    <row r="29" spans="2:15" s="20" customFormat="1" x14ac:dyDescent="0.3">
      <c r="B29" s="11" t="s">
        <v>526</v>
      </c>
      <c r="D29" s="272">
        <f>requirements!D4</f>
        <v>5415649.5630000001</v>
      </c>
      <c r="E29" s="272">
        <f>requirements!E4</f>
        <v>5341091.5524739269</v>
      </c>
      <c r="F29" s="272">
        <f>requirements!F4</f>
        <v>5286929.92645464</v>
      </c>
      <c r="G29" s="272">
        <f>requirements!G4</f>
        <v>5238969.8199460395</v>
      </c>
      <c r="H29" s="272">
        <f>requirements!H4</f>
        <v>5197354.3321386399</v>
      </c>
      <c r="I29" s="272">
        <f>requirements!I4</f>
        <v>5182183.1531348005</v>
      </c>
      <c r="J29" s="272">
        <f>requirements!J4</f>
        <v>5186531.6765560079</v>
      </c>
      <c r="K29" s="272">
        <f>requirements!K4</f>
        <v>5200454.727385534</v>
      </c>
      <c r="L29" s="272">
        <f>requirements!L4</f>
        <v>5212855.9367448678</v>
      </c>
      <c r="M29" s="272">
        <f>requirements!M4</f>
        <v>5226511.9172058338</v>
      </c>
      <c r="N29" s="272">
        <f>requirements!N4</f>
        <v>5248379.1114497324</v>
      </c>
      <c r="O29" s="60"/>
    </row>
    <row r="30" spans="2:15" s="20" customFormat="1" x14ac:dyDescent="0.3">
      <c r="D30" s="60"/>
      <c r="E30" s="60"/>
      <c r="F30" s="60"/>
      <c r="G30" s="60"/>
      <c r="H30" s="60"/>
      <c r="I30" s="60"/>
      <c r="J30" s="60"/>
      <c r="K30" s="60"/>
      <c r="L30" s="60"/>
      <c r="M30" s="60"/>
      <c r="N30" s="60"/>
      <c r="O30" s="60"/>
    </row>
    <row r="32" spans="2:15" s="24" customFormat="1" x14ac:dyDescent="0.3">
      <c r="B32" s="24" t="s">
        <v>523</v>
      </c>
      <c r="C32" s="24" t="s">
        <v>5</v>
      </c>
      <c r="D32" s="24">
        <f>SUM(requirements!D7:D8)</f>
        <v>0.55000000000000004</v>
      </c>
      <c r="E32" s="24">
        <f>SUM(requirements!E7:E8)</f>
        <v>0.55000000000000004</v>
      </c>
      <c r="F32" s="24">
        <f>SUM(requirements!F7:F8)</f>
        <v>0.55000000000000004</v>
      </c>
      <c r="G32" s="24">
        <f>SUM(requirements!G7:G8)</f>
        <v>0.59</v>
      </c>
      <c r="H32" s="24">
        <f>SUM(requirements!H7:H8)</f>
        <v>0.59</v>
      </c>
      <c r="I32" s="24">
        <f>SUM(requirements!I7:I8)</f>
        <v>0.59</v>
      </c>
      <c r="J32" s="24">
        <f>SUM(requirements!J7:J8)</f>
        <v>0.63</v>
      </c>
      <c r="K32" s="24">
        <f>SUM(requirements!K7:K8)</f>
        <v>0.63000000000000012</v>
      </c>
      <c r="L32" s="24">
        <f>SUM(requirements!L7:L8)</f>
        <v>0.63</v>
      </c>
      <c r="M32" s="24">
        <f>SUM(requirements!M7:M8)</f>
        <v>0.67</v>
      </c>
      <c r="N32" s="24">
        <f>SUM(requirements!N7:N8)</f>
        <v>0.67</v>
      </c>
    </row>
    <row r="33" spans="2:14" s="24" customFormat="1" x14ac:dyDescent="0.3">
      <c r="B33" s="24" t="s">
        <v>524</v>
      </c>
      <c r="C33" s="24" t="s">
        <v>5</v>
      </c>
      <c r="D33" s="24">
        <f>C13</f>
        <v>0.12831583693235105</v>
      </c>
      <c r="E33" s="24">
        <f>D33</f>
        <v>0.12831583693235105</v>
      </c>
      <c r="F33" s="24">
        <f t="shared" ref="F33:N33" si="0">E33</f>
        <v>0.12831583693235105</v>
      </c>
      <c r="G33" s="24">
        <f t="shared" si="0"/>
        <v>0.12831583693235105</v>
      </c>
      <c r="H33" s="24">
        <f t="shared" si="0"/>
        <v>0.12831583693235105</v>
      </c>
      <c r="I33" s="24">
        <f t="shared" si="0"/>
        <v>0.12831583693235105</v>
      </c>
      <c r="J33" s="24">
        <f t="shared" si="0"/>
        <v>0.12831583693235105</v>
      </c>
      <c r="K33" s="24">
        <f t="shared" si="0"/>
        <v>0.12831583693235105</v>
      </c>
      <c r="L33" s="24">
        <f t="shared" si="0"/>
        <v>0.12831583693235105</v>
      </c>
      <c r="M33" s="24">
        <f t="shared" si="0"/>
        <v>0.12831583693235105</v>
      </c>
      <c r="N33" s="24">
        <f t="shared" si="0"/>
        <v>0.12831583693235105</v>
      </c>
    </row>
    <row r="34" spans="2:14" x14ac:dyDescent="0.3">
      <c r="B34" t="s">
        <v>525</v>
      </c>
      <c r="C34" t="s">
        <v>5</v>
      </c>
      <c r="D34" s="3">
        <f>1-D32-D33</f>
        <v>0.32168416306764891</v>
      </c>
      <c r="E34" s="3">
        <f t="shared" ref="E34:N34" si="1">1-E32-E33</f>
        <v>0.32168416306764891</v>
      </c>
      <c r="F34" s="3">
        <f t="shared" si="1"/>
        <v>0.32168416306764891</v>
      </c>
      <c r="G34" s="3">
        <f t="shared" si="1"/>
        <v>0.28168416306764898</v>
      </c>
      <c r="H34" s="3">
        <f t="shared" si="1"/>
        <v>0.28168416306764898</v>
      </c>
      <c r="I34" s="3">
        <f t="shared" si="1"/>
        <v>0.28168416306764898</v>
      </c>
      <c r="J34" s="3">
        <f t="shared" si="1"/>
        <v>0.24168416306764895</v>
      </c>
      <c r="K34" s="3">
        <f t="shared" si="1"/>
        <v>0.24168416306764884</v>
      </c>
      <c r="L34" s="3">
        <f t="shared" si="1"/>
        <v>0.24168416306764895</v>
      </c>
      <c r="M34" s="3">
        <f t="shared" si="1"/>
        <v>0.20168416306764891</v>
      </c>
      <c r="N34" s="3">
        <f t="shared" si="1"/>
        <v>0.20168416306764891</v>
      </c>
    </row>
    <row r="36" spans="2:14" x14ac:dyDescent="0.3">
      <c r="B36" t="s">
        <v>527</v>
      </c>
      <c r="C36" t="s">
        <v>1</v>
      </c>
      <c r="D36" s="16">
        <f>D34*D29</f>
        <v>1742128.6971413335</v>
      </c>
      <c r="E36" s="16">
        <f t="shared" ref="E36:N36" si="2">E34*E29</f>
        <v>1718144.5659252647</v>
      </c>
      <c r="F36" s="16">
        <f t="shared" si="2"/>
        <v>1700721.6285888674</v>
      </c>
      <c r="G36" s="16">
        <f t="shared" si="2"/>
        <v>1475734.8290681718</v>
      </c>
      <c r="H36" s="16">
        <f t="shared" si="2"/>
        <v>1464012.4052144925</v>
      </c>
      <c r="I36" s="16">
        <f t="shared" si="2"/>
        <v>1459738.9243540466</v>
      </c>
      <c r="J36" s="16">
        <f t="shared" si="2"/>
        <v>1253502.5674722889</v>
      </c>
      <c r="K36" s="16">
        <f t="shared" si="2"/>
        <v>1256867.5483593708</v>
      </c>
      <c r="L36" s="16">
        <f t="shared" si="2"/>
        <v>1259864.7242644085</v>
      </c>
      <c r="M36" s="16">
        <f t="shared" si="2"/>
        <v>1054104.6817847518</v>
      </c>
      <c r="N36" s="16">
        <f t="shared" si="2"/>
        <v>1058514.9485544702</v>
      </c>
    </row>
    <row r="37" spans="2:14" x14ac:dyDescent="0.3">
      <c r="B37" t="s">
        <v>528</v>
      </c>
      <c r="C37" t="s">
        <v>522</v>
      </c>
      <c r="D37" s="18">
        <f>D36*$C$24</f>
        <v>1466872362.9930029</v>
      </c>
      <c r="E37" s="18">
        <f>E36*$C$24</f>
        <v>1446677724.509073</v>
      </c>
      <c r="F37" s="18">
        <f t="shared" ref="F37:N37" si="3">F36*$C$24</f>
        <v>1432007611.2718263</v>
      </c>
      <c r="G37" s="18">
        <f t="shared" si="3"/>
        <v>1242568726.0754006</v>
      </c>
      <c r="H37" s="18">
        <f t="shared" si="3"/>
        <v>1232698445.1906025</v>
      </c>
      <c r="I37" s="18">
        <f t="shared" si="3"/>
        <v>1229100174.3061073</v>
      </c>
      <c r="J37" s="18">
        <f t="shared" si="3"/>
        <v>1055449161.8116672</v>
      </c>
      <c r="K37" s="18">
        <f t="shared" si="3"/>
        <v>1058282475.7185903</v>
      </c>
      <c r="L37" s="18">
        <f t="shared" si="3"/>
        <v>1060806097.830632</v>
      </c>
      <c r="M37" s="18">
        <f t="shared" si="3"/>
        <v>887556142.06276107</v>
      </c>
      <c r="N37" s="18">
        <f t="shared" si="3"/>
        <v>891269586.68286395</v>
      </c>
    </row>
    <row r="39" spans="2:14" x14ac:dyDescent="0.3">
      <c r="B39" t="s">
        <v>529</v>
      </c>
      <c r="C39" t="s">
        <v>522</v>
      </c>
      <c r="D39" s="18">
        <f t="shared" ref="D39:N39" si="4">$C$25-D37</f>
        <v>898419624.00540495</v>
      </c>
      <c r="E39" s="18">
        <f t="shared" si="4"/>
        <v>918614262.48933482</v>
      </c>
      <c r="F39" s="18">
        <f t="shared" si="4"/>
        <v>933284375.72658157</v>
      </c>
      <c r="G39" s="18">
        <f t="shared" si="4"/>
        <v>1122723260.9230072</v>
      </c>
      <c r="H39" s="18">
        <f t="shared" si="4"/>
        <v>1132593541.8078053</v>
      </c>
      <c r="I39" s="18">
        <f t="shared" si="4"/>
        <v>1136191812.6923006</v>
      </c>
      <c r="J39" s="18">
        <f t="shared" si="4"/>
        <v>1309842825.1867406</v>
      </c>
      <c r="K39" s="18">
        <f t="shared" si="4"/>
        <v>1307009511.2798176</v>
      </c>
      <c r="L39" s="18">
        <f t="shared" si="4"/>
        <v>1304485889.1677759</v>
      </c>
      <c r="M39" s="18">
        <f t="shared" si="4"/>
        <v>1477735844.9356468</v>
      </c>
      <c r="N39" s="18">
        <f t="shared" si="4"/>
        <v>1474022400.3155439</v>
      </c>
    </row>
    <row r="40" spans="2:14" x14ac:dyDescent="0.3">
      <c r="B40" t="s">
        <v>608</v>
      </c>
      <c r="C40" t="s">
        <v>522</v>
      </c>
      <c r="D40" s="18"/>
      <c r="E40" s="18">
        <f>'Tier III'!E90</f>
        <v>40144679.57286606</v>
      </c>
      <c r="F40" s="18">
        <f>'Tier III'!F90</f>
        <v>65556996.901940584</v>
      </c>
      <c r="G40" s="18">
        <f>'Tier III'!G90</f>
        <v>95469189.906163871</v>
      </c>
      <c r="H40" s="18">
        <f>'Tier III'!H90</f>
        <v>129812215.07142328</v>
      </c>
      <c r="I40" s="18">
        <f>'Tier III'!I90</f>
        <v>168551032.63729259</v>
      </c>
      <c r="J40" s="18">
        <f>'Tier III'!J90</f>
        <v>211880827.63729325</v>
      </c>
      <c r="K40" s="18">
        <f>'Tier III'!K90</f>
        <v>259952566.00453034</v>
      </c>
      <c r="L40" s="18">
        <f>'Tier III'!L90</f>
        <v>304703957.89608228</v>
      </c>
      <c r="M40" s="18">
        <f>'Tier III'!M90</f>
        <v>351547954.12200266</v>
      </c>
      <c r="N40" s="18">
        <f>'Tier III'!N90</f>
        <v>400717363.33765775</v>
      </c>
    </row>
    <row r="41" spans="2:14" x14ac:dyDescent="0.3">
      <c r="D41" s="18"/>
      <c r="E41" s="18"/>
      <c r="F41" s="18"/>
      <c r="G41" s="18"/>
      <c r="H41" s="18"/>
      <c r="I41" s="18"/>
      <c r="J41" s="18"/>
      <c r="K41" s="18"/>
      <c r="L41" s="18"/>
      <c r="M41" s="18"/>
      <c r="N41" s="18"/>
    </row>
    <row r="42" spans="2:14" x14ac:dyDescent="0.3">
      <c r="B42" t="s">
        <v>529</v>
      </c>
      <c r="C42" t="s">
        <v>547</v>
      </c>
      <c r="D42" s="18">
        <f>D39/2204</f>
        <v>407631.40835090971</v>
      </c>
      <c r="E42" s="18">
        <f t="shared" ref="E42:N43" si="5">E39/2204</f>
        <v>416794.12998608657</v>
      </c>
      <c r="F42" s="18">
        <f t="shared" si="5"/>
        <v>423450.26121895714</v>
      </c>
      <c r="G42" s="18">
        <f t="shared" si="5"/>
        <v>509402.56847686355</v>
      </c>
      <c r="H42" s="18">
        <f t="shared" si="5"/>
        <v>513880.91733566485</v>
      </c>
      <c r="I42" s="18">
        <f t="shared" si="5"/>
        <v>515513.52662990044</v>
      </c>
      <c r="J42" s="18">
        <f t="shared" si="5"/>
        <v>594302.55226258654</v>
      </c>
      <c r="K42" s="18">
        <f t="shared" si="5"/>
        <v>593017.01963694079</v>
      </c>
      <c r="L42" s="18">
        <f t="shared" si="5"/>
        <v>591872.00052984385</v>
      </c>
      <c r="M42" s="18">
        <f t="shared" si="5"/>
        <v>670479.0585007472</v>
      </c>
      <c r="N42" s="18">
        <f t="shared" si="5"/>
        <v>668794.19252066419</v>
      </c>
    </row>
    <row r="43" spans="2:14" x14ac:dyDescent="0.3">
      <c r="B43" t="s">
        <v>608</v>
      </c>
      <c r="C43" t="s">
        <v>547</v>
      </c>
      <c r="E43" s="18">
        <f t="shared" si="5"/>
        <v>18214.464416000934</v>
      </c>
      <c r="F43" s="18">
        <f t="shared" si="5"/>
        <v>29744.553948248904</v>
      </c>
      <c r="G43" s="18">
        <f t="shared" si="5"/>
        <v>43316.329358513554</v>
      </c>
      <c r="H43" s="18">
        <f t="shared" si="5"/>
        <v>58898.464188486061</v>
      </c>
      <c r="I43" s="18">
        <f t="shared" si="5"/>
        <v>76475.060180259796</v>
      </c>
      <c r="J43" s="18">
        <f t="shared" si="5"/>
        <v>96134.676786430689</v>
      </c>
      <c r="K43" s="18">
        <f t="shared" si="5"/>
        <v>117945.8103468831</v>
      </c>
      <c r="L43" s="18">
        <f t="shared" si="5"/>
        <v>138250.43461709723</v>
      </c>
      <c r="M43" s="18">
        <f t="shared" si="5"/>
        <v>159504.51638929339</v>
      </c>
      <c r="N43" s="18">
        <f t="shared" si="5"/>
        <v>181813.68572489009</v>
      </c>
    </row>
    <row r="44" spans="2:14" x14ac:dyDescent="0.3">
      <c r="B44" t="s">
        <v>609</v>
      </c>
      <c r="E44" s="18">
        <f>SUM(E42:E43)</f>
        <v>435008.5944020875</v>
      </c>
      <c r="F44" s="18">
        <f t="shared" ref="F44:N44" si="6">SUM(F42:F43)</f>
        <v>453194.81516720605</v>
      </c>
      <c r="G44" s="18">
        <f t="shared" si="6"/>
        <v>552718.89783537714</v>
      </c>
      <c r="H44" s="18">
        <f t="shared" si="6"/>
        <v>572779.38152415096</v>
      </c>
      <c r="I44" s="18">
        <f t="shared" si="6"/>
        <v>591988.5868101602</v>
      </c>
      <c r="J44" s="18">
        <f t="shared" si="6"/>
        <v>690437.22904901719</v>
      </c>
      <c r="K44" s="18">
        <f t="shared" si="6"/>
        <v>710962.82998382393</v>
      </c>
      <c r="L44" s="18">
        <f t="shared" si="6"/>
        <v>730122.4351469411</v>
      </c>
      <c r="M44" s="18">
        <f t="shared" si="6"/>
        <v>829983.57489004056</v>
      </c>
      <c r="N44" s="18">
        <f t="shared" si="6"/>
        <v>850607.87824555428</v>
      </c>
    </row>
    <row r="46" spans="2:14" x14ac:dyDescent="0.3">
      <c r="B46" t="s">
        <v>615</v>
      </c>
      <c r="C46" t="s">
        <v>1</v>
      </c>
      <c r="D46" s="18">
        <f>$C$20-D36</f>
        <v>1067006.6793413362</v>
      </c>
      <c r="E46" s="18">
        <f t="shared" ref="E46:M46" si="7">$C$20-E36</f>
        <v>1090990.810557405</v>
      </c>
      <c r="F46" s="18">
        <f t="shared" si="7"/>
        <v>1108413.7478938024</v>
      </c>
      <c r="G46" s="18">
        <f t="shared" si="7"/>
        <v>1333400.5474144979</v>
      </c>
      <c r="H46" s="18">
        <f t="shared" si="7"/>
        <v>1345122.9712681773</v>
      </c>
      <c r="I46" s="18">
        <f t="shared" si="7"/>
        <v>1349396.4521286231</v>
      </c>
      <c r="J46" s="18">
        <f t="shared" si="7"/>
        <v>1555632.8090103809</v>
      </c>
      <c r="K46" s="18">
        <f t="shared" si="7"/>
        <v>1552267.8281232989</v>
      </c>
      <c r="L46" s="18">
        <f t="shared" si="7"/>
        <v>1549270.6522182613</v>
      </c>
      <c r="M46" s="18">
        <f t="shared" si="7"/>
        <v>1755030.6946979179</v>
      </c>
      <c r="N46" s="18">
        <f>$C$20-N36</f>
        <v>1750620.4279281995</v>
      </c>
    </row>
    <row r="47" spans="2:14" x14ac:dyDescent="0.3">
      <c r="B47" t="s">
        <v>616</v>
      </c>
      <c r="C47" t="s">
        <v>617</v>
      </c>
      <c r="D47" s="18">
        <f>D46*8</f>
        <v>8536053.43473069</v>
      </c>
      <c r="E47" s="336">
        <f>E46*8</f>
        <v>8727926.48445924</v>
      </c>
      <c r="F47" s="18">
        <f t="shared" ref="F47:M47" si="8">F46*8</f>
        <v>8867309.9831504188</v>
      </c>
      <c r="G47" s="18">
        <f t="shared" si="8"/>
        <v>10667204.379315984</v>
      </c>
      <c r="H47" s="18">
        <f t="shared" si="8"/>
        <v>10760983.770145418</v>
      </c>
      <c r="I47" s="18">
        <f t="shared" si="8"/>
        <v>10795171.617028985</v>
      </c>
      <c r="J47" s="18">
        <f t="shared" si="8"/>
        <v>12445062.472083047</v>
      </c>
      <c r="K47" s="18">
        <f t="shared" si="8"/>
        <v>12418142.624986392</v>
      </c>
      <c r="L47" s="18">
        <f t="shared" si="8"/>
        <v>12394165.21774609</v>
      </c>
      <c r="M47" s="18">
        <f t="shared" si="8"/>
        <v>14040245.557583343</v>
      </c>
      <c r="N47" s="18">
        <f>N46*8</f>
        <v>14004963.423425596</v>
      </c>
    </row>
    <row r="48" spans="2:14" x14ac:dyDescent="0.3">
      <c r="D48" s="24">
        <f t="shared" ref="D48:M48" si="9">D47/$C$21</f>
        <v>0.37983455275029848</v>
      </c>
      <c r="E48" s="24">
        <f>E47/$C$21</f>
        <v>0.38837245783556334</v>
      </c>
      <c r="F48" s="24">
        <f t="shared" si="9"/>
        <v>0.39457469980733073</v>
      </c>
      <c r="G48" s="24">
        <f t="shared" si="9"/>
        <v>0.47466582015853376</v>
      </c>
      <c r="H48" s="24">
        <f t="shared" si="9"/>
        <v>0.47883878524658768</v>
      </c>
      <c r="I48" s="24">
        <f t="shared" si="9"/>
        <v>0.480360065031187</v>
      </c>
      <c r="J48" s="24">
        <f t="shared" si="9"/>
        <v>0.55377637618810505</v>
      </c>
      <c r="K48" s="24">
        <f t="shared" si="9"/>
        <v>0.55257850551399912</v>
      </c>
      <c r="L48" s="24">
        <f t="shared" si="9"/>
        <v>0.55151156657964617</v>
      </c>
      <c r="M48" s="24">
        <f t="shared" si="9"/>
        <v>0.62475831865938736</v>
      </c>
      <c r="N48" s="24">
        <f>N47/$C$21</f>
        <v>0.62318834563258352</v>
      </c>
    </row>
    <row r="49" spans="2:14" x14ac:dyDescent="0.3">
      <c r="B49" t="s">
        <v>619</v>
      </c>
      <c r="D49" s="18"/>
      <c r="E49" s="18">
        <f>E47+'Tier III'!E82</f>
        <v>9006716.65837943</v>
      </c>
      <c r="F49" s="18">
        <f>F47+'Tier III'!F82</f>
        <v>9315248.0589256324</v>
      </c>
      <c r="G49" s="18">
        <f>G47+'Tier III'!G82</f>
        <v>11313464.447245447</v>
      </c>
      <c r="H49" s="18">
        <f>H47+'Tier III'!H82</f>
        <v>11634259.662115566</v>
      </c>
      <c r="I49" s="18">
        <f>I47+'Tier III'!I82</f>
        <v>11923946.515427155</v>
      </c>
      <c r="J49" s="18">
        <f>J47+'Tier III'!J82</f>
        <v>13859255.048324034</v>
      </c>
      <c r="K49" s="18">
        <f>K47+'Tier III'!K82</f>
        <v>14148659.597526668</v>
      </c>
      <c r="L49" s="18">
        <f>L47+'Tier III'!L82</f>
        <v>14420594.685620815</v>
      </c>
      <c r="M49" s="18">
        <f>M47+'Tier III'!M82</f>
        <v>16376518.210977938</v>
      </c>
      <c r="N49" s="18">
        <f>N47+'Tier III'!N82</f>
        <v>16666523.402371412</v>
      </c>
    </row>
    <row r="50" spans="2:14" x14ac:dyDescent="0.3">
      <c r="N50" s="336"/>
    </row>
    <row r="51" spans="2:14" x14ac:dyDescent="0.3">
      <c r="N51" s="336">
        <f>N49/(103000000+C21)</f>
        <v>0.13282947228447295</v>
      </c>
    </row>
  </sheetData>
  <pageMargins left="0.7" right="0.7" top="0.75" bottom="0.75" header="0.3" footer="0.3"/>
  <pageSetup orientation="portrait" verticalDpi="0"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5"/>
  <sheetViews>
    <sheetView zoomScale="80" zoomScaleNormal="80" workbookViewId="0">
      <selection activeCell="A27" sqref="A27"/>
    </sheetView>
  </sheetViews>
  <sheetFormatPr defaultRowHeight="14.4" x14ac:dyDescent="0.3"/>
  <cols>
    <col min="1" max="1" width="52.44140625" style="29" bestFit="1" customWidth="1"/>
    <col min="2" max="2" width="9" customWidth="1"/>
    <col min="3" max="4" width="23.44140625" bestFit="1" customWidth="1"/>
    <col min="5" max="5" width="23.44140625" style="16" bestFit="1" customWidth="1"/>
    <col min="6" max="6" width="23.44140625" bestFit="1" customWidth="1"/>
    <col min="8" max="8" width="12.6640625" bestFit="1" customWidth="1"/>
    <col min="9" max="12" width="10.44140625" bestFit="1" customWidth="1"/>
  </cols>
  <sheetData>
    <row r="1" spans="1:12" ht="69.45" customHeight="1" x14ac:dyDescent="0.3">
      <c r="A1" s="223" t="s">
        <v>244</v>
      </c>
      <c r="C1" s="220" t="s">
        <v>247</v>
      </c>
      <c r="D1" s="221" t="s">
        <v>248</v>
      </c>
      <c r="E1" s="222" t="s">
        <v>249</v>
      </c>
      <c r="F1" t="s">
        <v>222</v>
      </c>
    </row>
    <row r="2" spans="1:12" ht="28.8" x14ac:dyDescent="0.3">
      <c r="A2" s="29" t="s">
        <v>223</v>
      </c>
      <c r="C2" s="64">
        <v>82.8</v>
      </c>
      <c r="D2" s="64">
        <v>40.777376910639312</v>
      </c>
      <c r="E2" s="16">
        <v>5198.6464432480907</v>
      </c>
      <c r="F2" s="64">
        <v>36.783380215033688</v>
      </c>
      <c r="H2" s="64"/>
      <c r="I2" s="64"/>
      <c r="J2" s="64"/>
      <c r="K2" s="64"/>
      <c r="L2" s="31"/>
    </row>
    <row r="3" spans="1:12" ht="28.8" x14ac:dyDescent="0.3">
      <c r="A3" s="29" t="s">
        <v>224</v>
      </c>
      <c r="C3" s="64">
        <v>82.8</v>
      </c>
      <c r="D3" s="64">
        <v>31.378191532736952</v>
      </c>
      <c r="E3" s="16">
        <v>4000.3584380794055</v>
      </c>
      <c r="F3" s="64">
        <v>28.304811075468425</v>
      </c>
      <c r="H3" s="64"/>
      <c r="I3" s="64"/>
      <c r="J3" s="64"/>
      <c r="K3" s="64"/>
      <c r="L3" s="31"/>
    </row>
    <row r="4" spans="1:12" ht="28.8" x14ac:dyDescent="0.3">
      <c r="A4" s="29" t="s">
        <v>225</v>
      </c>
      <c r="C4" s="64">
        <v>82.8</v>
      </c>
      <c r="D4" s="64">
        <v>33.02967529761785</v>
      </c>
      <c r="E4" s="16">
        <v>4210.9036190309535</v>
      </c>
      <c r="F4" s="64">
        <v>29.794537974177288</v>
      </c>
      <c r="L4" s="31"/>
    </row>
    <row r="5" spans="1:12" ht="28.8" x14ac:dyDescent="0.3">
      <c r="A5" s="29" t="s">
        <v>226</v>
      </c>
      <c r="C5" s="64">
        <v>82.8</v>
      </c>
      <c r="D5" s="64">
        <v>38.738508065107347</v>
      </c>
      <c r="E5" s="16">
        <v>4938.7141210856853</v>
      </c>
      <c r="F5" s="64">
        <v>34.944211204282006</v>
      </c>
      <c r="L5" s="31"/>
    </row>
    <row r="6" spans="1:12" ht="28.8" x14ac:dyDescent="0.3">
      <c r="A6" s="29" t="s">
        <v>227</v>
      </c>
      <c r="C6" s="64">
        <v>82.8</v>
      </c>
      <c r="D6" s="64">
        <v>19.20093830085359</v>
      </c>
      <c r="E6" s="16">
        <v>2205.4863698628265</v>
      </c>
      <c r="F6" s="64">
        <v>18.66566444839918</v>
      </c>
      <c r="L6" s="31"/>
    </row>
    <row r="7" spans="1:12" ht="28.8" x14ac:dyDescent="0.3">
      <c r="A7" s="29" t="s">
        <v>228</v>
      </c>
      <c r="C7" s="64">
        <v>82.8</v>
      </c>
      <c r="D7" s="64">
        <v>14.775122022506837</v>
      </c>
      <c r="E7" s="16">
        <v>1697.1217616094448</v>
      </c>
      <c r="F7" s="64">
        <v>14.363228793043172</v>
      </c>
      <c r="L7" s="31"/>
    </row>
    <row r="8" spans="1:12" ht="28.8" x14ac:dyDescent="0.3">
      <c r="A8" s="29" t="s">
        <v>229</v>
      </c>
      <c r="C8" s="64">
        <v>82.8</v>
      </c>
      <c r="D8" s="64">
        <v>15.552760023691405</v>
      </c>
      <c r="E8" s="16">
        <v>1786.4439595888891</v>
      </c>
      <c r="F8" s="64">
        <v>15.119188203203336</v>
      </c>
      <c r="H8" s="64"/>
      <c r="I8" s="64"/>
      <c r="J8" s="64"/>
      <c r="K8" s="64"/>
      <c r="L8" s="31"/>
    </row>
    <row r="9" spans="1:12" ht="28.8" x14ac:dyDescent="0.3">
      <c r="A9" s="29" t="s">
        <v>230</v>
      </c>
      <c r="C9" s="64">
        <v>82.8</v>
      </c>
      <c r="D9" s="64">
        <v>18.240891385810908</v>
      </c>
      <c r="E9" s="16">
        <v>2095.212051369685</v>
      </c>
      <c r="F9" s="64">
        <v>17.732381225979225</v>
      </c>
      <c r="H9" s="64"/>
      <c r="I9" s="64"/>
      <c r="J9" s="64"/>
      <c r="K9" s="254" t="s">
        <v>509</v>
      </c>
      <c r="L9" s="31"/>
    </row>
    <row r="10" spans="1:12" s="33" customFormat="1" x14ac:dyDescent="0.3">
      <c r="A10" s="71" t="s">
        <v>245</v>
      </c>
      <c r="C10" s="218">
        <f>AVERAGE(C2:C9)</f>
        <v>82.8</v>
      </c>
      <c r="D10" s="218">
        <f>AVERAGE(D2:D9)</f>
        <v>26.461682942370523</v>
      </c>
      <c r="E10" s="67">
        <f>AVERAGE(E2:E9)</f>
        <v>3266.6108454843725</v>
      </c>
      <c r="F10" s="218">
        <f>AVERAGE(F2:F9)</f>
        <v>24.463425392448286</v>
      </c>
      <c r="H10" s="218"/>
      <c r="I10" s="218"/>
      <c r="J10" s="218"/>
      <c r="K10" s="254"/>
      <c r="L10" s="219"/>
    </row>
    <row r="11" spans="1:12" x14ac:dyDescent="0.3">
      <c r="C11" s="64"/>
      <c r="D11" s="64"/>
      <c r="F11" s="64"/>
      <c r="H11" s="64"/>
      <c r="I11" s="64"/>
      <c r="J11" s="64"/>
      <c r="K11" s="64"/>
      <c r="L11" s="31"/>
    </row>
    <row r="12" spans="1:12" x14ac:dyDescent="0.3">
      <c r="A12" s="29" t="s">
        <v>231</v>
      </c>
      <c r="C12" s="64">
        <v>12.133333333333335</v>
      </c>
      <c r="D12" s="64">
        <v>12.133333333333335</v>
      </c>
      <c r="E12" s="16">
        <v>1323.4371712601819</v>
      </c>
      <c r="F12" s="64">
        <v>10.348510748839397</v>
      </c>
    </row>
    <row r="14" spans="1:12" x14ac:dyDescent="0.3">
      <c r="A14" s="29" t="s">
        <v>232</v>
      </c>
      <c r="C14" s="64">
        <v>0.13847999999999999</v>
      </c>
      <c r="D14" s="64">
        <v>4.40375E-2</v>
      </c>
      <c r="E14" s="16">
        <v>0</v>
      </c>
      <c r="F14" s="64">
        <v>4.7255606824766604E-3</v>
      </c>
    </row>
    <row r="15" spans="1:12" x14ac:dyDescent="0.3">
      <c r="A15" s="29" t="s">
        <v>233</v>
      </c>
      <c r="C15" s="64">
        <v>94.965000000000003</v>
      </c>
      <c r="D15" s="64">
        <v>71.22375000000001</v>
      </c>
      <c r="E15" s="16">
        <v>507.25</v>
      </c>
      <c r="F15" s="64">
        <v>126.02600561540936</v>
      </c>
    </row>
    <row r="17" spans="1:11" x14ac:dyDescent="0.3">
      <c r="A17" s="29" t="s">
        <v>234</v>
      </c>
      <c r="C17" s="64">
        <v>38.323999999999998</v>
      </c>
      <c r="D17" s="64">
        <v>38.323999999999998</v>
      </c>
      <c r="E17" s="16">
        <v>2558.1999999999998</v>
      </c>
      <c r="F17" s="64">
        <v>24.40644334628179</v>
      </c>
    </row>
    <row r="18" spans="1:11" x14ac:dyDescent="0.3">
      <c r="A18" s="29" t="s">
        <v>235</v>
      </c>
      <c r="C18" s="64">
        <v>38.323999999999998</v>
      </c>
      <c r="D18" s="64">
        <v>21.571999999999999</v>
      </c>
      <c r="E18" s="16">
        <v>1496.2</v>
      </c>
      <c r="F18" s="64">
        <v>13.551341185105693</v>
      </c>
    </row>
    <row r="19" spans="1:11" s="33" customFormat="1" x14ac:dyDescent="0.3">
      <c r="A19" s="71" t="s">
        <v>250</v>
      </c>
      <c r="C19" s="218">
        <f>AVERAGE(C17:C18)</f>
        <v>38.323999999999998</v>
      </c>
      <c r="D19" s="218">
        <f>AVERAGE(D17:D18)</f>
        <v>29.948</v>
      </c>
      <c r="E19" s="67">
        <f>AVERAGE(E17:E18)</f>
        <v>2027.1999999999998</v>
      </c>
      <c r="F19" s="218">
        <f>AVERAGE(F17:F18)</f>
        <v>18.978892265693741</v>
      </c>
    </row>
    <row r="20" spans="1:11" x14ac:dyDescent="0.3">
      <c r="C20" s="19"/>
      <c r="D20" s="19"/>
      <c r="E20" s="47"/>
      <c r="F20" s="19"/>
    </row>
    <row r="21" spans="1:11" x14ac:dyDescent="0.3">
      <c r="A21" s="29" t="s">
        <v>236</v>
      </c>
      <c r="C21" s="217" t="e">
        <v>#DIV/0!</v>
      </c>
      <c r="D21" s="217">
        <v>11.318031177865612</v>
      </c>
      <c r="E21" s="47">
        <v>889</v>
      </c>
      <c r="F21" s="217">
        <v>8.4557634004352504</v>
      </c>
    </row>
    <row r="22" spans="1:11" x14ac:dyDescent="0.3">
      <c r="A22" s="29" t="s">
        <v>237</v>
      </c>
      <c r="C22" s="217" t="e">
        <v>#DIV/0!</v>
      </c>
      <c r="D22" s="217">
        <v>15.722434782608692</v>
      </c>
      <c r="E22" s="47">
        <v>1222</v>
      </c>
      <c r="F22" s="217">
        <v>11.800075450808766</v>
      </c>
    </row>
    <row r="23" spans="1:11" x14ac:dyDescent="0.3">
      <c r="A23" s="29" t="s">
        <v>238</v>
      </c>
      <c r="C23" s="217" t="e">
        <v>#DIV/0!</v>
      </c>
      <c r="D23" s="217">
        <v>15.557518671936759</v>
      </c>
      <c r="E23" s="47">
        <v>1067</v>
      </c>
      <c r="F23" s="217">
        <v>12.26635784626758</v>
      </c>
    </row>
    <row r="24" spans="1:11" x14ac:dyDescent="0.3">
      <c r="K24" s="64"/>
    </row>
    <row r="25" spans="1:11" x14ac:dyDescent="0.3">
      <c r="A25" s="29" t="s">
        <v>239</v>
      </c>
      <c r="C25" s="64">
        <v>82.8</v>
      </c>
      <c r="D25" s="64">
        <v>4.3600000000000003</v>
      </c>
      <c r="E25" s="16">
        <v>0</v>
      </c>
      <c r="F25" s="64">
        <v>4.6786135851486215</v>
      </c>
      <c r="H25" s="64"/>
      <c r="I25" s="64"/>
      <c r="J25" s="64"/>
      <c r="K25" s="64"/>
    </row>
    <row r="26" spans="1:11" x14ac:dyDescent="0.3">
      <c r="A26" s="29" t="s">
        <v>240</v>
      </c>
      <c r="C26" s="64">
        <v>38.299999999999997</v>
      </c>
      <c r="D26" s="64">
        <v>6.1589999999999998</v>
      </c>
      <c r="E26" s="16">
        <v>30</v>
      </c>
      <c r="F26" s="64">
        <v>5.1876625818220834</v>
      </c>
      <c r="H26" s="64"/>
      <c r="I26" s="64"/>
      <c r="J26" s="64"/>
      <c r="K26" s="64"/>
    </row>
    <row r="27" spans="1:11" x14ac:dyDescent="0.3">
      <c r="A27" s="29" t="s">
        <v>241</v>
      </c>
      <c r="C27" s="64">
        <v>12.1</v>
      </c>
      <c r="D27" s="64">
        <v>9.803333333333332E-2</v>
      </c>
      <c r="E27" s="16">
        <v>0</v>
      </c>
      <c r="F27" s="64">
        <v>0.10519726723182028</v>
      </c>
    </row>
    <row r="28" spans="1:11" x14ac:dyDescent="0.3">
      <c r="A28" s="29" t="s">
        <v>242</v>
      </c>
      <c r="C28" s="64">
        <v>12.1</v>
      </c>
      <c r="D28" s="64">
        <v>1.6</v>
      </c>
      <c r="E28" s="16">
        <v>0</v>
      </c>
      <c r="F28" s="64">
        <v>1.716922416568301</v>
      </c>
    </row>
    <row r="29" spans="1:11" x14ac:dyDescent="0.3">
      <c r="A29" s="29" t="s">
        <v>243</v>
      </c>
      <c r="C29" s="64">
        <v>15.02</v>
      </c>
      <c r="D29" s="64">
        <v>10.07</v>
      </c>
      <c r="E29" s="16">
        <v>0</v>
      </c>
      <c r="F29" s="64">
        <v>21.61176091855349</v>
      </c>
    </row>
    <row r="31" spans="1:11" ht="15" thickBot="1" x14ac:dyDescent="0.35"/>
    <row r="32" spans="1:11" x14ac:dyDescent="0.3">
      <c r="C32" s="173"/>
      <c r="D32" s="259" t="s">
        <v>510</v>
      </c>
      <c r="E32" s="259" t="s">
        <v>511</v>
      </c>
      <c r="F32" s="260" t="s">
        <v>512</v>
      </c>
    </row>
    <row r="33" spans="1:6" x14ac:dyDescent="0.3">
      <c r="C33" s="261" t="s">
        <v>6</v>
      </c>
      <c r="D33" s="255">
        <f>D10</f>
        <v>26.461682942370523</v>
      </c>
      <c r="E33" s="255">
        <f>AVERAGE(139,161.3)</f>
        <v>150.15</v>
      </c>
      <c r="F33" s="256">
        <f>E33*D33</f>
        <v>3973.2216937969342</v>
      </c>
    </row>
    <row r="34" spans="1:6" x14ac:dyDescent="0.3">
      <c r="C34" s="262" t="s">
        <v>7</v>
      </c>
      <c r="D34" s="255">
        <f>D19</f>
        <v>29.948</v>
      </c>
      <c r="E34" s="257">
        <v>157.19999999999999</v>
      </c>
      <c r="F34" s="256">
        <f>E34*D34</f>
        <v>4707.8256000000001</v>
      </c>
    </row>
    <row r="35" spans="1:6" x14ac:dyDescent="0.3">
      <c r="C35" s="155" t="s">
        <v>560</v>
      </c>
      <c r="D35" s="337">
        <f>D12</f>
        <v>12.133333333333335</v>
      </c>
      <c r="E35" s="255">
        <f>AVERAGE(139,161.3)</f>
        <v>150.15</v>
      </c>
      <c r="F35" s="256">
        <f t="shared" ref="F35:F42" si="0">E35*D35</f>
        <v>1821.8200000000002</v>
      </c>
    </row>
    <row r="36" spans="1:6" x14ac:dyDescent="0.3">
      <c r="C36" s="155" t="s">
        <v>561</v>
      </c>
      <c r="D36" s="337">
        <f>AVERAGE(D21:D23)</f>
        <v>14.199328210803687</v>
      </c>
      <c r="E36" s="257">
        <v>157.19999999999999</v>
      </c>
      <c r="F36" s="256">
        <f t="shared" si="0"/>
        <v>2232.1343947383393</v>
      </c>
    </row>
    <row r="37" spans="1:6" x14ac:dyDescent="0.3">
      <c r="C37" s="155" t="s">
        <v>562</v>
      </c>
      <c r="D37" s="337">
        <f>D25</f>
        <v>4.3600000000000003</v>
      </c>
      <c r="E37" s="255">
        <f>AVERAGE(139,161.3,117)</f>
        <v>139.1</v>
      </c>
      <c r="F37" s="256">
        <f t="shared" si="0"/>
        <v>606.476</v>
      </c>
    </row>
    <row r="38" spans="1:6" x14ac:dyDescent="0.3">
      <c r="C38" s="155" t="s">
        <v>563</v>
      </c>
      <c r="D38" s="156"/>
      <c r="E38" s="285"/>
      <c r="F38" s="256">
        <f t="shared" si="0"/>
        <v>0</v>
      </c>
    </row>
    <row r="39" spans="1:6" x14ac:dyDescent="0.3">
      <c r="C39" s="342" t="s">
        <v>25</v>
      </c>
      <c r="D39" s="339"/>
      <c r="E39" s="340"/>
      <c r="F39" s="341">
        <f t="shared" si="0"/>
        <v>0</v>
      </c>
    </row>
    <row r="40" spans="1:6" x14ac:dyDescent="0.3">
      <c r="C40" s="342" t="s">
        <v>26</v>
      </c>
      <c r="D40" s="374">
        <f>B55</f>
        <v>17.233066666666669</v>
      </c>
      <c r="E40" s="340">
        <f>AVERAGE(139,161.3)</f>
        <v>150.15</v>
      </c>
      <c r="F40" s="341">
        <f>E40*D40</f>
        <v>2587.5449600000006</v>
      </c>
    </row>
    <row r="41" spans="1:6" x14ac:dyDescent="0.3">
      <c r="C41" s="155" t="s">
        <v>564</v>
      </c>
      <c r="D41" s="337">
        <f>D15</f>
        <v>71.22375000000001</v>
      </c>
      <c r="E41" s="255">
        <f>AVERAGE(139,161.3)</f>
        <v>150.15</v>
      </c>
      <c r="F41" s="256">
        <f t="shared" si="0"/>
        <v>10694.246062500002</v>
      </c>
    </row>
    <row r="42" spans="1:6" ht="15" thickBot="1" x14ac:dyDescent="0.35">
      <c r="C42" s="168" t="s">
        <v>72</v>
      </c>
      <c r="D42" s="170"/>
      <c r="E42" s="258"/>
      <c r="F42" s="338">
        <f t="shared" si="0"/>
        <v>0</v>
      </c>
    </row>
    <row r="47" spans="1:6" ht="15" thickBot="1" x14ac:dyDescent="0.35"/>
    <row r="48" spans="1:6" x14ac:dyDescent="0.3">
      <c r="A48" s="373" t="s">
        <v>142</v>
      </c>
      <c r="B48" s="367"/>
    </row>
    <row r="49" spans="1:2" x14ac:dyDescent="0.3">
      <c r="A49" s="368" t="s">
        <v>587</v>
      </c>
      <c r="B49" s="369">
        <v>1</v>
      </c>
    </row>
    <row r="50" spans="1:2" x14ac:dyDescent="0.3">
      <c r="A50" s="368" t="s">
        <v>588</v>
      </c>
      <c r="B50" s="369">
        <v>30</v>
      </c>
    </row>
    <row r="51" spans="1:2" x14ac:dyDescent="0.3">
      <c r="A51" s="368" t="s">
        <v>589</v>
      </c>
      <c r="B51" s="279">
        <v>9232</v>
      </c>
    </row>
    <row r="52" spans="1:2" x14ac:dyDescent="0.3">
      <c r="A52" s="368" t="s">
        <v>590</v>
      </c>
      <c r="B52" s="369">
        <f>B49*B51/(B50*1000)</f>
        <v>0.30773333333333336</v>
      </c>
    </row>
    <row r="53" spans="1:2" x14ac:dyDescent="0.3">
      <c r="A53" s="370"/>
      <c r="B53" s="369"/>
    </row>
    <row r="54" spans="1:2" x14ac:dyDescent="0.3">
      <c r="A54" s="368" t="s">
        <v>591</v>
      </c>
      <c r="B54" s="369">
        <v>56</v>
      </c>
    </row>
    <row r="55" spans="1:2" ht="15" thickBot="1" x14ac:dyDescent="0.35">
      <c r="A55" s="371" t="s">
        <v>592</v>
      </c>
      <c r="B55" s="372">
        <f>B54*B52</f>
        <v>17.233066666666669</v>
      </c>
    </row>
  </sheetData>
  <pageMargins left="0.7" right="0.7" top="0.75" bottom="0.75" header="0.3" footer="0.3"/>
  <pageSetup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B116"/>
  <sheetViews>
    <sheetView zoomScale="80" zoomScaleNormal="80" workbookViewId="0">
      <selection activeCell="E33" sqref="E33"/>
    </sheetView>
  </sheetViews>
  <sheetFormatPr defaultColWidth="10.109375" defaultRowHeight="14.4" x14ac:dyDescent="0.3"/>
  <cols>
    <col min="1" max="1" width="31.33203125" customWidth="1"/>
    <col min="2" max="22" width="11.5546875" customWidth="1"/>
  </cols>
  <sheetData>
    <row r="2" spans="1:11" x14ac:dyDescent="0.3">
      <c r="B2" t="s">
        <v>100</v>
      </c>
      <c r="C2" t="s">
        <v>6</v>
      </c>
      <c r="G2" t="s">
        <v>100</v>
      </c>
      <c r="H2" t="s">
        <v>7</v>
      </c>
      <c r="J2" s="64">
        <f>htg_load_CCHP_space/T3_credit_CCHP_space</f>
        <v>1.7397280977931384</v>
      </c>
      <c r="K2" t="s">
        <v>101</v>
      </c>
    </row>
    <row r="3" spans="1:11" x14ac:dyDescent="0.3">
      <c r="A3" t="s">
        <v>102</v>
      </c>
      <c r="B3" s="89">
        <v>85</v>
      </c>
      <c r="C3">
        <f>B3</f>
        <v>85</v>
      </c>
      <c r="F3" s="65" t="s">
        <v>150</v>
      </c>
      <c r="G3" s="133">
        <v>10000</v>
      </c>
      <c r="H3" s="16">
        <f>G3</f>
        <v>10000</v>
      </c>
    </row>
    <row r="4" spans="1:11" x14ac:dyDescent="0.3">
      <c r="A4" t="s">
        <v>103</v>
      </c>
      <c r="B4" s="89">
        <v>15</v>
      </c>
      <c r="C4">
        <f>B4</f>
        <v>15</v>
      </c>
      <c r="F4" s="65" t="s">
        <v>151</v>
      </c>
      <c r="G4" s="134">
        <v>25000</v>
      </c>
      <c r="H4" s="134">
        <v>35000</v>
      </c>
      <c r="J4" t="s">
        <v>104</v>
      </c>
    </row>
    <row r="5" spans="1:11" x14ac:dyDescent="0.3">
      <c r="A5" t="s">
        <v>105</v>
      </c>
      <c r="B5" s="90">
        <v>5000</v>
      </c>
      <c r="C5" s="90">
        <v>3000</v>
      </c>
      <c r="F5" s="65" t="s">
        <v>152</v>
      </c>
      <c r="G5" s="24">
        <v>0</v>
      </c>
      <c r="H5" s="24">
        <v>-0.03</v>
      </c>
      <c r="J5" t="s">
        <v>106</v>
      </c>
    </row>
    <row r="6" spans="1:11" x14ac:dyDescent="0.3">
      <c r="A6" t="s">
        <v>107</v>
      </c>
      <c r="B6" s="90">
        <v>1600</v>
      </c>
      <c r="C6" s="90">
        <f>B6+150</f>
        <v>1750</v>
      </c>
      <c r="F6" s="65" t="s">
        <v>153</v>
      </c>
      <c r="G6" s="123">
        <f>((1/25.3)*121160)/1000000</f>
        <v>4.7889328063241109E-3</v>
      </c>
      <c r="H6" s="123">
        <f>((1/3)*3412)/1000000</f>
        <v>1.1373333333333333E-3</v>
      </c>
    </row>
    <row r="7" spans="1:11" x14ac:dyDescent="0.3">
      <c r="A7" s="22" t="s">
        <v>108</v>
      </c>
      <c r="B7" s="35">
        <f>inflation_rate</f>
        <v>1.9E-2</v>
      </c>
      <c r="C7" s="35">
        <v>0.01</v>
      </c>
      <c r="F7" s="65" t="s">
        <v>154</v>
      </c>
      <c r="G7" s="22">
        <f>G3*G6</f>
        <v>47.889328063241109</v>
      </c>
      <c r="H7" s="22">
        <f>H3*H6</f>
        <v>11.373333333333333</v>
      </c>
      <c r="J7" t="s">
        <v>109</v>
      </c>
    </row>
    <row r="8" spans="1:11" x14ac:dyDescent="0.3">
      <c r="A8" s="22" t="s">
        <v>110</v>
      </c>
      <c r="B8" s="135" t="s">
        <v>111</v>
      </c>
      <c r="C8" s="34">
        <v>0.5</v>
      </c>
      <c r="F8" s="65" t="s">
        <v>155</v>
      </c>
      <c r="G8" s="124">
        <f>2606/150000</f>
        <v>1.7373333333333334E-2</v>
      </c>
      <c r="H8" s="124">
        <f>529/150000</f>
        <v>3.5266666666666667E-3</v>
      </c>
      <c r="J8" t="s">
        <v>112</v>
      </c>
    </row>
    <row r="9" spans="1:11" x14ac:dyDescent="0.3">
      <c r="A9" s="22" t="s">
        <v>113</v>
      </c>
      <c r="B9" s="135" t="s">
        <v>111</v>
      </c>
      <c r="C9" s="34">
        <v>1</v>
      </c>
      <c r="F9" s="65" t="s">
        <v>156</v>
      </c>
      <c r="G9" s="96">
        <f>G8*G3</f>
        <v>173.73333333333335</v>
      </c>
      <c r="H9" s="96">
        <f>H8*G3</f>
        <v>35.266666666666666</v>
      </c>
      <c r="J9" t="s">
        <v>104</v>
      </c>
      <c r="K9" s="91"/>
    </row>
    <row r="10" spans="1:11" x14ac:dyDescent="0.3">
      <c r="A10" s="22" t="s">
        <v>114</v>
      </c>
      <c r="B10" s="135" t="s">
        <v>111</v>
      </c>
      <c r="C10" s="92">
        <f>htg_load_baseline_space*C8</f>
        <v>42.5</v>
      </c>
      <c r="F10" s="65" t="s">
        <v>157</v>
      </c>
      <c r="G10" s="1" t="s">
        <v>111</v>
      </c>
      <c r="H10" s="125">
        <f>H7/3.412</f>
        <v>3.3333333333333335</v>
      </c>
    </row>
    <row r="11" spans="1:11" x14ac:dyDescent="0.3">
      <c r="A11" s="22" t="s">
        <v>115</v>
      </c>
      <c r="B11" s="135" t="s">
        <v>111</v>
      </c>
      <c r="C11" s="92">
        <f>htg_load_baseline_water*C9</f>
        <v>15</v>
      </c>
      <c r="F11" s="65" t="s">
        <v>158</v>
      </c>
      <c r="G11" s="1" t="s">
        <v>111</v>
      </c>
      <c r="H11" s="126">
        <v>37</v>
      </c>
    </row>
    <row r="12" spans="1:11" x14ac:dyDescent="0.3">
      <c r="A12" s="22" t="s">
        <v>116</v>
      </c>
      <c r="B12" s="93">
        <f>htg_load_baseline_space</f>
        <v>85</v>
      </c>
      <c r="C12" s="92">
        <f>C3-htg_load_CCHP_space</f>
        <v>42.5</v>
      </c>
    </row>
    <row r="13" spans="1:11" x14ac:dyDescent="0.3">
      <c r="A13" s="22" t="s">
        <v>117</v>
      </c>
      <c r="B13" s="93">
        <f>htg_load_baseline_water</f>
        <v>15</v>
      </c>
      <c r="C13" s="92">
        <f>C4-C11</f>
        <v>0</v>
      </c>
    </row>
    <row r="14" spans="1:11" x14ac:dyDescent="0.3">
      <c r="A14" t="s">
        <v>118</v>
      </c>
      <c r="B14" s="1" t="s">
        <v>111</v>
      </c>
      <c r="C14" s="94">
        <v>2</v>
      </c>
      <c r="J14" s="22" t="s">
        <v>119</v>
      </c>
    </row>
    <row r="15" spans="1:11" x14ac:dyDescent="0.3">
      <c r="A15" s="22" t="s">
        <v>120</v>
      </c>
      <c r="B15" s="1" t="s">
        <v>111</v>
      </c>
      <c r="C15" s="95">
        <v>1.1000000000000001</v>
      </c>
    </row>
    <row r="16" spans="1:11" x14ac:dyDescent="0.3">
      <c r="A16" s="22" t="s">
        <v>121</v>
      </c>
      <c r="B16" s="91">
        <v>0</v>
      </c>
      <c r="C16" s="94">
        <v>0.2</v>
      </c>
      <c r="J16" s="22" t="s">
        <v>122</v>
      </c>
    </row>
    <row r="17" spans="1:28" x14ac:dyDescent="0.3">
      <c r="B17" s="96"/>
      <c r="C17" s="3"/>
      <c r="R17" s="3"/>
      <c r="T17" s="3"/>
    </row>
    <row r="18" spans="1:28" x14ac:dyDescent="0.3">
      <c r="A18" s="3" t="s">
        <v>123</v>
      </c>
      <c r="B18" s="1" t="s">
        <v>111</v>
      </c>
      <c r="C18" s="97">
        <f>[3]t3possible!$A$17</f>
        <v>24.429104785921233</v>
      </c>
      <c r="J18" t="s">
        <v>124</v>
      </c>
      <c r="R18" s="3"/>
      <c r="T18" s="3"/>
    </row>
    <row r="19" spans="1:28" x14ac:dyDescent="0.3">
      <c r="A19" t="s">
        <v>125</v>
      </c>
      <c r="B19" s="1" t="s">
        <v>111</v>
      </c>
      <c r="C19" s="97">
        <f>[3]t3possible!$A$38</f>
        <v>14.453726894874265</v>
      </c>
      <c r="J19" t="s">
        <v>124</v>
      </c>
      <c r="R19" s="3"/>
      <c r="T19" s="3"/>
    </row>
    <row r="20" spans="1:28" x14ac:dyDescent="0.3">
      <c r="C20" s="22"/>
      <c r="D20" s="22"/>
      <c r="J20" s="22"/>
      <c r="K20" s="22"/>
      <c r="L20" s="22"/>
      <c r="M20" s="91"/>
      <c r="N20" s="22"/>
      <c r="O20" s="91"/>
      <c r="P20" s="91"/>
    </row>
    <row r="21" spans="1:28" x14ac:dyDescent="0.3">
      <c r="F21" s="22"/>
      <c r="G21" s="22"/>
      <c r="H21" s="22"/>
      <c r="I21" s="22"/>
      <c r="J21" s="91"/>
      <c r="K21" s="22"/>
      <c r="L21" s="91"/>
      <c r="M21" s="91"/>
    </row>
    <row r="22" spans="1:28" x14ac:dyDescent="0.3">
      <c r="P22" s="98"/>
    </row>
    <row r="23" spans="1:28" s="20" customFormat="1" x14ac:dyDescent="0.3">
      <c r="A23" s="20" t="s">
        <v>140</v>
      </c>
      <c r="D23" s="107">
        <f>loads!D2</f>
        <v>2017</v>
      </c>
      <c r="E23" s="105">
        <f>D23+1</f>
        <v>2018</v>
      </c>
      <c r="F23" s="105">
        <f t="shared" ref="F23:N23" si="0">E23+1</f>
        <v>2019</v>
      </c>
      <c r="G23" s="105">
        <f t="shared" si="0"/>
        <v>2020</v>
      </c>
      <c r="H23" s="105">
        <f t="shared" si="0"/>
        <v>2021</v>
      </c>
      <c r="I23" s="105">
        <f t="shared" si="0"/>
        <v>2022</v>
      </c>
      <c r="J23" s="105">
        <f t="shared" si="0"/>
        <v>2023</v>
      </c>
      <c r="K23" s="105">
        <f t="shared" si="0"/>
        <v>2024</v>
      </c>
      <c r="L23" s="105">
        <f t="shared" si="0"/>
        <v>2025</v>
      </c>
      <c r="M23" s="105">
        <f t="shared" si="0"/>
        <v>2026</v>
      </c>
      <c r="N23" s="105">
        <f t="shared" si="0"/>
        <v>2027</v>
      </c>
      <c r="O23" s="105">
        <f t="shared" ref="O23:AB23" si="1">N23+1</f>
        <v>2028</v>
      </c>
      <c r="P23" s="105">
        <f t="shared" si="1"/>
        <v>2029</v>
      </c>
      <c r="Q23" s="105">
        <f t="shared" si="1"/>
        <v>2030</v>
      </c>
      <c r="R23" s="105">
        <f t="shared" si="1"/>
        <v>2031</v>
      </c>
      <c r="S23" s="105">
        <f t="shared" si="1"/>
        <v>2032</v>
      </c>
      <c r="T23" s="105">
        <f t="shared" si="1"/>
        <v>2033</v>
      </c>
      <c r="U23" s="105">
        <f t="shared" si="1"/>
        <v>2034</v>
      </c>
      <c r="V23" s="105">
        <f t="shared" si="1"/>
        <v>2035</v>
      </c>
      <c r="W23" s="105">
        <f t="shared" si="1"/>
        <v>2036</v>
      </c>
      <c r="X23" s="105">
        <f t="shared" si="1"/>
        <v>2037</v>
      </c>
      <c r="Y23" s="105">
        <f t="shared" si="1"/>
        <v>2038</v>
      </c>
      <c r="Z23" s="105">
        <f t="shared" si="1"/>
        <v>2039</v>
      </c>
      <c r="AA23" s="105">
        <f t="shared" si="1"/>
        <v>2040</v>
      </c>
      <c r="AB23" s="105">
        <f t="shared" si="1"/>
        <v>2041</v>
      </c>
    </row>
    <row r="24" spans="1:28" s="6" customFormat="1" x14ac:dyDescent="0.3">
      <c r="A24" s="6" t="s">
        <v>135</v>
      </c>
      <c r="B24" s="6" t="s">
        <v>54</v>
      </c>
      <c r="D24" s="108">
        <f>Retail_Rate_yr1</f>
        <v>179.3</v>
      </c>
      <c r="E24" s="109">
        <f t="shared" ref="E24:AB24" si="2">D24*(1+Retail_Rate_escalation)</f>
        <v>183.24460000000002</v>
      </c>
      <c r="F24" s="109">
        <f t="shared" si="2"/>
        <v>187.27598120000002</v>
      </c>
      <c r="G24" s="109">
        <f t="shared" si="2"/>
        <v>191.39605278640002</v>
      </c>
      <c r="H24" s="109">
        <f t="shared" si="2"/>
        <v>195.60676594770084</v>
      </c>
      <c r="I24" s="109">
        <f t="shared" si="2"/>
        <v>199.91011479855027</v>
      </c>
      <c r="J24" s="109">
        <f t="shared" si="2"/>
        <v>204.30813732411838</v>
      </c>
      <c r="K24" s="109">
        <f t="shared" si="2"/>
        <v>208.80291634524897</v>
      </c>
      <c r="L24" s="109">
        <f t="shared" si="2"/>
        <v>213.39658050484445</v>
      </c>
      <c r="M24" s="109">
        <f t="shared" si="2"/>
        <v>218.09130527595104</v>
      </c>
      <c r="N24" s="109">
        <f t="shared" si="2"/>
        <v>222.88931399202198</v>
      </c>
      <c r="O24" s="109">
        <f t="shared" si="2"/>
        <v>227.79287889984647</v>
      </c>
      <c r="P24" s="109">
        <f t="shared" si="2"/>
        <v>232.8043222356431</v>
      </c>
      <c r="Q24" s="109">
        <f t="shared" si="2"/>
        <v>237.92601732482726</v>
      </c>
      <c r="R24" s="109">
        <f t="shared" si="2"/>
        <v>243.16038970597347</v>
      </c>
      <c r="S24" s="109">
        <f t="shared" si="2"/>
        <v>248.50991827950489</v>
      </c>
      <c r="T24" s="109">
        <f t="shared" si="2"/>
        <v>253.97713648165399</v>
      </c>
      <c r="U24" s="109">
        <f t="shared" si="2"/>
        <v>259.56463348425035</v>
      </c>
      <c r="V24" s="109">
        <f t="shared" si="2"/>
        <v>265.27505542090387</v>
      </c>
      <c r="W24" s="109">
        <f t="shared" si="2"/>
        <v>271.11110664016377</v>
      </c>
      <c r="X24" s="109">
        <f t="shared" si="2"/>
        <v>277.07555098624738</v>
      </c>
      <c r="Y24" s="109">
        <f t="shared" si="2"/>
        <v>283.17121310794482</v>
      </c>
      <c r="Z24" s="109">
        <f t="shared" si="2"/>
        <v>289.40097979631963</v>
      </c>
      <c r="AA24" s="109">
        <f t="shared" si="2"/>
        <v>295.76780135183867</v>
      </c>
      <c r="AB24" s="109">
        <f t="shared" si="2"/>
        <v>302.27469298157911</v>
      </c>
    </row>
    <row r="25" spans="1:28" s="6" customFormat="1" x14ac:dyDescent="0.3">
      <c r="A25" s="6" t="s">
        <v>136</v>
      </c>
      <c r="B25" s="6" t="s">
        <v>54</v>
      </c>
      <c r="D25" s="108">
        <f>requirements!D17</f>
        <v>60</v>
      </c>
      <c r="E25" s="108">
        <f>requirements!E17</f>
        <v>60.78</v>
      </c>
      <c r="F25" s="108">
        <f>requirements!F17</f>
        <v>61.570139999999995</v>
      </c>
      <c r="G25" s="108">
        <f>requirements!G17</f>
        <v>62.370551819999989</v>
      </c>
      <c r="H25" s="108">
        <f>requirements!H17</f>
        <v>63.18136899365998</v>
      </c>
      <c r="I25" s="108">
        <f>requirements!I17</f>
        <v>64.002726790577555</v>
      </c>
      <c r="J25" s="108">
        <f>requirements!J17</f>
        <v>64.834762238855063</v>
      </c>
      <c r="K25" s="108">
        <f>requirements!K17</f>
        <v>65.67761414796017</v>
      </c>
      <c r="L25" s="108">
        <f>requirements!L17</f>
        <v>66.531423131883642</v>
      </c>
      <c r="M25" s="108">
        <f>requirements!M17</f>
        <v>67.39633163259812</v>
      </c>
      <c r="N25" s="108">
        <f>requirements!N17</f>
        <v>68.272483943821882</v>
      </c>
      <c r="O25" s="108">
        <f>N25*1.013</f>
        <v>69.160026235091564</v>
      </c>
      <c r="P25" s="108">
        <f>requirements!P17</f>
        <v>0</v>
      </c>
      <c r="Q25" s="108">
        <f>requirements!Q17</f>
        <v>0</v>
      </c>
      <c r="R25" s="108">
        <f>requirements!R17</f>
        <v>0</v>
      </c>
      <c r="S25" s="108">
        <f>requirements!S17</f>
        <v>0</v>
      </c>
      <c r="T25" s="108">
        <f>requirements!T17</f>
        <v>0</v>
      </c>
      <c r="U25" s="108">
        <f>requirements!U17</f>
        <v>0</v>
      </c>
      <c r="V25" s="108">
        <f>requirements!V17</f>
        <v>0</v>
      </c>
      <c r="W25" s="108">
        <f>requirements!W17</f>
        <v>0</v>
      </c>
      <c r="X25" s="108">
        <f>requirements!X17</f>
        <v>0</v>
      </c>
      <c r="Y25" s="108">
        <f>requirements!Y17</f>
        <v>0</v>
      </c>
      <c r="Z25" s="108">
        <f>requirements!Z17</f>
        <v>0</v>
      </c>
      <c r="AA25" s="108">
        <f>requirements!AA17</f>
        <v>0</v>
      </c>
      <c r="AB25" s="108">
        <f>requirements!AB17</f>
        <v>0</v>
      </c>
    </row>
    <row r="26" spans="1:28" s="58" customFormat="1" x14ac:dyDescent="0.3">
      <c r="A26" s="58" t="s">
        <v>189</v>
      </c>
      <c r="B26" s="127" t="s">
        <v>134</v>
      </c>
      <c r="D26" s="144">
        <f>'price forecasts'!D40</f>
        <v>0</v>
      </c>
      <c r="E26" s="144">
        <f>'price forecasts'!E40</f>
        <v>17</v>
      </c>
      <c r="F26" s="144">
        <f>'price forecasts'!F40</f>
        <v>17.271999999999998</v>
      </c>
      <c r="G26" s="144">
        <f>'price forecasts'!G40</f>
        <v>17.548351999999998</v>
      </c>
      <c r="H26" s="144">
        <f>'price forecasts'!H40</f>
        <v>17.829125631999997</v>
      </c>
      <c r="I26" s="144">
        <f>'price forecasts'!I40</f>
        <v>18.114391642111997</v>
      </c>
      <c r="J26" s="144">
        <f>'price forecasts'!J40</f>
        <v>18.404221908385789</v>
      </c>
      <c r="K26" s="144">
        <f>'price forecasts'!K40</f>
        <v>18.698689458919961</v>
      </c>
      <c r="L26" s="144">
        <f>'price forecasts'!L40</f>
        <v>18.997868490262682</v>
      </c>
      <c r="M26" s="144">
        <f>'price forecasts'!M40</f>
        <v>19.301834386106886</v>
      </c>
      <c r="N26" s="144">
        <f>'price forecasts'!N40</f>
        <v>19.610663736284597</v>
      </c>
      <c r="O26" s="144">
        <f>'price forecasts'!O40</f>
        <v>0</v>
      </c>
      <c r="P26" s="144">
        <f>'price forecasts'!P40</f>
        <v>0</v>
      </c>
      <c r="Q26" s="144">
        <f>'price forecasts'!Q40</f>
        <v>0</v>
      </c>
      <c r="R26" s="144">
        <f>'price forecasts'!R40</f>
        <v>0</v>
      </c>
      <c r="S26" s="144">
        <f>'price forecasts'!S40</f>
        <v>0</v>
      </c>
      <c r="T26" s="144">
        <f>'price forecasts'!T40</f>
        <v>0</v>
      </c>
      <c r="U26" s="144">
        <f>'price forecasts'!U40</f>
        <v>0</v>
      </c>
      <c r="V26" s="144">
        <f>'price forecasts'!V40</f>
        <v>0</v>
      </c>
      <c r="W26" s="144">
        <f>'price forecasts'!W40</f>
        <v>0</v>
      </c>
      <c r="X26" s="144">
        <f>'price forecasts'!X40</f>
        <v>0</v>
      </c>
      <c r="Y26" s="144">
        <f>'price forecasts'!Y40</f>
        <v>0</v>
      </c>
      <c r="Z26" s="144">
        <f>'price forecasts'!Z40</f>
        <v>0</v>
      </c>
      <c r="AA26" s="144">
        <f>'price forecasts'!AA40</f>
        <v>0</v>
      </c>
      <c r="AB26" s="144">
        <f>'price forecasts'!AB40</f>
        <v>0</v>
      </c>
    </row>
    <row r="27" spans="1:28" s="117" customFormat="1" x14ac:dyDescent="0.3">
      <c r="A27" s="117" t="s">
        <v>188</v>
      </c>
      <c r="B27" s="127" t="s">
        <v>134</v>
      </c>
      <c r="D27" s="144">
        <f>'price forecasts'!D41</f>
        <v>0</v>
      </c>
      <c r="E27" s="144">
        <f>'price forecasts'!E41</f>
        <v>20</v>
      </c>
      <c r="F27" s="144">
        <f>'price forecasts'!F41</f>
        <v>20.32</v>
      </c>
      <c r="G27" s="144">
        <f>'price forecasts'!G41</f>
        <v>20.645120000000002</v>
      </c>
      <c r="H27" s="144">
        <f>'price forecasts'!H41</f>
        <v>20.975441920000002</v>
      </c>
      <c r="I27" s="144">
        <f>'price forecasts'!I41</f>
        <v>21.311048990720003</v>
      </c>
      <c r="J27" s="144">
        <f>'price forecasts'!J41</f>
        <v>21.652025774571523</v>
      </c>
      <c r="K27" s="144">
        <f>'price forecasts'!K41</f>
        <v>21.998458186964669</v>
      </c>
      <c r="L27" s="144">
        <f>'price forecasts'!L41</f>
        <v>22.350433517956105</v>
      </c>
      <c r="M27" s="144">
        <f>'price forecasts'!M41</f>
        <v>22.708040454243402</v>
      </c>
      <c r="N27" s="144">
        <f>'price forecasts'!N41</f>
        <v>23.071369101511298</v>
      </c>
      <c r="O27" s="144">
        <f>'price forecasts'!O41</f>
        <v>0</v>
      </c>
      <c r="P27" s="144">
        <f>'price forecasts'!P41</f>
        <v>0</v>
      </c>
      <c r="Q27" s="144">
        <f>'price forecasts'!Q41</f>
        <v>0</v>
      </c>
      <c r="R27" s="144">
        <f>'price forecasts'!R41</f>
        <v>0</v>
      </c>
      <c r="S27" s="144">
        <f>'price forecasts'!S41</f>
        <v>0</v>
      </c>
      <c r="T27" s="144">
        <f>'price forecasts'!T41</f>
        <v>0</v>
      </c>
      <c r="U27" s="144">
        <f>'price forecasts'!U41</f>
        <v>0</v>
      </c>
      <c r="V27" s="144">
        <f>'price forecasts'!V41</f>
        <v>0</v>
      </c>
      <c r="W27" s="144">
        <f>'price forecasts'!W41</f>
        <v>0</v>
      </c>
      <c r="X27" s="144">
        <f>'price forecasts'!X41</f>
        <v>0</v>
      </c>
      <c r="Y27" s="144">
        <f>'price forecasts'!Y41</f>
        <v>0</v>
      </c>
      <c r="Z27" s="144">
        <f>'price forecasts'!Z41</f>
        <v>0</v>
      </c>
      <c r="AA27" s="144">
        <f>'price forecasts'!AA41</f>
        <v>0</v>
      </c>
      <c r="AB27" s="144">
        <f>'price forecasts'!AB41</f>
        <v>0</v>
      </c>
    </row>
    <row r="28" spans="1:28" s="72" customFormat="1" x14ac:dyDescent="0.3">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row>
    <row r="29" spans="1:28" s="72" customFormat="1" ht="15.6" x14ac:dyDescent="0.3">
      <c r="A29" s="110" t="s">
        <v>6</v>
      </c>
      <c r="D29" s="101"/>
      <c r="E29" s="101"/>
      <c r="F29" s="101"/>
      <c r="G29" s="101"/>
      <c r="H29" s="101"/>
      <c r="I29" s="101"/>
      <c r="J29" s="101"/>
      <c r="K29" s="101"/>
      <c r="L29" s="101"/>
      <c r="M29" s="101"/>
      <c r="P29" s="102"/>
    </row>
    <row r="30" spans="1:28" s="72" customFormat="1" x14ac:dyDescent="0.3">
      <c r="A30" s="72" t="s">
        <v>131</v>
      </c>
      <c r="B30" s="72" t="s">
        <v>139</v>
      </c>
      <c r="D30" s="101">
        <f t="shared" ref="D30:AB30" si="3">(htg_load_baseline_space*D$26)+(UEC_window_clg*D24)</f>
        <v>0</v>
      </c>
      <c r="E30" s="101">
        <f t="shared" si="3"/>
        <v>1445</v>
      </c>
      <c r="F30" s="101">
        <f t="shared" si="3"/>
        <v>1468.12</v>
      </c>
      <c r="G30" s="101">
        <f t="shared" si="3"/>
        <v>1491.6099199999999</v>
      </c>
      <c r="H30" s="101">
        <f t="shared" si="3"/>
        <v>1515.4756787199997</v>
      </c>
      <c r="I30" s="101">
        <f t="shared" si="3"/>
        <v>1539.7232895795198</v>
      </c>
      <c r="J30" s="101">
        <f t="shared" si="3"/>
        <v>1564.358862212792</v>
      </c>
      <c r="K30" s="101">
        <f t="shared" si="3"/>
        <v>1589.3886040081968</v>
      </c>
      <c r="L30" s="101">
        <f t="shared" si="3"/>
        <v>1614.8188216723281</v>
      </c>
      <c r="M30" s="101">
        <f t="shared" si="3"/>
        <v>1640.6559228190854</v>
      </c>
      <c r="N30" s="101">
        <f t="shared" si="3"/>
        <v>1666.9064175841906</v>
      </c>
      <c r="O30" s="101">
        <f t="shared" si="3"/>
        <v>0</v>
      </c>
      <c r="P30" s="101">
        <f t="shared" si="3"/>
        <v>0</v>
      </c>
      <c r="Q30" s="101">
        <f t="shared" si="3"/>
        <v>0</v>
      </c>
      <c r="R30" s="101">
        <f t="shared" si="3"/>
        <v>0</v>
      </c>
      <c r="S30" s="101">
        <f t="shared" si="3"/>
        <v>0</v>
      </c>
      <c r="T30" s="101">
        <f t="shared" si="3"/>
        <v>0</v>
      </c>
      <c r="U30" s="101">
        <f t="shared" si="3"/>
        <v>0</v>
      </c>
      <c r="V30" s="101">
        <f t="shared" si="3"/>
        <v>0</v>
      </c>
      <c r="W30" s="101">
        <f t="shared" si="3"/>
        <v>0</v>
      </c>
      <c r="X30" s="101">
        <f t="shared" si="3"/>
        <v>0</v>
      </c>
      <c r="Y30" s="101">
        <f t="shared" si="3"/>
        <v>0</v>
      </c>
      <c r="Z30" s="101">
        <f t="shared" si="3"/>
        <v>0</v>
      </c>
      <c r="AA30" s="101">
        <f t="shared" si="3"/>
        <v>0</v>
      </c>
      <c r="AB30" s="101">
        <f t="shared" si="3"/>
        <v>0</v>
      </c>
    </row>
    <row r="31" spans="1:28" s="72" customFormat="1" x14ac:dyDescent="0.3">
      <c r="A31" s="72" t="s">
        <v>130</v>
      </c>
      <c r="B31" s="72" t="s">
        <v>139</v>
      </c>
      <c r="D31" s="101">
        <f>equip_cost_CCHP_space</f>
        <v>3000</v>
      </c>
      <c r="E31" s="101">
        <f t="shared" ref="E31:N31" si="4">D31*(1+equip_cost_trend_CCHP)</f>
        <v>3030</v>
      </c>
      <c r="F31" s="101">
        <f t="shared" si="4"/>
        <v>3060.3</v>
      </c>
      <c r="G31" s="101">
        <f t="shared" si="4"/>
        <v>3090.9030000000002</v>
      </c>
      <c r="H31" s="101">
        <f t="shared" si="4"/>
        <v>3121.8120300000005</v>
      </c>
      <c r="I31" s="101">
        <f t="shared" si="4"/>
        <v>3153.0301503000005</v>
      </c>
      <c r="J31" s="101">
        <f t="shared" si="4"/>
        <v>3184.5604518030004</v>
      </c>
      <c r="K31" s="101">
        <f t="shared" si="4"/>
        <v>3216.4060563210305</v>
      </c>
      <c r="L31" s="101">
        <f t="shared" si="4"/>
        <v>3248.5701168842406</v>
      </c>
      <c r="M31" s="101">
        <f t="shared" si="4"/>
        <v>3281.0558180530829</v>
      </c>
      <c r="N31" s="101">
        <f t="shared" si="4"/>
        <v>3313.8663762336137</v>
      </c>
      <c r="P31" s="102"/>
    </row>
    <row r="32" spans="1:28" s="85" customFormat="1" x14ac:dyDescent="0.3">
      <c r="A32" s="111" t="s">
        <v>132</v>
      </c>
      <c r="B32" s="72" t="s">
        <v>139</v>
      </c>
      <c r="D32" s="85">
        <f t="shared" ref="D32:AB32" si="5">($C$14*D24)+(htg_load_CCHP_backup*D$26)+($C$16*D24)</f>
        <v>394.46000000000004</v>
      </c>
      <c r="E32" s="85">
        <f t="shared" si="5"/>
        <v>1125.6381200000001</v>
      </c>
      <c r="F32" s="85">
        <f t="shared" si="5"/>
        <v>1146.0671586400001</v>
      </c>
      <c r="G32" s="85">
        <f t="shared" si="5"/>
        <v>1166.87627613008</v>
      </c>
      <c r="H32" s="85">
        <f t="shared" si="5"/>
        <v>1188.0727244449417</v>
      </c>
      <c r="I32" s="85">
        <f t="shared" si="5"/>
        <v>1209.6638973465706</v>
      </c>
      <c r="J32" s="85">
        <f t="shared" si="5"/>
        <v>1231.6573332194564</v>
      </c>
      <c r="K32" s="85">
        <f t="shared" si="5"/>
        <v>1254.0607179636463</v>
      </c>
      <c r="L32" s="85">
        <f t="shared" si="5"/>
        <v>1276.881887946822</v>
      </c>
      <c r="M32" s="85">
        <f t="shared" si="5"/>
        <v>1300.1288330166351</v>
      </c>
      <c r="N32" s="85">
        <f t="shared" si="5"/>
        <v>1323.8096995745436</v>
      </c>
      <c r="O32" s="85">
        <f t="shared" si="5"/>
        <v>501.14433357966226</v>
      </c>
      <c r="P32" s="85">
        <f t="shared" si="5"/>
        <v>512.16950891841486</v>
      </c>
      <c r="Q32" s="85">
        <f t="shared" si="5"/>
        <v>523.43723811461996</v>
      </c>
      <c r="R32" s="85">
        <f t="shared" si="5"/>
        <v>534.95285735314167</v>
      </c>
      <c r="S32" s="85">
        <f t="shared" si="5"/>
        <v>546.72182021491074</v>
      </c>
      <c r="T32" s="85">
        <f t="shared" si="5"/>
        <v>558.74970025963876</v>
      </c>
      <c r="U32" s="85">
        <f t="shared" si="5"/>
        <v>571.04219366535074</v>
      </c>
      <c r="V32" s="85">
        <f t="shared" si="5"/>
        <v>583.60512192598856</v>
      </c>
      <c r="W32" s="85">
        <f t="shared" si="5"/>
        <v>596.44443460836033</v>
      </c>
      <c r="X32" s="85">
        <f t="shared" si="5"/>
        <v>609.56621216974418</v>
      </c>
      <c r="Y32" s="85">
        <f t="shared" si="5"/>
        <v>622.97666883747866</v>
      </c>
      <c r="Z32" s="85">
        <f t="shared" si="5"/>
        <v>636.68215555190318</v>
      </c>
      <c r="AA32" s="85">
        <f t="shared" si="5"/>
        <v>650.68916297404508</v>
      </c>
      <c r="AB32" s="85">
        <f t="shared" si="5"/>
        <v>665.00432455947407</v>
      </c>
    </row>
    <row r="33" spans="1:28" s="72" customFormat="1" x14ac:dyDescent="0.3">
      <c r="A33" s="72" t="s">
        <v>126</v>
      </c>
      <c r="B33" s="72" t="s">
        <v>139</v>
      </c>
      <c r="D33" s="101">
        <f>MAX(D31+NPV(assumptions!$D$6,'Tier III incentives'!D32:H32)-NPV(assumptions!$D$6,'Tier III incentives'!D30:H30),0)</f>
        <v>2315.6253684821604</v>
      </c>
      <c r="E33" s="101">
        <f>MAX(E31+NPV(assumptions!$D$6,'Tier III incentives'!E32:I32)-NPV(assumptions!$D$6,'Tier III incentives'!E30:I30),0)</f>
        <v>1663.4633122138157</v>
      </c>
      <c r="F33" s="101">
        <f>MAX(F31+NPV(assumptions!$D$6,'Tier III incentives'!F32:J32)-NPV(assumptions!$D$6,'Tier III incentives'!F30:J30),0)</f>
        <v>1682.5190542813398</v>
      </c>
      <c r="G33" s="101">
        <f>MAX(G31+NPV(assumptions!$D$6,'Tier III incentives'!G32:K32)-NPV(assumptions!$D$6,'Tier III incentives'!G30:K30),0)</f>
        <v>1701.931535461531</v>
      </c>
      <c r="H33" s="101">
        <f>MAX(H31+NPV(assumptions!$D$6,'Tier III incentives'!H32:L32)-NPV(assumptions!$D$6,'Tier III incentives'!H30:L30),0)</f>
        <v>1721.7097858194638</v>
      </c>
      <c r="I33" s="101">
        <f>MAX(I31+NPV(assumptions!$D$6,'Tier III incentives'!I32:M32)-NPV(assumptions!$D$6,'Tier III incentives'!I30:M30),0)</f>
        <v>1741.8630748065152</v>
      </c>
      <c r="J33" s="101">
        <f>MAX(J31+NPV(assumptions!$D$6,'Tier III incentives'!J32:N32)-NPV(assumptions!$D$6,'Tier III incentives'!J30:N30),0)</f>
        <v>1762.4009173966251</v>
      </c>
      <c r="K33" s="101">
        <f>MAX(K31+NPV(assumptions!$D$6,'Tier III incentives'!K32:O32)-NPV(assumptions!$D$6,'Tier III incentives'!K30:O30),0)</f>
        <v>2416.1026778965261</v>
      </c>
      <c r="L33" s="101">
        <f>MAX(L31+NPV(assumptions!$D$6,'Tier III incentives'!L32:P32)-NPV(assumptions!$D$6,'Tier III incentives'!L30:P30),0)</f>
        <v>3118.2992732308949</v>
      </c>
      <c r="M33" s="101">
        <f>MAX(M31+NPV(assumptions!$D$6,'Tier III incentives'!M32:Q32)-NPV(assumptions!$D$6,'Tier III incentives'!M30:Q30),0)</f>
        <v>3872.0484116696302</v>
      </c>
      <c r="N33" s="101">
        <f>MAX(N31+NPV(assumptions!$D$6,'Tier III incentives'!N32:R32)-NPV(assumptions!$D$6,'Tier III incentives'!N30:R30),0)</f>
        <v>4680.5935100247889</v>
      </c>
      <c r="O33" s="101"/>
      <c r="P33" s="101"/>
      <c r="Q33" s="101"/>
      <c r="R33" s="101"/>
      <c r="S33" s="101"/>
      <c r="T33" s="101"/>
      <c r="U33" s="101"/>
      <c r="V33" s="101"/>
      <c r="W33" s="101"/>
      <c r="X33" s="101"/>
      <c r="Y33" s="101"/>
      <c r="Z33" s="101"/>
      <c r="AA33" s="101"/>
      <c r="AB33" s="101"/>
    </row>
    <row r="34" spans="1:28" s="72" customFormat="1" ht="12.75" customHeight="1" x14ac:dyDescent="0.3">
      <c r="A34" s="72" t="s">
        <v>127</v>
      </c>
      <c r="B34" s="72" t="s">
        <v>54</v>
      </c>
      <c r="D34" s="112">
        <f t="shared" ref="D34:N34" si="6">D33/$C$18</f>
        <v>94.789612176729506</v>
      </c>
      <c r="E34" s="112">
        <f t="shared" si="6"/>
        <v>68.093502680150948</v>
      </c>
      <c r="F34" s="112">
        <f t="shared" si="6"/>
        <v>68.873545266013778</v>
      </c>
      <c r="G34" s="112">
        <f t="shared" si="6"/>
        <v>69.66819088853282</v>
      </c>
      <c r="H34" s="112">
        <f t="shared" si="6"/>
        <v>70.477809191424171</v>
      </c>
      <c r="I34" s="112">
        <f t="shared" si="6"/>
        <v>71.302779617629312</v>
      </c>
      <c r="J34" s="112">
        <f t="shared" si="6"/>
        <v>72.143491660501468</v>
      </c>
      <c r="K34" s="112">
        <f t="shared" si="6"/>
        <v>98.902628609172496</v>
      </c>
      <c r="L34" s="112">
        <f t="shared" si="6"/>
        <v>127.64689089335791</v>
      </c>
      <c r="M34" s="112">
        <f t="shared" si="6"/>
        <v>158.5014451246341</v>
      </c>
      <c r="N34" s="112">
        <f t="shared" si="6"/>
        <v>191.5990598526667</v>
      </c>
      <c r="O34" s="112"/>
      <c r="P34" s="112"/>
      <c r="Q34" s="112"/>
      <c r="R34" s="112"/>
      <c r="S34" s="112"/>
      <c r="T34" s="112"/>
      <c r="U34" s="112"/>
      <c r="V34" s="112"/>
      <c r="W34" s="112"/>
      <c r="X34" s="112"/>
      <c r="Y34" s="112"/>
      <c r="Z34" s="112"/>
      <c r="AA34" s="112"/>
      <c r="AB34" s="112"/>
    </row>
    <row r="35" spans="1:28" s="72" customFormat="1" x14ac:dyDescent="0.3">
      <c r="A35" s="72" t="s">
        <v>128</v>
      </c>
      <c r="B35" s="72" t="s">
        <v>54</v>
      </c>
      <c r="D35" s="101">
        <f t="shared" ref="D35:N35" si="7">$C$18*D25</f>
        <v>1465.7462871552739</v>
      </c>
      <c r="E35" s="101">
        <f t="shared" si="7"/>
        <v>1484.8009888882925</v>
      </c>
      <c r="F35" s="101">
        <f t="shared" si="7"/>
        <v>1504.1034017438401</v>
      </c>
      <c r="G35" s="101">
        <f t="shared" si="7"/>
        <v>1523.65674596651</v>
      </c>
      <c r="H35" s="101">
        <f t="shared" si="7"/>
        <v>1543.4642836640744</v>
      </c>
      <c r="I35" s="101">
        <f t="shared" si="7"/>
        <v>1563.5293193517073</v>
      </c>
      <c r="J35" s="101">
        <f t="shared" si="7"/>
        <v>1583.8552005032795</v>
      </c>
      <c r="K35" s="101">
        <f t="shared" si="7"/>
        <v>1604.4453181098218</v>
      </c>
      <c r="L35" s="101">
        <f t="shared" si="7"/>
        <v>1625.3031072452493</v>
      </c>
      <c r="M35" s="101">
        <f t="shared" si="7"/>
        <v>1646.4320476394373</v>
      </c>
      <c r="N35" s="101">
        <f t="shared" si="7"/>
        <v>1667.8356642587496</v>
      </c>
      <c r="O35" s="101"/>
      <c r="P35" s="101"/>
      <c r="Q35" s="101"/>
      <c r="R35" s="101"/>
      <c r="S35" s="101"/>
      <c r="T35" s="101"/>
      <c r="U35" s="101"/>
      <c r="V35" s="101"/>
      <c r="W35" s="101"/>
      <c r="X35" s="101"/>
      <c r="Y35" s="101"/>
      <c r="Z35" s="101"/>
      <c r="AA35" s="101"/>
      <c r="AB35" s="101"/>
    </row>
    <row r="36" spans="1:28" s="72" customFormat="1" x14ac:dyDescent="0.3"/>
    <row r="37" spans="1:28" s="113" customFormat="1" ht="15.6" x14ac:dyDescent="0.3">
      <c r="A37" s="110" t="s">
        <v>141</v>
      </c>
      <c r="D37" s="114"/>
      <c r="E37" s="114"/>
      <c r="F37" s="114"/>
      <c r="G37" s="114"/>
      <c r="H37" s="114"/>
      <c r="I37" s="114"/>
      <c r="J37" s="114"/>
      <c r="K37" s="114"/>
      <c r="L37" s="114"/>
      <c r="M37" s="114"/>
      <c r="P37" s="115"/>
    </row>
    <row r="38" spans="1:28" s="131" customFormat="1" x14ac:dyDescent="0.3">
      <c r="A38" s="128" t="s">
        <v>129</v>
      </c>
      <c r="B38" s="128" t="s">
        <v>139</v>
      </c>
      <c r="D38" s="132">
        <f>G4</f>
        <v>25000</v>
      </c>
      <c r="E38" s="132">
        <f>D38*(1+$G$5)</f>
        <v>25000</v>
      </c>
      <c r="F38" s="132">
        <f t="shared" ref="F38:AB38" si="8">E38*(1+$G$5)</f>
        <v>25000</v>
      </c>
      <c r="G38" s="132">
        <f t="shared" si="8"/>
        <v>25000</v>
      </c>
      <c r="H38" s="132">
        <f t="shared" si="8"/>
        <v>25000</v>
      </c>
      <c r="I38" s="132">
        <f t="shared" si="8"/>
        <v>25000</v>
      </c>
      <c r="J38" s="132">
        <f t="shared" si="8"/>
        <v>25000</v>
      </c>
      <c r="K38" s="132">
        <f t="shared" si="8"/>
        <v>25000</v>
      </c>
      <c r="L38" s="132">
        <f t="shared" si="8"/>
        <v>25000</v>
      </c>
      <c r="M38" s="132">
        <f t="shared" si="8"/>
        <v>25000</v>
      </c>
      <c r="N38" s="132">
        <f t="shared" si="8"/>
        <v>25000</v>
      </c>
      <c r="O38" s="132">
        <f t="shared" si="8"/>
        <v>25000</v>
      </c>
      <c r="P38" s="132">
        <f t="shared" si="8"/>
        <v>25000</v>
      </c>
      <c r="Q38" s="132">
        <f t="shared" si="8"/>
        <v>25000</v>
      </c>
      <c r="R38" s="132">
        <f t="shared" si="8"/>
        <v>25000</v>
      </c>
      <c r="S38" s="132">
        <f t="shared" si="8"/>
        <v>25000</v>
      </c>
      <c r="T38" s="132">
        <f t="shared" si="8"/>
        <v>25000</v>
      </c>
      <c r="U38" s="132">
        <f t="shared" si="8"/>
        <v>25000</v>
      </c>
      <c r="V38" s="132">
        <f t="shared" si="8"/>
        <v>25000</v>
      </c>
      <c r="W38" s="132">
        <f t="shared" si="8"/>
        <v>25000</v>
      </c>
      <c r="X38" s="132">
        <f t="shared" si="8"/>
        <v>25000</v>
      </c>
      <c r="Y38" s="132">
        <f t="shared" si="8"/>
        <v>25000</v>
      </c>
      <c r="Z38" s="132">
        <f t="shared" si="8"/>
        <v>25000</v>
      </c>
      <c r="AA38" s="132">
        <f t="shared" si="8"/>
        <v>25000</v>
      </c>
      <c r="AB38" s="132">
        <f t="shared" si="8"/>
        <v>25000</v>
      </c>
    </row>
    <row r="39" spans="1:28" s="128" customFormat="1" x14ac:dyDescent="0.3">
      <c r="A39" s="128" t="s">
        <v>131</v>
      </c>
      <c r="B39" s="128" t="s">
        <v>139</v>
      </c>
      <c r="D39" s="129">
        <f>$G$7*D26+$G$9</f>
        <v>173.73333333333335</v>
      </c>
      <c r="E39" s="129">
        <f>$G$7*E26+$G$9*(1+assumptions!$D$5)</f>
        <v>991.15284374176554</v>
      </c>
      <c r="F39" s="129">
        <f>$G$7*F26+$G$9*(1+assumptions!$D$5)</f>
        <v>1004.178740974967</v>
      </c>
      <c r="G39" s="129">
        <f>$G$7*G26+$G$9*(1+assumptions!$D$5)</f>
        <v>1017.4130525638998</v>
      </c>
      <c r="H39" s="129">
        <f>$G$7*H26+$G$9*(1+assumptions!$D$5)</f>
        <v>1030.8591131382555</v>
      </c>
      <c r="I39" s="129">
        <f>$G$7*I26+$G$9*(1+assumptions!$D$5)</f>
        <v>1044.5203106818008</v>
      </c>
      <c r="J39" s="129">
        <f>$G$7*J26+$G$9*(1+assumptions!$D$5)</f>
        <v>1058.4000873860432</v>
      </c>
      <c r="K39" s="129">
        <f>$G$7*K26+$G$9*(1+assumptions!$D$5)</f>
        <v>1072.5019405175531</v>
      </c>
      <c r="L39" s="129">
        <f>$G$7*L26+$G$9*(1+assumptions!$D$5)</f>
        <v>1086.8294232991675</v>
      </c>
      <c r="M39" s="129">
        <f>$G$7*M26+$G$9*(1+assumptions!$D$5)</f>
        <v>1101.3861458052875</v>
      </c>
      <c r="N39" s="129">
        <f>$G$7*N26+$G$9*(1+assumptions!$D$5)</f>
        <v>1116.1757758715053</v>
      </c>
      <c r="O39" s="129">
        <f>$G$7*O26+$G$9*(1+assumptions!$D$5)</f>
        <v>177.03426666666667</v>
      </c>
      <c r="P39" s="129">
        <f>$G$7*P26+$G$9*(1+assumptions!$D$5)</f>
        <v>177.03426666666667</v>
      </c>
      <c r="Q39" s="129">
        <f>$G$7*Q26+$G$9*(1+assumptions!$D$5)</f>
        <v>177.03426666666667</v>
      </c>
      <c r="R39" s="129">
        <f>$G$7*R26+$G$9*(1+assumptions!$D$5)</f>
        <v>177.03426666666667</v>
      </c>
      <c r="S39" s="129">
        <f>$G$7*S26+$G$9*(1+assumptions!$D$5)</f>
        <v>177.03426666666667</v>
      </c>
      <c r="T39" s="129">
        <f>$G$7*T26+$G$9*(1+assumptions!$D$5)</f>
        <v>177.03426666666667</v>
      </c>
      <c r="U39" s="129">
        <f>$G$7*U26+$G$9*(1+assumptions!$D$5)</f>
        <v>177.03426666666667</v>
      </c>
      <c r="V39" s="129">
        <f>$G$7*V26+$G$9*(1+assumptions!$D$5)</f>
        <v>177.03426666666667</v>
      </c>
      <c r="W39" s="129">
        <f>$G$7*W26+$G$9*(1+assumptions!$D$5)</f>
        <v>177.03426666666667</v>
      </c>
      <c r="X39" s="129">
        <f>$G$7*X26+$G$9*(1+assumptions!$D$5)</f>
        <v>177.03426666666667</v>
      </c>
      <c r="Y39" s="129">
        <f>$G$7*Y26+$G$9*(1+assumptions!$D$5)</f>
        <v>177.03426666666667</v>
      </c>
      <c r="Z39" s="129">
        <f>$G$7*Z26+$G$9*(1+assumptions!$D$5)</f>
        <v>177.03426666666667</v>
      </c>
      <c r="AA39" s="129">
        <f>$G$7*AA26+$G$9*(1+assumptions!$D$5)</f>
        <v>177.03426666666667</v>
      </c>
      <c r="AB39" s="129">
        <f>$G$7*AB26+$G$9*(1+assumptions!$D$5)</f>
        <v>177.03426666666667</v>
      </c>
    </row>
    <row r="40" spans="1:28" s="128" customFormat="1" x14ac:dyDescent="0.3">
      <c r="A40" s="128" t="s">
        <v>144</v>
      </c>
      <c r="B40" s="128" t="s">
        <v>139</v>
      </c>
      <c r="D40" s="129">
        <f>H4</f>
        <v>35000</v>
      </c>
      <c r="E40" s="129">
        <f>D40*(1+$H$5)</f>
        <v>33950</v>
      </c>
      <c r="F40" s="129">
        <f t="shared" ref="F40:N40" si="9">E40*(1+$H$5)</f>
        <v>32931.5</v>
      </c>
      <c r="G40" s="129">
        <f t="shared" si="9"/>
        <v>31943.555</v>
      </c>
      <c r="H40" s="129">
        <f t="shared" si="9"/>
        <v>30985.248349999998</v>
      </c>
      <c r="I40" s="129">
        <f t="shared" si="9"/>
        <v>30055.690899499998</v>
      </c>
      <c r="J40" s="129">
        <f t="shared" si="9"/>
        <v>29154.020172514996</v>
      </c>
      <c r="K40" s="129">
        <f t="shared" si="9"/>
        <v>28279.399567339548</v>
      </c>
      <c r="L40" s="129">
        <f t="shared" si="9"/>
        <v>27431.01758031936</v>
      </c>
      <c r="M40" s="129">
        <f t="shared" si="9"/>
        <v>26608.087052909777</v>
      </c>
      <c r="N40" s="129">
        <f t="shared" si="9"/>
        <v>25809.844441322482</v>
      </c>
      <c r="P40" s="130"/>
    </row>
    <row r="41" spans="1:28" s="137" customFormat="1" x14ac:dyDescent="0.3">
      <c r="A41" s="136" t="s">
        <v>145</v>
      </c>
      <c r="B41" s="128" t="s">
        <v>139</v>
      </c>
      <c r="D41" s="137">
        <f t="shared" ref="D41:AB41" si="10">$H$10*D24</f>
        <v>597.66666666666674</v>
      </c>
      <c r="E41" s="137">
        <f t="shared" si="10"/>
        <v>610.81533333333346</v>
      </c>
      <c r="F41" s="137">
        <f t="shared" si="10"/>
        <v>624.25327066666671</v>
      </c>
      <c r="G41" s="137">
        <f t="shared" si="10"/>
        <v>637.98684262133338</v>
      </c>
      <c r="H41" s="137">
        <f t="shared" si="10"/>
        <v>652.02255315900277</v>
      </c>
      <c r="I41" s="137">
        <f t="shared" si="10"/>
        <v>666.36704932850091</v>
      </c>
      <c r="J41" s="137">
        <f t="shared" si="10"/>
        <v>681.02712441372796</v>
      </c>
      <c r="K41" s="137">
        <f t="shared" si="10"/>
        <v>696.00972115082993</v>
      </c>
      <c r="L41" s="137">
        <f t="shared" si="10"/>
        <v>711.32193501614825</v>
      </c>
      <c r="M41" s="137">
        <f t="shared" si="10"/>
        <v>726.97101758650354</v>
      </c>
      <c r="N41" s="137">
        <f t="shared" si="10"/>
        <v>742.96437997340661</v>
      </c>
      <c r="O41" s="137">
        <f t="shared" si="10"/>
        <v>759.30959633282157</v>
      </c>
      <c r="P41" s="137">
        <f t="shared" si="10"/>
        <v>776.0144074521437</v>
      </c>
      <c r="Q41" s="137">
        <f t="shared" si="10"/>
        <v>793.08672441609087</v>
      </c>
      <c r="R41" s="137">
        <f t="shared" si="10"/>
        <v>810.53463235324489</v>
      </c>
      <c r="S41" s="137">
        <f t="shared" si="10"/>
        <v>828.36639426501631</v>
      </c>
      <c r="T41" s="137">
        <f t="shared" si="10"/>
        <v>846.59045493884662</v>
      </c>
      <c r="U41" s="137">
        <f t="shared" si="10"/>
        <v>865.21544494750117</v>
      </c>
      <c r="V41" s="137">
        <f t="shared" si="10"/>
        <v>884.25018473634623</v>
      </c>
      <c r="W41" s="137">
        <f t="shared" si="10"/>
        <v>903.70368880054593</v>
      </c>
      <c r="X41" s="137">
        <f t="shared" si="10"/>
        <v>923.585169954158</v>
      </c>
      <c r="Y41" s="137">
        <f t="shared" si="10"/>
        <v>943.90404369314945</v>
      </c>
      <c r="Z41" s="137">
        <f t="shared" si="10"/>
        <v>964.66993265439885</v>
      </c>
      <c r="AA41" s="137">
        <f t="shared" si="10"/>
        <v>985.89267117279564</v>
      </c>
      <c r="AB41" s="137">
        <f t="shared" si="10"/>
        <v>1007.5823099385971</v>
      </c>
    </row>
    <row r="42" spans="1:28" s="128" customFormat="1" x14ac:dyDescent="0.3">
      <c r="A42" s="128" t="s">
        <v>126</v>
      </c>
      <c r="B42" s="128" t="s">
        <v>139</v>
      </c>
      <c r="D42" s="129">
        <f>MAX(D40+NPV(assumptions!$D$6,'Tier III incentives'!D41:M41)-(D38+NPV(assumptions!$D$6,'Tier III incentives'!D39:M39)),0)</f>
        <v>7973.7081789731456</v>
      </c>
      <c r="E42" s="129">
        <f>MAX(E40+NPV(assumptions!$D$6,'Tier III incentives'!E41:N41)-(E38+NPV(assumptions!$D$6,'Tier III incentives'!E39:N39)),0)</f>
        <v>6169.7980422235087</v>
      </c>
      <c r="F42" s="129">
        <f>MAX(F40+NPV(assumptions!$D$6,'Tier III incentives'!F41:O41)-(F38+NPV(assumptions!$D$6,'Tier III incentives'!F39:O39)),0)</f>
        <v>5689.962937977456</v>
      </c>
      <c r="G42" s="129">
        <f>MAX(G40+NPV(assumptions!$D$6,'Tier III incentives'!G41:P41)-(G38+NPV(assumptions!$D$6,'Tier III incentives'!G39:P39)),0)</f>
        <v>5281.918566654891</v>
      </c>
      <c r="H42" s="129">
        <f>MAX(H40+NPV(assumptions!$D$6,'Tier III incentives'!H41:Q41)-(H38+NPV(assumptions!$D$6,'Tier III incentives'!H39:Q39)),0)</f>
        <v>4947.3404153097545</v>
      </c>
      <c r="I42" s="129">
        <f>MAX(I40+NPV(assumptions!$D$6,'Tier III incentives'!I41:R41)-(I38+NPV(assumptions!$D$6,'Tier III incentives'!I39:R39)),0)</f>
        <v>4688.0883440807884</v>
      </c>
      <c r="J42" s="129">
        <f>MAX(J40+NPV(assumptions!$D$6,'Tier III incentives'!J41:S41)-(J38+NPV(assumptions!$D$6,'Tier III incentives'!J39:S39)),0)</f>
        <v>4506.2151832118689</v>
      </c>
      <c r="K42" s="129">
        <f>MAX(K40+NPV(assumptions!$D$6,'Tier III incentives'!K41:T41)-(K38+NPV(assumptions!$D$6,'Tier III incentives'!K39:T39)),0)</f>
        <v>4403.9759200329318</v>
      </c>
      <c r="L42" s="129">
        <f>MAX(L40+NPV(assumptions!$D$6,'Tier III incentives'!L41:U41)-(L38+NPV(assumptions!$D$6,'Tier III incentives'!L39:U39)),0)</f>
        <v>4383.8375090643713</v>
      </c>
      <c r="M42" s="129">
        <f>MAX(M40+NPV(assumptions!$D$6,'Tier III incentives'!M41:V41)-(M38+NPV(assumptions!$D$6,'Tier III incentives'!M39:V39)),0)</f>
        <v>4448.4893404638533</v>
      </c>
      <c r="N42" s="129">
        <f>MAX(N40+NPV(assumptions!$D$6,'Tier III incentives'!N41:W41)-(N38+NPV(assumptions!$D$6,'Tier III incentives'!N39:W39)),0)</f>
        <v>4600.8544042120702</v>
      </c>
      <c r="O42" s="129"/>
      <c r="P42" s="129"/>
      <c r="Q42" s="129"/>
      <c r="R42" s="129"/>
      <c r="S42" s="129"/>
      <c r="T42" s="129"/>
      <c r="U42" s="129"/>
      <c r="V42" s="129"/>
      <c r="W42" s="129"/>
      <c r="X42" s="129"/>
      <c r="Y42" s="129"/>
      <c r="Z42" s="129"/>
      <c r="AA42" s="129"/>
      <c r="AB42" s="129"/>
    </row>
    <row r="43" spans="1:28" s="128" customFormat="1" x14ac:dyDescent="0.3">
      <c r="A43" s="128" t="s">
        <v>159</v>
      </c>
      <c r="B43" s="128" t="s">
        <v>139</v>
      </c>
      <c r="D43" s="129">
        <v>7500</v>
      </c>
      <c r="E43" s="129">
        <v>7500</v>
      </c>
      <c r="F43" s="129">
        <v>7500</v>
      </c>
      <c r="G43" s="129"/>
      <c r="H43" s="129"/>
      <c r="I43" s="129"/>
      <c r="J43" s="129"/>
      <c r="K43" s="129"/>
      <c r="L43" s="129"/>
      <c r="M43" s="129"/>
      <c r="N43" s="129"/>
      <c r="O43" s="129"/>
      <c r="P43" s="129"/>
      <c r="Q43" s="129"/>
      <c r="R43" s="129"/>
      <c r="S43" s="129"/>
      <c r="T43" s="129"/>
      <c r="U43" s="129"/>
      <c r="V43" s="129"/>
      <c r="W43" s="129"/>
      <c r="X43" s="129"/>
      <c r="Y43" s="129"/>
      <c r="Z43" s="129"/>
      <c r="AA43" s="129"/>
      <c r="AB43" s="129"/>
    </row>
    <row r="44" spans="1:28" s="128" customFormat="1" x14ac:dyDescent="0.3">
      <c r="A44" s="128" t="s">
        <v>160</v>
      </c>
      <c r="B44" s="128" t="s">
        <v>139</v>
      </c>
      <c r="D44" s="129">
        <f>MAX(D42-D43,0)</f>
        <v>473.70817897314555</v>
      </c>
      <c r="E44" s="129">
        <f t="shared" ref="E44:N44" si="11">MAX(E42-E43,0)</f>
        <v>0</v>
      </c>
      <c r="F44" s="129">
        <f t="shared" si="11"/>
        <v>0</v>
      </c>
      <c r="G44" s="129">
        <f t="shared" si="11"/>
        <v>5281.918566654891</v>
      </c>
      <c r="H44" s="129">
        <f t="shared" si="11"/>
        <v>4947.3404153097545</v>
      </c>
      <c r="I44" s="129">
        <f t="shared" si="11"/>
        <v>4688.0883440807884</v>
      </c>
      <c r="J44" s="129">
        <f t="shared" si="11"/>
        <v>4506.2151832118689</v>
      </c>
      <c r="K44" s="129">
        <f t="shared" si="11"/>
        <v>4403.9759200329318</v>
      </c>
      <c r="L44" s="129">
        <f t="shared" si="11"/>
        <v>4383.8375090643713</v>
      </c>
      <c r="M44" s="129">
        <f t="shared" si="11"/>
        <v>4448.4893404638533</v>
      </c>
      <c r="N44" s="129">
        <f t="shared" si="11"/>
        <v>4600.8544042120702</v>
      </c>
      <c r="O44" s="129"/>
      <c r="P44" s="129"/>
      <c r="Q44" s="129"/>
      <c r="R44" s="129"/>
      <c r="S44" s="129"/>
      <c r="T44" s="129"/>
      <c r="U44" s="129"/>
      <c r="V44" s="129"/>
      <c r="W44" s="129"/>
      <c r="X44" s="129"/>
      <c r="Y44" s="129"/>
      <c r="Z44" s="129"/>
      <c r="AA44" s="129"/>
      <c r="AB44" s="129"/>
    </row>
    <row r="45" spans="1:28" s="128" customFormat="1" ht="12.75" customHeight="1" x14ac:dyDescent="0.3">
      <c r="A45" s="128" t="s">
        <v>127</v>
      </c>
      <c r="B45" s="128" t="s">
        <v>54</v>
      </c>
      <c r="D45" s="138">
        <f>D44/$H$11</f>
        <v>12.80292375603096</v>
      </c>
      <c r="E45" s="138">
        <f t="shared" ref="E45:N45" si="12">E44/$H$11</f>
        <v>0</v>
      </c>
      <c r="F45" s="138">
        <f t="shared" si="12"/>
        <v>0</v>
      </c>
      <c r="G45" s="138">
        <f t="shared" si="12"/>
        <v>142.7545558555376</v>
      </c>
      <c r="H45" s="138">
        <f t="shared" si="12"/>
        <v>133.71190311647985</v>
      </c>
      <c r="I45" s="138">
        <f t="shared" si="12"/>
        <v>126.70509038056184</v>
      </c>
      <c r="J45" s="138">
        <f t="shared" si="12"/>
        <v>121.78959954626673</v>
      </c>
      <c r="K45" s="138">
        <f t="shared" si="12"/>
        <v>119.02637621710626</v>
      </c>
      <c r="L45" s="138">
        <f t="shared" si="12"/>
        <v>118.4820948395776</v>
      </c>
      <c r="M45" s="138">
        <f t="shared" si="12"/>
        <v>120.22944163415819</v>
      </c>
      <c r="N45" s="138">
        <f t="shared" si="12"/>
        <v>124.34741633005595</v>
      </c>
      <c r="O45" s="138"/>
      <c r="P45" s="138"/>
      <c r="Q45" s="138"/>
      <c r="R45" s="138"/>
      <c r="S45" s="138"/>
      <c r="T45" s="138"/>
      <c r="U45" s="138"/>
      <c r="V45" s="138"/>
      <c r="W45" s="138"/>
      <c r="X45" s="138"/>
      <c r="Y45" s="138"/>
      <c r="Z45" s="138"/>
      <c r="AA45" s="138"/>
      <c r="AB45" s="138"/>
    </row>
    <row r="46" spans="1:28" s="128" customFormat="1" x14ac:dyDescent="0.3">
      <c r="A46" s="128" t="s">
        <v>128</v>
      </c>
      <c r="B46" s="128" t="s">
        <v>54</v>
      </c>
      <c r="D46" s="129">
        <f>$H$11*D25</f>
        <v>2220</v>
      </c>
      <c r="E46" s="129">
        <f t="shared" ref="E46:N46" si="13">$H$11*E25</f>
        <v>2248.86</v>
      </c>
      <c r="F46" s="129">
        <f t="shared" si="13"/>
        <v>2278.0951799999998</v>
      </c>
      <c r="G46" s="129">
        <f t="shared" si="13"/>
        <v>2307.7104173399994</v>
      </c>
      <c r="H46" s="129">
        <f t="shared" si="13"/>
        <v>2337.7106527654191</v>
      </c>
      <c r="I46" s="129">
        <f t="shared" si="13"/>
        <v>2368.1008912513694</v>
      </c>
      <c r="J46" s="129">
        <f t="shared" si="13"/>
        <v>2398.8862028376375</v>
      </c>
      <c r="K46" s="129">
        <f t="shared" si="13"/>
        <v>2430.0717234745262</v>
      </c>
      <c r="L46" s="129">
        <f t="shared" si="13"/>
        <v>2461.6626558796947</v>
      </c>
      <c r="M46" s="129">
        <f t="shared" si="13"/>
        <v>2493.6642704061305</v>
      </c>
      <c r="N46" s="129">
        <f t="shared" si="13"/>
        <v>2526.0819059214095</v>
      </c>
      <c r="O46" s="129"/>
      <c r="P46" s="129"/>
      <c r="Q46" s="129"/>
      <c r="R46" s="129"/>
      <c r="S46" s="129"/>
      <c r="T46" s="129"/>
      <c r="U46" s="129"/>
      <c r="V46" s="129"/>
      <c r="W46" s="129"/>
      <c r="X46" s="129"/>
      <c r="Y46" s="129"/>
      <c r="Z46" s="129"/>
      <c r="AA46" s="129"/>
      <c r="AB46" s="129"/>
    </row>
    <row r="47" spans="1:28" s="117" customFormat="1" x14ac:dyDescent="0.3"/>
    <row r="48" spans="1:28" s="117" customFormat="1" ht="15.6" x14ac:dyDescent="0.3">
      <c r="A48" s="116" t="s">
        <v>142</v>
      </c>
      <c r="D48" s="118"/>
      <c r="E48" s="118"/>
      <c r="F48" s="118"/>
      <c r="G48" s="118"/>
      <c r="H48" s="118"/>
      <c r="I48" s="118"/>
      <c r="J48" s="118"/>
      <c r="K48" s="118"/>
      <c r="L48" s="118"/>
      <c r="M48" s="118"/>
      <c r="P48" s="119"/>
    </row>
    <row r="49" spans="1:28" s="117" customFormat="1" x14ac:dyDescent="0.3">
      <c r="A49" s="117" t="s">
        <v>131</v>
      </c>
      <c r="D49" s="118">
        <f t="shared" ref="D49:AB49" si="14">(htg_load_baseline_space*D$26)+(UEC_window_clg*D41)</f>
        <v>0</v>
      </c>
      <c r="E49" s="118">
        <f t="shared" si="14"/>
        <v>1445</v>
      </c>
      <c r="F49" s="118">
        <f t="shared" si="14"/>
        <v>1468.12</v>
      </c>
      <c r="G49" s="118">
        <f t="shared" si="14"/>
        <v>1491.6099199999999</v>
      </c>
      <c r="H49" s="118">
        <f t="shared" si="14"/>
        <v>1515.4756787199997</v>
      </c>
      <c r="I49" s="118">
        <f t="shared" si="14"/>
        <v>1539.7232895795198</v>
      </c>
      <c r="J49" s="118">
        <f t="shared" si="14"/>
        <v>1564.358862212792</v>
      </c>
      <c r="K49" s="118">
        <f t="shared" si="14"/>
        <v>1589.3886040081968</v>
      </c>
      <c r="L49" s="118">
        <f t="shared" si="14"/>
        <v>1614.8188216723281</v>
      </c>
      <c r="M49" s="118">
        <f t="shared" si="14"/>
        <v>1640.6559228190854</v>
      </c>
      <c r="N49" s="118">
        <f t="shared" si="14"/>
        <v>1666.9064175841906</v>
      </c>
      <c r="O49" s="118">
        <f t="shared" si="14"/>
        <v>0</v>
      </c>
      <c r="P49" s="118">
        <f t="shared" si="14"/>
        <v>0</v>
      </c>
      <c r="Q49" s="118">
        <f t="shared" si="14"/>
        <v>0</v>
      </c>
      <c r="R49" s="118">
        <f t="shared" si="14"/>
        <v>0</v>
      </c>
      <c r="S49" s="118">
        <f t="shared" si="14"/>
        <v>0</v>
      </c>
      <c r="T49" s="118">
        <f t="shared" si="14"/>
        <v>0</v>
      </c>
      <c r="U49" s="118">
        <f t="shared" si="14"/>
        <v>0</v>
      </c>
      <c r="V49" s="118">
        <f t="shared" si="14"/>
        <v>0</v>
      </c>
      <c r="W49" s="118">
        <f t="shared" si="14"/>
        <v>0</v>
      </c>
      <c r="X49" s="118">
        <f t="shared" si="14"/>
        <v>0</v>
      </c>
      <c r="Y49" s="118">
        <f t="shared" si="14"/>
        <v>0</v>
      </c>
      <c r="Z49" s="118">
        <f t="shared" si="14"/>
        <v>0</v>
      </c>
      <c r="AA49" s="118">
        <f t="shared" si="14"/>
        <v>0</v>
      </c>
      <c r="AB49" s="118">
        <f t="shared" si="14"/>
        <v>0</v>
      </c>
    </row>
    <row r="50" spans="1:28" s="117" customFormat="1" x14ac:dyDescent="0.3">
      <c r="A50" s="117" t="s">
        <v>146</v>
      </c>
      <c r="B50" s="117" t="s">
        <v>139</v>
      </c>
      <c r="D50" s="118">
        <f>equip_cost_CCHP_space</f>
        <v>3000</v>
      </c>
      <c r="E50" s="118">
        <f t="shared" ref="E50:N50" si="15">D50*(1+equip_cost_trend_CCHP)</f>
        <v>3030</v>
      </c>
      <c r="F50" s="118">
        <f t="shared" si="15"/>
        <v>3060.3</v>
      </c>
      <c r="G50" s="118">
        <f t="shared" si="15"/>
        <v>3090.9030000000002</v>
      </c>
      <c r="H50" s="118">
        <f t="shared" si="15"/>
        <v>3121.8120300000005</v>
      </c>
      <c r="I50" s="118">
        <f t="shared" si="15"/>
        <v>3153.0301503000005</v>
      </c>
      <c r="J50" s="118">
        <f t="shared" si="15"/>
        <v>3184.5604518030004</v>
      </c>
      <c r="K50" s="118">
        <f t="shared" si="15"/>
        <v>3216.4060563210305</v>
      </c>
      <c r="L50" s="118">
        <f t="shared" si="15"/>
        <v>3248.5701168842406</v>
      </c>
      <c r="M50" s="118">
        <f t="shared" si="15"/>
        <v>3281.0558180530829</v>
      </c>
      <c r="N50" s="118">
        <f t="shared" si="15"/>
        <v>3313.8663762336137</v>
      </c>
      <c r="P50" s="119"/>
    </row>
    <row r="51" spans="1:28" s="121" customFormat="1" x14ac:dyDescent="0.3">
      <c r="A51" s="120" t="s">
        <v>147</v>
      </c>
      <c r="B51" s="117" t="s">
        <v>139</v>
      </c>
      <c r="D51" s="121">
        <f t="shared" ref="D51:AB51" si="16">($C$14*D41)+(htg_load_CCHP_backup*D$26)+($C$16*D41)</f>
        <v>1314.8666666666668</v>
      </c>
      <c r="E51" s="121">
        <f t="shared" si="16"/>
        <v>2066.2937333333334</v>
      </c>
      <c r="F51" s="121">
        <f t="shared" si="16"/>
        <v>2107.4171954666667</v>
      </c>
      <c r="G51" s="121">
        <f t="shared" si="16"/>
        <v>2149.3760137669333</v>
      </c>
      <c r="H51" s="121">
        <f t="shared" si="16"/>
        <v>2192.1874563098058</v>
      </c>
      <c r="I51" s="121">
        <f t="shared" si="16"/>
        <v>2235.869153312462</v>
      </c>
      <c r="J51" s="121">
        <f t="shared" si="16"/>
        <v>2280.4391048165976</v>
      </c>
      <c r="K51" s="121">
        <f t="shared" si="16"/>
        <v>2325.9156885359243</v>
      </c>
      <c r="L51" s="121">
        <f t="shared" si="16"/>
        <v>2372.3176678716904</v>
      </c>
      <c r="M51" s="121">
        <f t="shared" si="16"/>
        <v>2419.6642000998504</v>
      </c>
      <c r="N51" s="121">
        <f t="shared" si="16"/>
        <v>2467.9748447335901</v>
      </c>
      <c r="O51" s="121">
        <f t="shared" si="16"/>
        <v>1670.4811119322076</v>
      </c>
      <c r="P51" s="121">
        <f t="shared" si="16"/>
        <v>1707.2316963947162</v>
      </c>
      <c r="Q51" s="121">
        <f t="shared" si="16"/>
        <v>1744.7907937154</v>
      </c>
      <c r="R51" s="121">
        <f t="shared" si="16"/>
        <v>1783.1761911771387</v>
      </c>
      <c r="S51" s="121">
        <f t="shared" si="16"/>
        <v>1822.4060673830359</v>
      </c>
      <c r="T51" s="121">
        <f t="shared" si="16"/>
        <v>1862.4990008654627</v>
      </c>
      <c r="U51" s="121">
        <f t="shared" si="16"/>
        <v>1903.4739788845027</v>
      </c>
      <c r="V51" s="121">
        <f t="shared" si="16"/>
        <v>1945.3504064199617</v>
      </c>
      <c r="W51" s="121">
        <f t="shared" si="16"/>
        <v>1988.148115361201</v>
      </c>
      <c r="X51" s="121">
        <f t="shared" si="16"/>
        <v>2031.8873738991476</v>
      </c>
      <c r="Y51" s="121">
        <f t="shared" si="16"/>
        <v>2076.5888961249289</v>
      </c>
      <c r="Z51" s="121">
        <f t="shared" si="16"/>
        <v>2122.2738518396773</v>
      </c>
      <c r="AA51" s="121">
        <f t="shared" si="16"/>
        <v>2168.9638765801506</v>
      </c>
      <c r="AB51" s="121">
        <f t="shared" si="16"/>
        <v>2216.6810818649137</v>
      </c>
    </row>
    <row r="52" spans="1:28" s="117" customFormat="1" x14ac:dyDescent="0.3">
      <c r="A52" s="117" t="s">
        <v>126</v>
      </c>
      <c r="B52" s="117" t="s">
        <v>139</v>
      </c>
      <c r="D52" s="118">
        <f>MAX(D50+NPV(assumptions!$D$6,'Tier III incentives'!D51:H51)-NPV(assumptions!$D$6,'Tier III incentives'!D49:H49),0)</f>
        <v>6356.8464765887475</v>
      </c>
      <c r="E52" s="118">
        <f>MAX(E50+NPV(assumptions!$D$6,'Tier III incentives'!E51:I51)-NPV(assumptions!$D$6,'Tier III incentives'!E49:I49),0)</f>
        <v>5793.5912846987476</v>
      </c>
      <c r="F52" s="118">
        <f>MAX(F50+NPV(assumptions!$D$6,'Tier III incentives'!F51:J51)-NPV(assumptions!$D$6,'Tier III incentives'!F49:J49),0)</f>
        <v>5903.5098421609428</v>
      </c>
      <c r="G52" s="118">
        <f>MAX(G50+NPV(assumptions!$D$6,'Tier III incentives'!G51:K51)-NPV(assumptions!$D$6,'Tier III incentives'!G49:K49),0)</f>
        <v>6015.7841206744852</v>
      </c>
      <c r="H52" s="118">
        <f>MAX(H50+NPV(assumptions!$D$6,'Tier III incentives'!H51:L51)-NPV(assumptions!$D$6,'Tier III incentives'!H49:L49),0)</f>
        <v>6130.4671279071035</v>
      </c>
      <c r="I52" s="118">
        <f>MAX(I50+NPV(assumptions!$D$6,'Tier III incentives'!I51:M51)-NPV(assumptions!$D$6,'Tier III incentives'!I49:M49),0)</f>
        <v>6247.6130784200832</v>
      </c>
      <c r="J52" s="118">
        <f>MAX(J50+NPV(assumptions!$D$6,'Tier III incentives'!J51:N51)-NPV(assumptions!$D$6,'Tier III incentives'!J49:N49),0)</f>
        <v>6367.2774210896923</v>
      </c>
      <c r="K52" s="118">
        <f>MAX(K50+NPV(assumptions!$D$6,'Tier III incentives'!K51:O51)-NPV(assumptions!$D$6,'Tier III incentives'!K49:O49),0)</f>
        <v>7122.2864646708376</v>
      </c>
      <c r="L52" s="118">
        <f>MAX(L50+NPV(assumptions!$D$6,'Tier III incentives'!L51:P51)-NPV(assumptions!$D$6,'Tier III incentives'!L49:P49),0)</f>
        <v>7928.0191033142437</v>
      </c>
      <c r="M52" s="118">
        <f>MAX(M50+NPV(assumptions!$D$6,'Tier III incentives'!M51:Q51)-NPV(assumptions!$D$6,'Tier III incentives'!M49:Q49),0)</f>
        <v>8787.5820780148097</v>
      </c>
      <c r="N52" s="118">
        <f>MAX(N50+NPV(assumptions!$D$6,'Tier III incentives'!N51:R51)-NPV(assumptions!$D$6,'Tier III incentives'!N49:R49),0)</f>
        <v>9704.2689170295653</v>
      </c>
      <c r="O52" s="118"/>
      <c r="P52" s="118"/>
      <c r="Q52" s="118"/>
      <c r="R52" s="118"/>
      <c r="S52" s="118"/>
      <c r="T52" s="118"/>
      <c r="U52" s="118"/>
      <c r="V52" s="118"/>
      <c r="W52" s="118"/>
      <c r="X52" s="118"/>
      <c r="Y52" s="118"/>
      <c r="Z52" s="118"/>
      <c r="AA52" s="118"/>
      <c r="AB52" s="118"/>
    </row>
    <row r="53" spans="1:28" s="117" customFormat="1" ht="12.75" customHeight="1" x14ac:dyDescent="0.3">
      <c r="A53" s="117" t="s">
        <v>127</v>
      </c>
      <c r="B53" s="117" t="s">
        <v>54</v>
      </c>
      <c r="D53" s="122">
        <f t="shared" ref="D53:N53" si="17">D52/$C$18</f>
        <v>260.21610420420603</v>
      </c>
      <c r="E53" s="122">
        <f t="shared" si="17"/>
        <v>237.15937753223193</v>
      </c>
      <c r="F53" s="122">
        <f t="shared" si="17"/>
        <v>241.65886936484065</v>
      </c>
      <c r="G53" s="122">
        <f t="shared" si="17"/>
        <v>246.25479211753387</v>
      </c>
      <c r="H53" s="122">
        <f t="shared" si="17"/>
        <v>250.94931564746329</v>
      </c>
      <c r="I53" s="122">
        <f t="shared" si="17"/>
        <v>255.74465921570129</v>
      </c>
      <c r="J53" s="122">
        <f t="shared" si="17"/>
        <v>260.64309260973107</v>
      </c>
      <c r="K53" s="122">
        <f t="shared" si="17"/>
        <v>291.54922077928501</v>
      </c>
      <c r="L53" s="122">
        <f t="shared" si="17"/>
        <v>324.53170809121298</v>
      </c>
      <c r="M53" s="122">
        <f t="shared" si="17"/>
        <v>359.71772830084188</v>
      </c>
      <c r="N53" s="122">
        <f t="shared" si="17"/>
        <v>397.24210125875118</v>
      </c>
      <c r="O53" s="122"/>
      <c r="P53" s="122"/>
      <c r="Q53" s="122"/>
      <c r="R53" s="122"/>
      <c r="S53" s="122"/>
      <c r="T53" s="122"/>
      <c r="U53" s="122"/>
      <c r="V53" s="122"/>
      <c r="W53" s="122"/>
      <c r="X53" s="122"/>
      <c r="Y53" s="122"/>
      <c r="Z53" s="122"/>
      <c r="AA53" s="122"/>
      <c r="AB53" s="122"/>
    </row>
    <row r="54" spans="1:28" s="117" customFormat="1" x14ac:dyDescent="0.3">
      <c r="A54" s="117" t="s">
        <v>128</v>
      </c>
      <c r="B54" s="117" t="s">
        <v>54</v>
      </c>
      <c r="D54" s="118">
        <f t="shared" ref="D54:N54" si="18">$C$18*D42</f>
        <v>194790.55263649215</v>
      </c>
      <c r="E54" s="118">
        <f t="shared" si="18"/>
        <v>150722.64288144978</v>
      </c>
      <c r="F54" s="118">
        <f t="shared" si="18"/>
        <v>139000.70083985952</v>
      </c>
      <c r="G54" s="118">
        <f t="shared" si="18"/>
        <v>129032.54213551522</v>
      </c>
      <c r="H54" s="118">
        <f t="shared" si="18"/>
        <v>120859.09741722506</v>
      </c>
      <c r="I54" s="118">
        <f t="shared" si="18"/>
        <v>114525.80140320554</v>
      </c>
      <c r="J54" s="118">
        <f t="shared" si="18"/>
        <v>110082.802898592</v>
      </c>
      <c r="K54" s="118">
        <f t="shared" si="18"/>
        <v>107585.18922515836</v>
      </c>
      <c r="L54" s="118">
        <f t="shared" si="18"/>
        <v>107093.22587338545</v>
      </c>
      <c r="M54" s="118">
        <f t="shared" si="18"/>
        <v>108672.61223724511</v>
      </c>
      <c r="N54" s="118">
        <f t="shared" si="18"/>
        <v>112394.75434526386</v>
      </c>
      <c r="O54" s="118"/>
      <c r="P54" s="118"/>
      <c r="Q54" s="118"/>
      <c r="R54" s="118"/>
      <c r="S54" s="118"/>
      <c r="T54" s="118"/>
      <c r="U54" s="118"/>
      <c r="V54" s="118"/>
      <c r="W54" s="118"/>
      <c r="X54" s="118"/>
      <c r="Y54" s="118"/>
      <c r="Z54" s="118"/>
      <c r="AA54" s="118"/>
      <c r="AB54" s="118"/>
    </row>
    <row r="55" spans="1:28" s="117" customFormat="1" x14ac:dyDescent="0.3"/>
    <row r="56" spans="1:28" s="117" customFormat="1" ht="15.6" x14ac:dyDescent="0.3">
      <c r="A56" s="116" t="s">
        <v>143</v>
      </c>
      <c r="D56" s="118"/>
      <c r="E56" s="118"/>
      <c r="F56" s="118"/>
      <c r="G56" s="118"/>
      <c r="H56" s="118"/>
      <c r="I56" s="118"/>
      <c r="J56" s="118"/>
      <c r="K56" s="118"/>
      <c r="L56" s="118"/>
      <c r="M56" s="118"/>
      <c r="P56" s="119"/>
    </row>
    <row r="57" spans="1:28" s="117" customFormat="1" x14ac:dyDescent="0.3">
      <c r="A57" s="117" t="s">
        <v>131</v>
      </c>
      <c r="D57" s="118">
        <f t="shared" ref="D57:AB57" si="19">(htg_load_baseline_space*D$26)+(UEC_window_clg*D50)</f>
        <v>0</v>
      </c>
      <c r="E57" s="118">
        <f t="shared" si="19"/>
        <v>1445</v>
      </c>
      <c r="F57" s="118">
        <f t="shared" si="19"/>
        <v>1468.12</v>
      </c>
      <c r="G57" s="118">
        <f t="shared" si="19"/>
        <v>1491.6099199999999</v>
      </c>
      <c r="H57" s="118">
        <f t="shared" si="19"/>
        <v>1515.4756787199997</v>
      </c>
      <c r="I57" s="118">
        <f t="shared" si="19"/>
        <v>1539.7232895795198</v>
      </c>
      <c r="J57" s="118">
        <f t="shared" si="19"/>
        <v>1564.358862212792</v>
      </c>
      <c r="K57" s="118">
        <f t="shared" si="19"/>
        <v>1589.3886040081968</v>
      </c>
      <c r="L57" s="118">
        <f t="shared" si="19"/>
        <v>1614.8188216723281</v>
      </c>
      <c r="M57" s="118">
        <f t="shared" si="19"/>
        <v>1640.6559228190854</v>
      </c>
      <c r="N57" s="118">
        <f t="shared" si="19"/>
        <v>1666.9064175841906</v>
      </c>
      <c r="O57" s="118">
        <f t="shared" si="19"/>
        <v>0</v>
      </c>
      <c r="P57" s="118">
        <f t="shared" si="19"/>
        <v>0</v>
      </c>
      <c r="Q57" s="118">
        <f t="shared" si="19"/>
        <v>0</v>
      </c>
      <c r="R57" s="118">
        <f t="shared" si="19"/>
        <v>0</v>
      </c>
      <c r="S57" s="118">
        <f t="shared" si="19"/>
        <v>0</v>
      </c>
      <c r="T57" s="118">
        <f t="shared" si="19"/>
        <v>0</v>
      </c>
      <c r="U57" s="118">
        <f t="shared" si="19"/>
        <v>0</v>
      </c>
      <c r="V57" s="118">
        <f t="shared" si="19"/>
        <v>0</v>
      </c>
      <c r="W57" s="118">
        <f t="shared" si="19"/>
        <v>0</v>
      </c>
      <c r="X57" s="118">
        <f t="shared" si="19"/>
        <v>0</v>
      </c>
      <c r="Y57" s="118">
        <f t="shared" si="19"/>
        <v>0</v>
      </c>
      <c r="Z57" s="118">
        <f t="shared" si="19"/>
        <v>0</v>
      </c>
      <c r="AA57" s="118">
        <f t="shared" si="19"/>
        <v>0</v>
      </c>
      <c r="AB57" s="118">
        <f t="shared" si="19"/>
        <v>0</v>
      </c>
    </row>
    <row r="58" spans="1:28" s="117" customFormat="1" x14ac:dyDescent="0.3">
      <c r="A58" s="117" t="s">
        <v>148</v>
      </c>
      <c r="B58" s="117" t="s">
        <v>139</v>
      </c>
      <c r="D58" s="118">
        <f>equip_cost_CCHP_space</f>
        <v>3000</v>
      </c>
      <c r="E58" s="118">
        <f t="shared" ref="E58:N58" si="20">D58*(1+equip_cost_trend_CCHP)</f>
        <v>3030</v>
      </c>
      <c r="F58" s="118">
        <f t="shared" si="20"/>
        <v>3060.3</v>
      </c>
      <c r="G58" s="118">
        <f t="shared" si="20"/>
        <v>3090.9030000000002</v>
      </c>
      <c r="H58" s="118">
        <f t="shared" si="20"/>
        <v>3121.8120300000005</v>
      </c>
      <c r="I58" s="118">
        <f t="shared" si="20"/>
        <v>3153.0301503000005</v>
      </c>
      <c r="J58" s="118">
        <f t="shared" si="20"/>
        <v>3184.5604518030004</v>
      </c>
      <c r="K58" s="118">
        <f t="shared" si="20"/>
        <v>3216.4060563210305</v>
      </c>
      <c r="L58" s="118">
        <f t="shared" si="20"/>
        <v>3248.5701168842406</v>
      </c>
      <c r="M58" s="118">
        <f t="shared" si="20"/>
        <v>3281.0558180530829</v>
      </c>
      <c r="N58" s="118">
        <f t="shared" si="20"/>
        <v>3313.8663762336137</v>
      </c>
      <c r="P58" s="119"/>
    </row>
    <row r="59" spans="1:28" s="121" customFormat="1" x14ac:dyDescent="0.3">
      <c r="A59" s="120" t="s">
        <v>149</v>
      </c>
      <c r="B59" s="117" t="s">
        <v>139</v>
      </c>
      <c r="D59" s="121">
        <f t="shared" ref="D59:AB59" si="21">($C$14*D50)+(htg_load_CCHP_backup*D$26)+($C$16*D50)</f>
        <v>6600</v>
      </c>
      <c r="E59" s="121">
        <f t="shared" si="21"/>
        <v>7388.5</v>
      </c>
      <c r="F59" s="121">
        <f t="shared" si="21"/>
        <v>7466.72</v>
      </c>
      <c r="G59" s="121">
        <f t="shared" si="21"/>
        <v>7545.7915599999997</v>
      </c>
      <c r="H59" s="121">
        <f t="shared" si="21"/>
        <v>7625.7243053600014</v>
      </c>
      <c r="I59" s="121">
        <f t="shared" si="21"/>
        <v>7706.5279754497615</v>
      </c>
      <c r="J59" s="121">
        <f t="shared" si="21"/>
        <v>7788.2124250729967</v>
      </c>
      <c r="K59" s="121">
        <f t="shared" si="21"/>
        <v>7870.787625910365</v>
      </c>
      <c r="L59" s="121">
        <f t="shared" si="21"/>
        <v>7954.2636679814932</v>
      </c>
      <c r="M59" s="121">
        <f t="shared" si="21"/>
        <v>8038.6507611263251</v>
      </c>
      <c r="N59" s="121">
        <f t="shared" si="21"/>
        <v>8123.9592365060453</v>
      </c>
      <c r="O59" s="121">
        <f t="shared" si="21"/>
        <v>0</v>
      </c>
      <c r="P59" s="121">
        <f t="shared" si="21"/>
        <v>0</v>
      </c>
      <c r="Q59" s="121">
        <f t="shared" si="21"/>
        <v>0</v>
      </c>
      <c r="R59" s="121">
        <f t="shared" si="21"/>
        <v>0</v>
      </c>
      <c r="S59" s="121">
        <f t="shared" si="21"/>
        <v>0</v>
      </c>
      <c r="T59" s="121">
        <f t="shared" si="21"/>
        <v>0</v>
      </c>
      <c r="U59" s="121">
        <f t="shared" si="21"/>
        <v>0</v>
      </c>
      <c r="V59" s="121">
        <f t="shared" si="21"/>
        <v>0</v>
      </c>
      <c r="W59" s="121">
        <f t="shared" si="21"/>
        <v>0</v>
      </c>
      <c r="X59" s="121">
        <f t="shared" si="21"/>
        <v>0</v>
      </c>
      <c r="Y59" s="121">
        <f t="shared" si="21"/>
        <v>0</v>
      </c>
      <c r="Z59" s="121">
        <f t="shared" si="21"/>
        <v>0</v>
      </c>
      <c r="AA59" s="121">
        <f t="shared" si="21"/>
        <v>0</v>
      </c>
      <c r="AB59" s="121">
        <f t="shared" si="21"/>
        <v>0</v>
      </c>
    </row>
    <row r="60" spans="1:28" s="117" customFormat="1" x14ac:dyDescent="0.3">
      <c r="A60" s="117" t="s">
        <v>126</v>
      </c>
      <c r="B60" s="117" t="s">
        <v>139</v>
      </c>
      <c r="D60" s="118">
        <f>MAX(D58+NPV(assumptions!$D$6,'Tier III incentives'!D59:H59)-NPV(assumptions!$D$6,'Tier III incentives'!D57:H57),0)</f>
        <v>28914.061304398128</v>
      </c>
      <c r="E60" s="118">
        <f>MAX(E58+NPV(assumptions!$D$6,'Tier III incentives'!E59:I59)-NPV(assumptions!$D$6,'Tier III incentives'!E57:I57),0)</f>
        <v>28507.100184647257</v>
      </c>
      <c r="F60" s="118">
        <f>MAX(F58+NPV(assumptions!$D$6,'Tier III incentives'!F59:J59)-NPV(assumptions!$D$6,'Tier III incentives'!F57:J57),0)</f>
        <v>28773.351637294909</v>
      </c>
      <c r="G60" s="118">
        <f>MAX(G58+NPV(assumptions!$D$6,'Tier III incentives'!G59:K59)-NPV(assumptions!$D$6,'Tier III incentives'!G57:K57),0)</f>
        <v>29041.964491681858</v>
      </c>
      <c r="H60" s="118">
        <f>MAX(H58+NPV(assumptions!$D$6,'Tier III incentives'!H59:L59)-NPV(assumptions!$D$6,'Tier III incentives'!H57:L57),0)</f>
        <v>29312.957544020897</v>
      </c>
      <c r="I60" s="118">
        <f>MAX(I58+NPV(assumptions!$D$6,'Tier III incentives'!I59:M59)-NPV(assumptions!$D$6,'Tier III incentives'!I57:M57),0)</f>
        <v>29586.34970140208</v>
      </c>
      <c r="J60" s="118">
        <f>MAX(J58+NPV(assumptions!$D$6,'Tier III incentives'!J59:N59)-NPV(assumptions!$D$6,'Tier III incentives'!J57:N57),0)</f>
        <v>29862.159981668134</v>
      </c>
      <c r="K60" s="118">
        <f>MAX(K58+NPV(assumptions!$D$6,'Tier III incentives'!K59:O59)-NPV(assumptions!$D$6,'Tier III incentives'!K57:O57),0)</f>
        <v>25270.807995117866</v>
      </c>
      <c r="L60" s="118">
        <f>MAX(L58+NPV(assumptions!$D$6,'Tier III incentives'!L59:P59)-NPV(assumptions!$D$6,'Tier III incentives'!L57:P57),0)</f>
        <v>20344.837150106716</v>
      </c>
      <c r="M60" s="118">
        <f>MAX(M58+NPV(assumptions!$D$6,'Tier III incentives'!M59:Q59)-NPV(assumptions!$D$6,'Tier III incentives'!M57:Q57),0)</f>
        <v>15063.654026959748</v>
      </c>
      <c r="N60" s="118">
        <f>MAX(N58+NPV(assumptions!$D$6,'Tier III incentives'!N59:R59)-NPV(assumptions!$D$6,'Tier III incentives'!N57:R57),0)</f>
        <v>9405.4256393674386</v>
      </c>
      <c r="O60" s="118"/>
      <c r="P60" s="118"/>
      <c r="Q60" s="118"/>
      <c r="R60" s="118"/>
      <c r="S60" s="118"/>
      <c r="T60" s="118"/>
      <c r="U60" s="118"/>
      <c r="V60" s="118"/>
      <c r="W60" s="118"/>
      <c r="X60" s="118"/>
      <c r="Y60" s="118"/>
      <c r="Z60" s="118"/>
      <c r="AA60" s="118"/>
      <c r="AB60" s="118"/>
    </row>
    <row r="61" spans="1:28" s="117" customFormat="1" ht="12.75" customHeight="1" x14ac:dyDescent="0.3">
      <c r="A61" s="117" t="s">
        <v>127</v>
      </c>
      <c r="B61" s="117" t="s">
        <v>54</v>
      </c>
      <c r="D61" s="122">
        <f t="shared" ref="D61:N61" si="22">D60/$C$18</f>
        <v>1183.5907028841116</v>
      </c>
      <c r="E61" s="122">
        <f t="shared" si="22"/>
        <v>1166.9318394784659</v>
      </c>
      <c r="F61" s="122">
        <f t="shared" si="22"/>
        <v>1177.8307837902155</v>
      </c>
      <c r="G61" s="122">
        <f t="shared" si="22"/>
        <v>1188.826391559754</v>
      </c>
      <c r="H61" s="122">
        <f t="shared" si="22"/>
        <v>1199.9194322058943</v>
      </c>
      <c r="I61" s="122">
        <f t="shared" si="22"/>
        <v>1211.1106796861843</v>
      </c>
      <c r="J61" s="122">
        <f t="shared" si="22"/>
        <v>1222.4009124918091</v>
      </c>
      <c r="K61" s="122">
        <f t="shared" si="22"/>
        <v>1034.4549346598126</v>
      </c>
      <c r="L61" s="122">
        <f t="shared" si="22"/>
        <v>832.81140788391372</v>
      </c>
      <c r="M61" s="122">
        <f t="shared" si="22"/>
        <v>616.62734508556775</v>
      </c>
      <c r="N61" s="122">
        <f t="shared" si="22"/>
        <v>385.00901780027124</v>
      </c>
      <c r="O61" s="122"/>
      <c r="P61" s="122"/>
      <c r="Q61" s="122"/>
      <c r="R61" s="122"/>
      <c r="S61" s="122"/>
      <c r="T61" s="122"/>
      <c r="U61" s="122"/>
      <c r="V61" s="122"/>
      <c r="W61" s="122"/>
      <c r="X61" s="122"/>
      <c r="Y61" s="122"/>
      <c r="Z61" s="122"/>
      <c r="AA61" s="122"/>
      <c r="AB61" s="122"/>
    </row>
    <row r="62" spans="1:28" s="117" customFormat="1" x14ac:dyDescent="0.3">
      <c r="A62" s="117" t="s">
        <v>128</v>
      </c>
      <c r="B62" s="117" t="s">
        <v>54</v>
      </c>
      <c r="D62" s="118">
        <f t="shared" ref="D62:N62" si="23">$C$18*D51</f>
        <v>32121.015579514969</v>
      </c>
      <c r="E62" s="118">
        <f t="shared" si="23"/>
        <v>50477.706130092389</v>
      </c>
      <c r="F62" s="118">
        <f t="shared" si="23"/>
        <v>51482.315495707451</v>
      </c>
      <c r="G62" s="118">
        <f t="shared" si="23"/>
        <v>52507.331864658088</v>
      </c>
      <c r="H62" s="118">
        <f t="shared" si="23"/>
        <v>53553.177080574373</v>
      </c>
      <c r="I62" s="118">
        <f t="shared" si="23"/>
        <v>54620.281833879118</v>
      </c>
      <c r="J62" s="118">
        <f t="shared" si="23"/>
        <v>55709.085849477073</v>
      </c>
      <c r="K62" s="118">
        <f t="shared" si="23"/>
        <v>56820.038078462232</v>
      </c>
      <c r="L62" s="118">
        <f t="shared" si="23"/>
        <v>57953.596893929811</v>
      </c>
      <c r="M62" s="118">
        <f t="shared" si="23"/>
        <v>59110.230290981526</v>
      </c>
      <c r="N62" s="118">
        <f t="shared" si="23"/>
        <v>60290.416091014558</v>
      </c>
      <c r="O62" s="118"/>
      <c r="P62" s="118"/>
      <c r="Q62" s="118"/>
      <c r="R62" s="118"/>
      <c r="S62" s="118"/>
      <c r="T62" s="118"/>
      <c r="U62" s="118"/>
      <c r="V62" s="118"/>
      <c r="W62" s="118"/>
      <c r="X62" s="118"/>
      <c r="Y62" s="118"/>
      <c r="Z62" s="118"/>
      <c r="AA62" s="118"/>
      <c r="AB62" s="118"/>
    </row>
    <row r="63" spans="1:28" s="117" customFormat="1" x14ac:dyDescent="0.3"/>
    <row r="64" spans="1:28" s="72" customFormat="1" x14ac:dyDescent="0.3"/>
    <row r="65" s="72" customFormat="1" x14ac:dyDescent="0.3"/>
    <row r="66" s="72" customFormat="1" x14ac:dyDescent="0.3"/>
    <row r="67" s="72" customFormat="1" x14ac:dyDescent="0.3"/>
    <row r="68" s="72" customFormat="1" x14ac:dyDescent="0.3"/>
    <row r="69" s="72" customFormat="1" x14ac:dyDescent="0.3"/>
    <row r="70" s="72" customFormat="1" x14ac:dyDescent="0.3"/>
    <row r="71" s="72" customFormat="1" x14ac:dyDescent="0.3"/>
    <row r="72" s="72" customFormat="1" x14ac:dyDescent="0.3"/>
    <row r="73" s="72" customFormat="1" x14ac:dyDescent="0.3"/>
    <row r="74" s="72" customFormat="1" x14ac:dyDescent="0.3"/>
    <row r="75" s="72" customFormat="1" x14ac:dyDescent="0.3"/>
    <row r="76" s="72" customFormat="1" x14ac:dyDescent="0.3"/>
    <row r="77" s="72" customFormat="1" x14ac:dyDescent="0.3"/>
    <row r="78" s="72" customFormat="1" x14ac:dyDescent="0.3"/>
    <row r="79" s="72" customFormat="1" x14ac:dyDescent="0.3"/>
    <row r="80" s="72" customFormat="1" x14ac:dyDescent="0.3"/>
    <row r="81" s="72" customFormat="1" x14ac:dyDescent="0.3"/>
    <row r="82" s="72" customFormat="1" x14ac:dyDescent="0.3"/>
    <row r="83" s="72" customFormat="1" x14ac:dyDescent="0.3"/>
    <row r="84" s="72" customFormat="1" x14ac:dyDescent="0.3"/>
    <row r="85" s="72" customFormat="1" x14ac:dyDescent="0.3"/>
    <row r="86" s="72" customFormat="1" x14ac:dyDescent="0.3"/>
    <row r="87" s="72" customFormat="1" x14ac:dyDescent="0.3"/>
    <row r="88" s="72" customFormat="1" x14ac:dyDescent="0.3"/>
    <row r="89" s="72" customFormat="1" x14ac:dyDescent="0.3"/>
    <row r="90" s="72" customFormat="1" x14ac:dyDescent="0.3"/>
    <row r="91" s="72" customFormat="1" x14ac:dyDescent="0.3"/>
    <row r="92" s="72" customFormat="1" x14ac:dyDescent="0.3"/>
    <row r="93" s="72" customFormat="1" x14ac:dyDescent="0.3"/>
    <row r="94" s="72" customFormat="1" x14ac:dyDescent="0.3"/>
    <row r="95" s="72" customFormat="1" x14ac:dyDescent="0.3"/>
    <row r="96" s="72" customFormat="1" x14ac:dyDescent="0.3"/>
    <row r="97" s="72" customFormat="1" x14ac:dyDescent="0.3"/>
    <row r="98" s="72" customFormat="1" x14ac:dyDescent="0.3"/>
    <row r="99" s="72" customFormat="1" x14ac:dyDescent="0.3"/>
    <row r="100" s="72" customFormat="1" x14ac:dyDescent="0.3"/>
    <row r="101" s="72" customFormat="1" x14ac:dyDescent="0.3"/>
    <row r="102" s="72" customFormat="1" x14ac:dyDescent="0.3"/>
    <row r="103" s="72" customFormat="1" x14ac:dyDescent="0.3"/>
    <row r="104" s="72" customFormat="1" x14ac:dyDescent="0.3"/>
    <row r="105" s="72" customFormat="1" x14ac:dyDescent="0.3"/>
    <row r="106" s="72" customFormat="1" x14ac:dyDescent="0.3"/>
    <row r="107" s="72" customFormat="1" x14ac:dyDescent="0.3"/>
    <row r="108" s="72" customFormat="1" x14ac:dyDescent="0.3"/>
    <row r="109" s="72" customFormat="1" x14ac:dyDescent="0.3"/>
    <row r="110" s="72" customFormat="1" x14ac:dyDescent="0.3"/>
    <row r="111" s="72" customFormat="1" x14ac:dyDescent="0.3"/>
    <row r="112" s="72" customFormat="1" x14ac:dyDescent="0.3"/>
    <row r="113" s="72" customFormat="1" x14ac:dyDescent="0.3"/>
    <row r="114" s="72" customFormat="1" x14ac:dyDescent="0.3"/>
    <row r="115" s="72" customFormat="1" x14ac:dyDescent="0.3"/>
    <row r="116" s="72" customFormat="1" x14ac:dyDescent="0.3"/>
  </sheetData>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O118"/>
  <sheetViews>
    <sheetView zoomScale="80" zoomScaleNormal="80" workbookViewId="0">
      <pane xSplit="4" ySplit="6" topLeftCell="E7" activePane="bottomRight" state="frozen"/>
      <selection pane="topRight" activeCell="E1" sqref="E1"/>
      <selection pane="bottomLeft" activeCell="A7" sqref="A7"/>
      <selection pane="bottomRight" activeCell="G90" sqref="G90"/>
    </sheetView>
  </sheetViews>
  <sheetFormatPr defaultRowHeight="14.4" x14ac:dyDescent="0.3"/>
  <cols>
    <col min="1" max="1" width="27.33203125" customWidth="1"/>
    <col min="2" max="2" width="54.44140625" customWidth="1"/>
    <col min="3" max="3" width="2.109375" customWidth="1"/>
    <col min="4" max="4" width="14" bestFit="1" customWidth="1"/>
    <col min="5" max="5" width="14" customWidth="1"/>
  </cols>
  <sheetData>
    <row r="1" spans="1:41" x14ac:dyDescent="0.3">
      <c r="A1" t="s">
        <v>254</v>
      </c>
    </row>
    <row r="2" spans="1:41" x14ac:dyDescent="0.3">
      <c r="A2" t="s">
        <v>255</v>
      </c>
    </row>
    <row r="3" spans="1:41" x14ac:dyDescent="0.3">
      <c r="A3" t="s">
        <v>256</v>
      </c>
    </row>
    <row r="4" spans="1:41" x14ac:dyDescent="0.3">
      <c r="A4" t="s">
        <v>257</v>
      </c>
    </row>
    <row r="5" spans="1:41" x14ac:dyDescent="0.3">
      <c r="B5" t="s">
        <v>258</v>
      </c>
      <c r="C5" t="s">
        <v>259</v>
      </c>
      <c r="D5" t="s">
        <v>260</v>
      </c>
      <c r="F5">
        <v>2016</v>
      </c>
      <c r="G5">
        <v>2017</v>
      </c>
      <c r="H5">
        <v>2018</v>
      </c>
      <c r="I5">
        <v>2019</v>
      </c>
      <c r="J5">
        <v>2020</v>
      </c>
      <c r="K5">
        <v>2021</v>
      </c>
      <c r="L5">
        <v>2022</v>
      </c>
      <c r="M5">
        <v>2023</v>
      </c>
      <c r="N5">
        <v>2024</v>
      </c>
      <c r="O5">
        <v>2025</v>
      </c>
      <c r="P5">
        <v>2026</v>
      </c>
      <c r="Q5">
        <v>2027</v>
      </c>
      <c r="R5">
        <v>2028</v>
      </c>
      <c r="S5">
        <v>2029</v>
      </c>
      <c r="T5">
        <v>2030</v>
      </c>
      <c r="U5">
        <v>2031</v>
      </c>
      <c r="V5">
        <v>2032</v>
      </c>
      <c r="W5">
        <v>2033</v>
      </c>
      <c r="X5">
        <v>2034</v>
      </c>
      <c r="Y5">
        <v>2035</v>
      </c>
      <c r="Z5">
        <v>2036</v>
      </c>
      <c r="AA5">
        <v>2037</v>
      </c>
      <c r="AB5">
        <v>2038</v>
      </c>
      <c r="AC5">
        <v>2039</v>
      </c>
      <c r="AD5">
        <v>2040</v>
      </c>
      <c r="AE5">
        <v>2041</v>
      </c>
      <c r="AF5">
        <v>2042</v>
      </c>
      <c r="AG5">
        <v>2043</v>
      </c>
      <c r="AH5">
        <v>2044</v>
      </c>
      <c r="AI5">
        <v>2045</v>
      </c>
      <c r="AJ5">
        <v>2046</v>
      </c>
      <c r="AK5">
        <v>2047</v>
      </c>
      <c r="AL5">
        <v>2048</v>
      </c>
      <c r="AM5">
        <v>2049</v>
      </c>
      <c r="AN5">
        <v>2050</v>
      </c>
      <c r="AO5" t="s">
        <v>261</v>
      </c>
    </row>
    <row r="6" spans="1:41" x14ac:dyDescent="0.3">
      <c r="A6" t="s">
        <v>262</v>
      </c>
      <c r="C6" t="s">
        <v>263</v>
      </c>
    </row>
    <row r="7" spans="1:41" hidden="1" x14ac:dyDescent="0.3">
      <c r="A7" t="s">
        <v>264</v>
      </c>
      <c r="B7" t="s">
        <v>265</v>
      </c>
      <c r="C7" t="s">
        <v>266</v>
      </c>
      <c r="D7" t="s">
        <v>267</v>
      </c>
      <c r="F7">
        <v>16.563972</v>
      </c>
      <c r="G7">
        <v>17.287089999999999</v>
      </c>
      <c r="H7">
        <v>16.376625000000001</v>
      </c>
      <c r="I7">
        <v>16.498186</v>
      </c>
      <c r="J7">
        <v>17.318909000000001</v>
      </c>
      <c r="K7">
        <v>17.625971</v>
      </c>
      <c r="L7">
        <v>17.903547</v>
      </c>
      <c r="M7">
        <v>18.134867</v>
      </c>
      <c r="N7">
        <v>18.444447</v>
      </c>
      <c r="O7">
        <v>18.508569999999999</v>
      </c>
      <c r="P7">
        <v>18.565725</v>
      </c>
      <c r="Q7">
        <v>18.607476999999999</v>
      </c>
      <c r="R7">
        <v>18.69558</v>
      </c>
      <c r="S7">
        <v>18.956462999999999</v>
      </c>
      <c r="T7">
        <v>19.052042</v>
      </c>
      <c r="U7">
        <v>19.248858999999999</v>
      </c>
      <c r="V7">
        <v>19.504715000000001</v>
      </c>
      <c r="W7">
        <v>19.731387999999999</v>
      </c>
      <c r="X7">
        <v>19.905725</v>
      </c>
      <c r="Y7">
        <v>20.124555999999998</v>
      </c>
      <c r="Z7">
        <v>20.355029999999999</v>
      </c>
      <c r="AA7">
        <v>20.448519000000001</v>
      </c>
      <c r="AB7">
        <v>20.792003999999999</v>
      </c>
      <c r="AC7">
        <v>20.939291000000001</v>
      </c>
      <c r="AD7">
        <v>21.057186000000002</v>
      </c>
      <c r="AE7">
        <v>21.235984999999999</v>
      </c>
      <c r="AF7">
        <v>21.378388999999999</v>
      </c>
      <c r="AG7">
        <v>21.563662999999998</v>
      </c>
      <c r="AH7">
        <v>21.702648</v>
      </c>
      <c r="AI7">
        <v>21.904242</v>
      </c>
      <c r="AJ7">
        <v>22.034279000000002</v>
      </c>
      <c r="AK7">
        <v>22.195848000000002</v>
      </c>
      <c r="AL7">
        <v>22.408215999999999</v>
      </c>
      <c r="AM7">
        <v>22.605574000000001</v>
      </c>
      <c r="AN7">
        <v>22.732685</v>
      </c>
      <c r="AO7" s="4">
        <v>8.0000000000000002E-3</v>
      </c>
    </row>
    <row r="8" spans="1:41" hidden="1" x14ac:dyDescent="0.3">
      <c r="A8" t="s">
        <v>268</v>
      </c>
      <c r="B8" t="s">
        <v>269</v>
      </c>
      <c r="C8" t="s">
        <v>270</v>
      </c>
      <c r="D8" t="s">
        <v>267</v>
      </c>
      <c r="F8">
        <v>15.611299000000001</v>
      </c>
      <c r="G8">
        <v>18.190905000000001</v>
      </c>
      <c r="H8">
        <v>18.874865</v>
      </c>
      <c r="I8">
        <v>19.655369</v>
      </c>
      <c r="J8">
        <v>22.921983999999998</v>
      </c>
      <c r="K8">
        <v>24.512594</v>
      </c>
      <c r="L8">
        <v>25.322271000000001</v>
      </c>
      <c r="M8">
        <v>26.047235000000001</v>
      </c>
      <c r="N8">
        <v>26.348300999999999</v>
      </c>
      <c r="O8">
        <v>26.570868000000001</v>
      </c>
      <c r="P8">
        <v>26.635874000000001</v>
      </c>
      <c r="Q8">
        <v>26.916492000000002</v>
      </c>
      <c r="R8">
        <v>27.202255000000001</v>
      </c>
      <c r="S8">
        <v>27.563381</v>
      </c>
      <c r="T8">
        <v>27.785617999999999</v>
      </c>
      <c r="U8">
        <v>28.135000000000002</v>
      </c>
      <c r="V8">
        <v>28.311229999999998</v>
      </c>
      <c r="W8">
        <v>28.579037</v>
      </c>
      <c r="X8">
        <v>28.871407999999999</v>
      </c>
      <c r="Y8">
        <v>29.016226</v>
      </c>
      <c r="Z8">
        <v>29.135559000000001</v>
      </c>
      <c r="AA8">
        <v>29.626532000000001</v>
      </c>
      <c r="AB8">
        <v>29.760321000000001</v>
      </c>
      <c r="AC8">
        <v>29.980094999999999</v>
      </c>
      <c r="AD8">
        <v>30.164864999999999</v>
      </c>
      <c r="AE8">
        <v>30.366824999999999</v>
      </c>
      <c r="AF8">
        <v>30.382145000000001</v>
      </c>
      <c r="AG8">
        <v>30.4314</v>
      </c>
      <c r="AH8">
        <v>30.431916999999999</v>
      </c>
      <c r="AI8">
        <v>30.488115000000001</v>
      </c>
      <c r="AJ8">
        <v>30.398264000000001</v>
      </c>
      <c r="AK8">
        <v>30.508075999999999</v>
      </c>
      <c r="AL8">
        <v>30.623531</v>
      </c>
      <c r="AM8">
        <v>30.522767999999999</v>
      </c>
      <c r="AN8">
        <v>30.579048</v>
      </c>
      <c r="AO8" s="4">
        <v>1.6E-2</v>
      </c>
    </row>
    <row r="9" spans="1:41" hidden="1" x14ac:dyDescent="0.3">
      <c r="A9" t="s">
        <v>271</v>
      </c>
      <c r="B9" t="s">
        <v>272</v>
      </c>
      <c r="C9" t="s">
        <v>273</v>
      </c>
      <c r="D9" t="s">
        <v>267</v>
      </c>
      <c r="F9">
        <v>9.9288059999999998</v>
      </c>
      <c r="G9">
        <v>10.773175999999999</v>
      </c>
      <c r="H9">
        <v>10.390468</v>
      </c>
      <c r="I9">
        <v>10.789082000000001</v>
      </c>
      <c r="J9">
        <v>11.06382</v>
      </c>
      <c r="K9">
        <v>11.172378</v>
      </c>
      <c r="L9">
        <v>11.276792</v>
      </c>
      <c r="M9">
        <v>11.516977000000001</v>
      </c>
      <c r="N9">
        <v>11.857041000000001</v>
      </c>
      <c r="O9">
        <v>12.01146</v>
      </c>
      <c r="P9">
        <v>12.048026999999999</v>
      </c>
      <c r="Q9">
        <v>12.125622</v>
      </c>
      <c r="R9">
        <v>12.128204</v>
      </c>
      <c r="S9">
        <v>12.286273</v>
      </c>
      <c r="T9">
        <v>12.285990999999999</v>
      </c>
      <c r="U9">
        <v>12.321609</v>
      </c>
      <c r="V9">
        <v>12.362079</v>
      </c>
      <c r="W9">
        <v>12.402274999999999</v>
      </c>
      <c r="X9">
        <v>12.441359</v>
      </c>
      <c r="Y9">
        <v>12.475882</v>
      </c>
      <c r="Z9">
        <v>12.585224</v>
      </c>
      <c r="AA9">
        <v>12.647278</v>
      </c>
      <c r="AB9">
        <v>12.716407999999999</v>
      </c>
      <c r="AC9">
        <v>12.764773999999999</v>
      </c>
      <c r="AD9">
        <v>12.802239999999999</v>
      </c>
      <c r="AE9">
        <v>12.866659</v>
      </c>
      <c r="AF9">
        <v>12.966131000000001</v>
      </c>
      <c r="AG9">
        <v>12.994486</v>
      </c>
      <c r="AH9">
        <v>13.041449999999999</v>
      </c>
      <c r="AI9">
        <v>13.127465000000001</v>
      </c>
      <c r="AJ9">
        <v>13.194571</v>
      </c>
      <c r="AK9">
        <v>13.258160999999999</v>
      </c>
      <c r="AL9">
        <v>13.320793999999999</v>
      </c>
      <c r="AM9">
        <v>13.410131</v>
      </c>
      <c r="AN9">
        <v>13.488025</v>
      </c>
      <c r="AO9" s="4">
        <v>7.0000000000000001E-3</v>
      </c>
    </row>
    <row r="10" spans="1:41" hidden="1" x14ac:dyDescent="0.3">
      <c r="A10" t="s">
        <v>274</v>
      </c>
      <c r="B10" t="s">
        <v>275</v>
      </c>
      <c r="C10" t="s">
        <v>276</v>
      </c>
      <c r="D10" t="s">
        <v>267</v>
      </c>
      <c r="F10">
        <v>37.463527999999997</v>
      </c>
      <c r="G10">
        <v>37.117286999999997</v>
      </c>
      <c r="H10">
        <v>37.082081000000002</v>
      </c>
      <c r="I10">
        <v>38.073470999999998</v>
      </c>
      <c r="J10">
        <v>39.182076000000002</v>
      </c>
      <c r="K10">
        <v>39.416718000000003</v>
      </c>
      <c r="L10">
        <v>39.634495000000001</v>
      </c>
      <c r="M10">
        <v>39.902878000000001</v>
      </c>
      <c r="N10">
        <v>40.155811</v>
      </c>
      <c r="O10">
        <v>40.574069999999999</v>
      </c>
      <c r="P10">
        <v>40.766857000000002</v>
      </c>
      <c r="Q10">
        <v>40.890030000000003</v>
      </c>
      <c r="R10">
        <v>40.970118999999997</v>
      </c>
      <c r="S10">
        <v>41.044178000000002</v>
      </c>
      <c r="T10">
        <v>41.166339999999998</v>
      </c>
      <c r="U10">
        <v>41.326126000000002</v>
      </c>
      <c r="V10">
        <v>41.375717000000002</v>
      </c>
      <c r="W10">
        <v>41.409157</v>
      </c>
      <c r="X10">
        <v>41.374409</v>
      </c>
      <c r="Y10">
        <v>41.315143999999997</v>
      </c>
      <c r="Z10">
        <v>41.280051999999998</v>
      </c>
      <c r="AA10">
        <v>41.248184000000002</v>
      </c>
      <c r="AB10">
        <v>41.270412</v>
      </c>
      <c r="AC10">
        <v>41.274203999999997</v>
      </c>
      <c r="AD10">
        <v>41.286693999999997</v>
      </c>
      <c r="AE10">
        <v>41.289473999999998</v>
      </c>
      <c r="AF10">
        <v>41.235396999999999</v>
      </c>
      <c r="AG10">
        <v>41.158214999999998</v>
      </c>
      <c r="AH10">
        <v>41.106265999999998</v>
      </c>
      <c r="AI10">
        <v>41.064819</v>
      </c>
      <c r="AJ10">
        <v>40.946944999999999</v>
      </c>
      <c r="AK10">
        <v>40.944412</v>
      </c>
      <c r="AL10">
        <v>41.040790999999999</v>
      </c>
      <c r="AM10">
        <v>41.001975999999999</v>
      </c>
      <c r="AN10">
        <v>40.739207999999998</v>
      </c>
      <c r="AO10" s="4">
        <v>3.0000000000000001E-3</v>
      </c>
    </row>
    <row r="11" spans="1:41" hidden="1" x14ac:dyDescent="0.3">
      <c r="A11" t="s">
        <v>277</v>
      </c>
      <c r="C11" t="s">
        <v>278</v>
      </c>
    </row>
    <row r="12" spans="1:41" hidden="1" x14ac:dyDescent="0.3">
      <c r="A12" t="s">
        <v>264</v>
      </c>
      <c r="B12" t="s">
        <v>279</v>
      </c>
      <c r="C12" t="s">
        <v>280</v>
      </c>
      <c r="D12" t="s">
        <v>267</v>
      </c>
      <c r="F12">
        <v>14.815950000000001</v>
      </c>
      <c r="G12">
        <v>15.444172999999999</v>
      </c>
      <c r="H12">
        <v>14.656136999999999</v>
      </c>
      <c r="I12">
        <v>14.761590999999999</v>
      </c>
      <c r="J12">
        <v>15.4697</v>
      </c>
      <c r="K12">
        <v>15.734057999999999</v>
      </c>
      <c r="L12">
        <v>15.973036</v>
      </c>
      <c r="M12">
        <v>16.172903000000002</v>
      </c>
      <c r="N12">
        <v>16.479541999999999</v>
      </c>
      <c r="O12">
        <v>16.535025000000001</v>
      </c>
      <c r="P12">
        <v>16.583947999999999</v>
      </c>
      <c r="Q12">
        <v>16.618483000000001</v>
      </c>
      <c r="R12">
        <v>16.693375</v>
      </c>
      <c r="S12">
        <v>16.922446999999998</v>
      </c>
      <c r="T12">
        <v>17.004432999999999</v>
      </c>
      <c r="U12">
        <v>17.172909000000001</v>
      </c>
      <c r="V12">
        <v>17.393183000000001</v>
      </c>
      <c r="W12">
        <v>17.587854</v>
      </c>
      <c r="X12">
        <v>17.737244</v>
      </c>
      <c r="Y12">
        <v>17.925281999999999</v>
      </c>
      <c r="Z12">
        <v>18.123723999999999</v>
      </c>
      <c r="AA12">
        <v>18.203137999999999</v>
      </c>
      <c r="AB12">
        <v>18.498940999999999</v>
      </c>
      <c r="AC12">
        <v>18.625132000000001</v>
      </c>
      <c r="AD12">
        <v>18.725950000000001</v>
      </c>
      <c r="AE12">
        <v>18.879235999999999</v>
      </c>
      <c r="AF12">
        <v>19.001170999999999</v>
      </c>
      <c r="AG12">
        <v>19.160050999999999</v>
      </c>
      <c r="AH12">
        <v>19.278867999999999</v>
      </c>
      <c r="AI12">
        <v>19.451765000000002</v>
      </c>
      <c r="AJ12">
        <v>19.563065000000002</v>
      </c>
      <c r="AK12">
        <v>19.700956000000001</v>
      </c>
      <c r="AL12">
        <v>19.883509</v>
      </c>
      <c r="AM12">
        <v>20.052392999999999</v>
      </c>
      <c r="AN12">
        <v>20.160761000000001</v>
      </c>
      <c r="AO12" s="4">
        <v>8.0000000000000002E-3</v>
      </c>
    </row>
    <row r="13" spans="1:41" hidden="1" x14ac:dyDescent="0.3">
      <c r="A13" t="s">
        <v>268</v>
      </c>
      <c r="B13" t="s">
        <v>281</v>
      </c>
      <c r="C13" t="s">
        <v>282</v>
      </c>
      <c r="D13" t="s">
        <v>267</v>
      </c>
      <c r="F13">
        <v>13.760598999999999</v>
      </c>
      <c r="G13">
        <v>16.037226</v>
      </c>
      <c r="H13">
        <v>16.622834999999998</v>
      </c>
      <c r="I13">
        <v>16.936598</v>
      </c>
      <c r="J13">
        <v>19.721188000000001</v>
      </c>
      <c r="K13">
        <v>20.845589</v>
      </c>
      <c r="L13">
        <v>21.172142000000001</v>
      </c>
      <c r="M13">
        <v>21.415769999999998</v>
      </c>
      <c r="N13">
        <v>21.934532000000001</v>
      </c>
      <c r="O13">
        <v>22.152799999999999</v>
      </c>
      <c r="P13">
        <v>22.227522</v>
      </c>
      <c r="Q13">
        <v>22.500118000000001</v>
      </c>
      <c r="R13">
        <v>22.786963</v>
      </c>
      <c r="S13">
        <v>23.169702999999998</v>
      </c>
      <c r="T13">
        <v>23.388210000000001</v>
      </c>
      <c r="U13">
        <v>23.735900999999998</v>
      </c>
      <c r="V13">
        <v>23.906995999999999</v>
      </c>
      <c r="W13">
        <v>24.172180000000001</v>
      </c>
      <c r="X13">
        <v>24.459824000000001</v>
      </c>
      <c r="Y13">
        <v>24.608673</v>
      </c>
      <c r="Z13">
        <v>24.728411000000001</v>
      </c>
      <c r="AA13">
        <v>25.214596</v>
      </c>
      <c r="AB13">
        <v>25.345341000000001</v>
      </c>
      <c r="AC13">
        <v>25.557119</v>
      </c>
      <c r="AD13">
        <v>25.738372999999999</v>
      </c>
      <c r="AE13">
        <v>25.937035000000002</v>
      </c>
      <c r="AF13">
        <v>25.952932000000001</v>
      </c>
      <c r="AG13">
        <v>25.992377999999999</v>
      </c>
      <c r="AH13">
        <v>25.989134</v>
      </c>
      <c r="AI13">
        <v>26.046391</v>
      </c>
      <c r="AJ13">
        <v>25.955881000000002</v>
      </c>
      <c r="AK13">
        <v>26.058685000000001</v>
      </c>
      <c r="AL13">
        <v>26.168066</v>
      </c>
      <c r="AM13">
        <v>26.062452</v>
      </c>
      <c r="AN13">
        <v>26.118475</v>
      </c>
      <c r="AO13" s="4">
        <v>1.4999999999999999E-2</v>
      </c>
    </row>
    <row r="14" spans="1:41" hidden="1" x14ac:dyDescent="0.3">
      <c r="A14" t="s">
        <v>283</v>
      </c>
      <c r="B14" t="s">
        <v>284</v>
      </c>
      <c r="C14" t="s">
        <v>285</v>
      </c>
      <c r="D14" t="s">
        <v>267</v>
      </c>
      <c r="F14">
        <v>5.27494</v>
      </c>
      <c r="G14">
        <v>7.0451119999999996</v>
      </c>
      <c r="H14">
        <v>6.9616949999999997</v>
      </c>
      <c r="I14">
        <v>7.5965759999999998</v>
      </c>
      <c r="J14">
        <v>10.195573</v>
      </c>
      <c r="K14">
        <v>11.150397</v>
      </c>
      <c r="L14">
        <v>11.422777</v>
      </c>
      <c r="M14">
        <v>11.565137</v>
      </c>
      <c r="N14">
        <v>11.650383</v>
      </c>
      <c r="O14">
        <v>11.668450999999999</v>
      </c>
      <c r="P14">
        <v>11.89968</v>
      </c>
      <c r="Q14">
        <v>12.106985</v>
      </c>
      <c r="R14">
        <v>12.266544</v>
      </c>
      <c r="S14">
        <v>12.566876000000001</v>
      </c>
      <c r="T14">
        <v>12.749483</v>
      </c>
      <c r="U14">
        <v>13.025845</v>
      </c>
      <c r="V14">
        <v>13.166717999999999</v>
      </c>
      <c r="W14">
        <v>13.366868</v>
      </c>
      <c r="X14">
        <v>13.536216</v>
      </c>
      <c r="Y14">
        <v>13.731956</v>
      </c>
      <c r="Z14">
        <v>13.801190999999999</v>
      </c>
      <c r="AA14">
        <v>14.173985</v>
      </c>
      <c r="AB14">
        <v>14.314439999999999</v>
      </c>
      <c r="AC14">
        <v>14.502871000000001</v>
      </c>
      <c r="AD14">
        <v>14.66234</v>
      </c>
      <c r="AE14">
        <v>14.823024999999999</v>
      </c>
      <c r="AF14">
        <v>14.910162</v>
      </c>
      <c r="AG14">
        <v>14.972598</v>
      </c>
      <c r="AH14">
        <v>14.97489</v>
      </c>
      <c r="AI14">
        <v>15.016002</v>
      </c>
      <c r="AJ14">
        <v>15.023220999999999</v>
      </c>
      <c r="AK14">
        <v>15.060152</v>
      </c>
      <c r="AL14">
        <v>15.140577</v>
      </c>
      <c r="AM14">
        <v>15.279635000000001</v>
      </c>
      <c r="AN14">
        <v>15.445945999999999</v>
      </c>
      <c r="AO14" s="4">
        <v>2.4E-2</v>
      </c>
    </row>
    <row r="15" spans="1:41" hidden="1" x14ac:dyDescent="0.3">
      <c r="A15" t="s">
        <v>271</v>
      </c>
      <c r="B15" t="s">
        <v>286</v>
      </c>
      <c r="C15" t="s">
        <v>287</v>
      </c>
      <c r="D15" t="s">
        <v>267</v>
      </c>
      <c r="F15">
        <v>7.2358079999999996</v>
      </c>
      <c r="G15">
        <v>7.8182229999999997</v>
      </c>
      <c r="H15">
        <v>7.6761249999999999</v>
      </c>
      <c r="I15">
        <v>8.0369430000000008</v>
      </c>
      <c r="J15">
        <v>8.3777450000000009</v>
      </c>
      <c r="K15">
        <v>8.5644259999999992</v>
      </c>
      <c r="L15">
        <v>8.7534369999999999</v>
      </c>
      <c r="M15">
        <v>9.0750810000000008</v>
      </c>
      <c r="N15">
        <v>9.3416010000000007</v>
      </c>
      <c r="O15">
        <v>9.4618649999999995</v>
      </c>
      <c r="P15">
        <v>9.4705670000000008</v>
      </c>
      <c r="Q15">
        <v>9.5236909999999995</v>
      </c>
      <c r="R15">
        <v>9.5037000000000003</v>
      </c>
      <c r="S15">
        <v>9.6323679999999996</v>
      </c>
      <c r="T15">
        <v>9.6089269999999996</v>
      </c>
      <c r="U15">
        <v>9.622814</v>
      </c>
      <c r="V15">
        <v>9.6410990000000005</v>
      </c>
      <c r="W15">
        <v>9.6581340000000004</v>
      </c>
      <c r="X15">
        <v>9.6733239999999991</v>
      </c>
      <c r="Y15">
        <v>9.6846200000000007</v>
      </c>
      <c r="Z15">
        <v>9.7694050000000008</v>
      </c>
      <c r="AA15">
        <v>9.8064560000000007</v>
      </c>
      <c r="AB15">
        <v>9.8525170000000006</v>
      </c>
      <c r="AC15">
        <v>9.8801780000000008</v>
      </c>
      <c r="AD15">
        <v>9.8992699999999996</v>
      </c>
      <c r="AE15">
        <v>9.9463419999999996</v>
      </c>
      <c r="AF15">
        <v>10.029787000000001</v>
      </c>
      <c r="AG15">
        <v>10.043542</v>
      </c>
      <c r="AH15">
        <v>10.077959999999999</v>
      </c>
      <c r="AI15">
        <v>10.150383</v>
      </c>
      <c r="AJ15">
        <v>10.204712000000001</v>
      </c>
      <c r="AK15">
        <v>10.256249</v>
      </c>
      <c r="AL15">
        <v>10.307169</v>
      </c>
      <c r="AM15">
        <v>10.384546</v>
      </c>
      <c r="AN15">
        <v>10.450438</v>
      </c>
      <c r="AO15" s="4">
        <v>8.9999999999999993E-3</v>
      </c>
    </row>
    <row r="16" spans="1:41" hidden="1" x14ac:dyDescent="0.3">
      <c r="A16" t="s">
        <v>274</v>
      </c>
      <c r="B16" t="s">
        <v>288</v>
      </c>
      <c r="C16" t="s">
        <v>289</v>
      </c>
      <c r="D16" t="s">
        <v>267</v>
      </c>
      <c r="F16">
        <v>31.234514000000001</v>
      </c>
      <c r="G16">
        <v>31.321059999999999</v>
      </c>
      <c r="H16">
        <v>31.504498000000002</v>
      </c>
      <c r="I16">
        <v>31.655645</v>
      </c>
      <c r="J16">
        <v>32.416511999999997</v>
      </c>
      <c r="K16">
        <v>32.302948000000001</v>
      </c>
      <c r="L16">
        <v>32.436024000000003</v>
      </c>
      <c r="M16">
        <v>32.502082999999999</v>
      </c>
      <c r="N16">
        <v>32.568153000000002</v>
      </c>
      <c r="O16">
        <v>32.952235999999999</v>
      </c>
      <c r="P16">
        <v>33.030589999999997</v>
      </c>
      <c r="Q16">
        <v>33.106903000000003</v>
      </c>
      <c r="R16">
        <v>33.130211000000003</v>
      </c>
      <c r="S16">
        <v>33.142021</v>
      </c>
      <c r="T16">
        <v>33.201374000000001</v>
      </c>
      <c r="U16">
        <v>33.257652</v>
      </c>
      <c r="V16">
        <v>33.206733999999997</v>
      </c>
      <c r="W16">
        <v>33.145454000000001</v>
      </c>
      <c r="X16">
        <v>33.067677000000003</v>
      </c>
      <c r="Y16">
        <v>32.981445000000001</v>
      </c>
      <c r="Z16">
        <v>32.942627000000002</v>
      </c>
      <c r="AA16">
        <v>32.872951999999998</v>
      </c>
      <c r="AB16">
        <v>32.862639999999999</v>
      </c>
      <c r="AC16">
        <v>32.832366999999998</v>
      </c>
      <c r="AD16">
        <v>32.787703999999998</v>
      </c>
      <c r="AE16">
        <v>32.722239999999999</v>
      </c>
      <c r="AF16">
        <v>32.620541000000003</v>
      </c>
      <c r="AG16">
        <v>32.532558000000002</v>
      </c>
      <c r="AH16">
        <v>32.427504999999996</v>
      </c>
      <c r="AI16">
        <v>32.312057000000003</v>
      </c>
      <c r="AJ16">
        <v>32.146518999999998</v>
      </c>
      <c r="AK16">
        <v>32.076186999999997</v>
      </c>
      <c r="AL16">
        <v>32.091327999999997</v>
      </c>
      <c r="AM16">
        <v>32.007964999999999</v>
      </c>
      <c r="AN16">
        <v>31.779423000000001</v>
      </c>
      <c r="AO16" s="4">
        <v>0</v>
      </c>
    </row>
    <row r="17" spans="1:41" hidden="1" x14ac:dyDescent="0.3">
      <c r="A17" t="s">
        <v>290</v>
      </c>
      <c r="C17" t="s">
        <v>291</v>
      </c>
    </row>
    <row r="18" spans="1:41" hidden="1" x14ac:dyDescent="0.3">
      <c r="A18" t="s">
        <v>264</v>
      </c>
      <c r="B18" t="s">
        <v>292</v>
      </c>
      <c r="C18" t="s">
        <v>293</v>
      </c>
      <c r="D18" t="s">
        <v>267</v>
      </c>
      <c r="F18">
        <v>11.673769999999999</v>
      </c>
      <c r="G18">
        <v>12.419774</v>
      </c>
      <c r="H18">
        <v>11.471807999999999</v>
      </c>
      <c r="I18">
        <v>11.594818</v>
      </c>
      <c r="J18">
        <v>12.435618</v>
      </c>
      <c r="K18">
        <v>12.750909</v>
      </c>
      <c r="L18">
        <v>13.035876</v>
      </c>
      <c r="M18">
        <v>13.272093999999999</v>
      </c>
      <c r="N18">
        <v>13.410634</v>
      </c>
      <c r="O18">
        <v>13.477383</v>
      </c>
      <c r="P18">
        <v>13.536187</v>
      </c>
      <c r="Q18">
        <v>13.578403</v>
      </c>
      <c r="R18">
        <v>13.668303999999999</v>
      </c>
      <c r="S18">
        <v>13.910195999999999</v>
      </c>
      <c r="T18">
        <v>14.007916</v>
      </c>
      <c r="U18">
        <v>14.209624</v>
      </c>
      <c r="V18">
        <v>14.471893</v>
      </c>
      <c r="W18">
        <v>14.704165</v>
      </c>
      <c r="X18">
        <v>14.882740999999999</v>
      </c>
      <c r="Y18">
        <v>15.107113999999999</v>
      </c>
      <c r="Z18">
        <v>15.343349999999999</v>
      </c>
      <c r="AA18">
        <v>15.438872</v>
      </c>
      <c r="AB18">
        <v>15.79116</v>
      </c>
      <c r="AC18">
        <v>15.941803</v>
      </c>
      <c r="AD18">
        <v>16.062193000000001</v>
      </c>
      <c r="AE18">
        <v>16.245128999999999</v>
      </c>
      <c r="AF18">
        <v>16.390620999999999</v>
      </c>
      <c r="AG18">
        <v>16.580095</v>
      </c>
      <c r="AH18">
        <v>16.721972999999998</v>
      </c>
      <c r="AI18">
        <v>16.928087000000001</v>
      </c>
      <c r="AJ18">
        <v>17.060618999999999</v>
      </c>
      <c r="AK18">
        <v>17.225611000000001</v>
      </c>
      <c r="AL18">
        <v>17.442698</v>
      </c>
      <c r="AM18">
        <v>17.644456999999999</v>
      </c>
      <c r="AN18">
        <v>17.773993999999998</v>
      </c>
      <c r="AO18" s="4">
        <v>1.0999999999999999E-2</v>
      </c>
    </row>
    <row r="19" spans="1:41" hidden="1" x14ac:dyDescent="0.3">
      <c r="A19" t="s">
        <v>268</v>
      </c>
      <c r="B19" t="s">
        <v>294</v>
      </c>
      <c r="C19" t="s">
        <v>295</v>
      </c>
      <c r="D19" t="s">
        <v>267</v>
      </c>
      <c r="F19">
        <v>13.740497</v>
      </c>
      <c r="G19">
        <v>16.010017000000001</v>
      </c>
      <c r="H19">
        <v>16.615976</v>
      </c>
      <c r="I19">
        <v>16.866833</v>
      </c>
      <c r="J19">
        <v>19.598026000000001</v>
      </c>
      <c r="K19">
        <v>20.703735000000002</v>
      </c>
      <c r="L19">
        <v>21.017206000000002</v>
      </c>
      <c r="M19">
        <v>21.276266</v>
      </c>
      <c r="N19">
        <v>21.606359000000001</v>
      </c>
      <c r="O19">
        <v>21.856503</v>
      </c>
      <c r="P19">
        <v>21.949456999999999</v>
      </c>
      <c r="Q19">
        <v>22.228348</v>
      </c>
      <c r="R19">
        <v>22.533837999999999</v>
      </c>
      <c r="S19">
        <v>22.886965</v>
      </c>
      <c r="T19">
        <v>23.113752000000002</v>
      </c>
      <c r="U19">
        <v>23.464357</v>
      </c>
      <c r="V19">
        <v>23.628574</v>
      </c>
      <c r="W19">
        <v>23.900037999999999</v>
      </c>
      <c r="X19">
        <v>24.196601999999999</v>
      </c>
      <c r="Y19">
        <v>24.359648</v>
      </c>
      <c r="Z19">
        <v>24.489644999999999</v>
      </c>
      <c r="AA19">
        <v>24.975897</v>
      </c>
      <c r="AB19">
        <v>25.113636</v>
      </c>
      <c r="AC19">
        <v>25.324134999999998</v>
      </c>
      <c r="AD19">
        <v>25.507891000000001</v>
      </c>
      <c r="AE19">
        <v>25.708742000000001</v>
      </c>
      <c r="AF19">
        <v>25.729225</v>
      </c>
      <c r="AG19">
        <v>25.764524000000002</v>
      </c>
      <c r="AH19">
        <v>25.759836</v>
      </c>
      <c r="AI19">
        <v>25.826184999999999</v>
      </c>
      <c r="AJ19">
        <v>25.742612999999999</v>
      </c>
      <c r="AK19">
        <v>25.844432999999999</v>
      </c>
      <c r="AL19">
        <v>25.941524999999999</v>
      </c>
      <c r="AM19">
        <v>25.822447</v>
      </c>
      <c r="AN19">
        <v>25.881595999999998</v>
      </c>
      <c r="AO19" s="4">
        <v>1.4999999999999999E-2</v>
      </c>
    </row>
    <row r="20" spans="1:41" hidden="1" x14ac:dyDescent="0.3">
      <c r="A20" t="s">
        <v>283</v>
      </c>
      <c r="B20" t="s">
        <v>296</v>
      </c>
      <c r="C20" t="s">
        <v>297</v>
      </c>
      <c r="D20" t="s">
        <v>267</v>
      </c>
      <c r="F20">
        <v>4.9955489999999996</v>
      </c>
      <c r="G20">
        <v>6.6671880000000003</v>
      </c>
      <c r="H20">
        <v>6.5998900000000003</v>
      </c>
      <c r="I20">
        <v>7.4933519999999998</v>
      </c>
      <c r="J20">
        <v>10.523804999999999</v>
      </c>
      <c r="K20">
        <v>11.927579</v>
      </c>
      <c r="L20">
        <v>12.658408</v>
      </c>
      <c r="M20">
        <v>13.253743999999999</v>
      </c>
      <c r="N20">
        <v>13.345649999999999</v>
      </c>
      <c r="O20">
        <v>13.362716000000001</v>
      </c>
      <c r="P20">
        <v>13.594503</v>
      </c>
      <c r="Q20">
        <v>13.799670000000001</v>
      </c>
      <c r="R20">
        <v>13.957148999999999</v>
      </c>
      <c r="S20">
        <v>14.255292000000001</v>
      </c>
      <c r="T20">
        <v>14.431661999999999</v>
      </c>
      <c r="U20">
        <v>14.703008000000001</v>
      </c>
      <c r="V20">
        <v>14.838407</v>
      </c>
      <c r="W20">
        <v>15.034172</v>
      </c>
      <c r="X20">
        <v>15.199439999999999</v>
      </c>
      <c r="Y20">
        <v>15.370957000000001</v>
      </c>
      <c r="Z20">
        <v>15.422413000000001</v>
      </c>
      <c r="AA20">
        <v>15.793283000000001</v>
      </c>
      <c r="AB20">
        <v>15.929212</v>
      </c>
      <c r="AC20">
        <v>16.115061000000001</v>
      </c>
      <c r="AD20">
        <v>16.271705999999998</v>
      </c>
      <c r="AE20">
        <v>16.428661000000002</v>
      </c>
      <c r="AF20">
        <v>16.510694999999998</v>
      </c>
      <c r="AG20">
        <v>16.580891000000001</v>
      </c>
      <c r="AH20">
        <v>16.597832</v>
      </c>
      <c r="AI20">
        <v>16.632612000000002</v>
      </c>
      <c r="AJ20">
        <v>16.557148000000002</v>
      </c>
      <c r="AK20">
        <v>16.592707000000001</v>
      </c>
      <c r="AL20">
        <v>16.724599999999999</v>
      </c>
      <c r="AM20">
        <v>16.774025000000002</v>
      </c>
      <c r="AN20">
        <v>16.960595999999999</v>
      </c>
      <c r="AO20" s="4">
        <v>2.9000000000000001E-2</v>
      </c>
    </row>
    <row r="21" spans="1:41" hidden="1" x14ac:dyDescent="0.3">
      <c r="A21" t="s">
        <v>271</v>
      </c>
      <c r="B21" t="s">
        <v>298</v>
      </c>
      <c r="C21" t="s">
        <v>299</v>
      </c>
      <c r="D21" t="s">
        <v>267</v>
      </c>
      <c r="F21">
        <v>3.4700150000000001</v>
      </c>
      <c r="G21">
        <v>3.951238</v>
      </c>
      <c r="H21">
        <v>4.0154389999999998</v>
      </c>
      <c r="I21">
        <v>4.3404660000000002</v>
      </c>
      <c r="J21">
        <v>4.5860750000000001</v>
      </c>
      <c r="K21">
        <v>4.5499229999999997</v>
      </c>
      <c r="L21">
        <v>4.5810589999999998</v>
      </c>
      <c r="M21">
        <v>4.7081020000000002</v>
      </c>
      <c r="N21">
        <v>4.7970629999999996</v>
      </c>
      <c r="O21">
        <v>4.9204860000000004</v>
      </c>
      <c r="P21">
        <v>4.9556849999999999</v>
      </c>
      <c r="Q21">
        <v>5.0003440000000001</v>
      </c>
      <c r="R21">
        <v>5.0038650000000002</v>
      </c>
      <c r="S21">
        <v>5.0658799999999999</v>
      </c>
      <c r="T21">
        <v>5.0632520000000003</v>
      </c>
      <c r="U21">
        <v>5.0645230000000003</v>
      </c>
      <c r="V21">
        <v>5.0753820000000003</v>
      </c>
      <c r="W21">
        <v>5.0724660000000004</v>
      </c>
      <c r="X21">
        <v>5.0793879999999998</v>
      </c>
      <c r="Y21">
        <v>5.0748239999999996</v>
      </c>
      <c r="Z21">
        <v>5.1678199999999999</v>
      </c>
      <c r="AA21">
        <v>5.1831500000000004</v>
      </c>
      <c r="AB21">
        <v>5.2441469999999999</v>
      </c>
      <c r="AC21">
        <v>5.2871410000000001</v>
      </c>
      <c r="AD21">
        <v>5.3121239999999998</v>
      </c>
      <c r="AE21">
        <v>5.3468349999999996</v>
      </c>
      <c r="AF21">
        <v>5.4084570000000003</v>
      </c>
      <c r="AG21">
        <v>5.4462669999999997</v>
      </c>
      <c r="AH21">
        <v>5.4954020000000003</v>
      </c>
      <c r="AI21">
        <v>5.5454759999999998</v>
      </c>
      <c r="AJ21">
        <v>5.5950259999999998</v>
      </c>
      <c r="AK21">
        <v>5.6452239999999998</v>
      </c>
      <c r="AL21">
        <v>5.7269540000000001</v>
      </c>
      <c r="AM21">
        <v>5.7939220000000002</v>
      </c>
      <c r="AN21">
        <v>5.8770429999999996</v>
      </c>
      <c r="AO21" s="4">
        <v>1.2E-2</v>
      </c>
    </row>
    <row r="22" spans="1:41" hidden="1" x14ac:dyDescent="0.3">
      <c r="A22" t="s">
        <v>300</v>
      </c>
      <c r="B22" t="s">
        <v>301</v>
      </c>
      <c r="C22" t="s">
        <v>302</v>
      </c>
      <c r="D22" t="s">
        <v>267</v>
      </c>
      <c r="F22">
        <v>4.3029599999999997</v>
      </c>
      <c r="G22">
        <v>4.2371480000000004</v>
      </c>
      <c r="H22">
        <v>4.1703099999999997</v>
      </c>
      <c r="I22">
        <v>4.2331500000000002</v>
      </c>
      <c r="J22">
        <v>4.3093240000000002</v>
      </c>
      <c r="K22">
        <v>4.345199</v>
      </c>
      <c r="L22">
        <v>4.3996389999999996</v>
      </c>
      <c r="M22">
        <v>4.4635179999999997</v>
      </c>
      <c r="N22">
        <v>4.5178240000000001</v>
      </c>
      <c r="O22">
        <v>4.5679080000000001</v>
      </c>
      <c r="P22">
        <v>4.5992160000000002</v>
      </c>
      <c r="Q22">
        <v>4.6139849999999996</v>
      </c>
      <c r="R22">
        <v>4.621391</v>
      </c>
      <c r="S22">
        <v>4.6339079999999999</v>
      </c>
      <c r="T22">
        <v>4.6516469999999996</v>
      </c>
      <c r="U22">
        <v>4.6703939999999999</v>
      </c>
      <c r="V22">
        <v>4.6886950000000001</v>
      </c>
      <c r="W22">
        <v>4.7097800000000003</v>
      </c>
      <c r="X22">
        <v>4.7219410000000002</v>
      </c>
      <c r="Y22">
        <v>4.7466970000000002</v>
      </c>
      <c r="Z22">
        <v>4.7643000000000004</v>
      </c>
      <c r="AA22">
        <v>4.7825139999999999</v>
      </c>
      <c r="AB22">
        <v>4.8000220000000002</v>
      </c>
      <c r="AC22">
        <v>4.8112440000000003</v>
      </c>
      <c r="AD22">
        <v>4.8299370000000001</v>
      </c>
      <c r="AE22">
        <v>4.8518330000000001</v>
      </c>
      <c r="AF22">
        <v>4.8641160000000001</v>
      </c>
      <c r="AG22">
        <v>4.8852070000000003</v>
      </c>
      <c r="AH22">
        <v>4.9098569999999997</v>
      </c>
      <c r="AI22">
        <v>4.9418259999999998</v>
      </c>
      <c r="AJ22">
        <v>4.9744010000000003</v>
      </c>
      <c r="AK22">
        <v>5.0108030000000001</v>
      </c>
      <c r="AL22">
        <v>5.0526799999999996</v>
      </c>
      <c r="AM22">
        <v>5.0899960000000002</v>
      </c>
      <c r="AN22">
        <v>5.1314289999999998</v>
      </c>
      <c r="AO22" s="4">
        <v>6.0000000000000001E-3</v>
      </c>
    </row>
    <row r="23" spans="1:41" hidden="1" x14ac:dyDescent="0.3">
      <c r="A23" t="s">
        <v>303</v>
      </c>
      <c r="B23" t="s">
        <v>304</v>
      </c>
      <c r="C23" t="s">
        <v>305</v>
      </c>
      <c r="D23" t="s">
        <v>267</v>
      </c>
      <c r="F23">
        <v>3.3011300000000001</v>
      </c>
      <c r="G23">
        <v>3.261285</v>
      </c>
      <c r="H23">
        <v>3.271379</v>
      </c>
      <c r="I23">
        <v>3.3266810000000002</v>
      </c>
      <c r="J23">
        <v>3.3628770000000001</v>
      </c>
      <c r="K23">
        <v>3.381891</v>
      </c>
      <c r="L23">
        <v>3.388058</v>
      </c>
      <c r="M23">
        <v>3.3876919999999999</v>
      </c>
      <c r="N23">
        <v>3.3911380000000002</v>
      </c>
      <c r="O23">
        <v>3.4039079999999999</v>
      </c>
      <c r="P23">
        <v>3.4116659999999999</v>
      </c>
      <c r="Q23">
        <v>3.4044099999999999</v>
      </c>
      <c r="R23">
        <v>3.396185</v>
      </c>
      <c r="S23">
        <v>3.385364</v>
      </c>
      <c r="T23">
        <v>3.38788</v>
      </c>
      <c r="U23">
        <v>3.38523</v>
      </c>
      <c r="V23">
        <v>3.3780250000000001</v>
      </c>
      <c r="W23">
        <v>3.3749989999999999</v>
      </c>
      <c r="X23">
        <v>3.3689390000000001</v>
      </c>
      <c r="Y23">
        <v>3.3701530000000002</v>
      </c>
      <c r="Z23">
        <v>3.3681580000000002</v>
      </c>
      <c r="AA23">
        <v>3.3820489999999999</v>
      </c>
      <c r="AB23">
        <v>3.3874420000000001</v>
      </c>
      <c r="AC23">
        <v>3.399375</v>
      </c>
      <c r="AD23">
        <v>3.4055559999999998</v>
      </c>
      <c r="AE23">
        <v>3.4183319999999999</v>
      </c>
      <c r="AF23">
        <v>3.435981</v>
      </c>
      <c r="AG23">
        <v>3.449017</v>
      </c>
      <c r="AH23">
        <v>3.4563950000000001</v>
      </c>
      <c r="AI23">
        <v>3.4687570000000001</v>
      </c>
      <c r="AJ23">
        <v>3.4779170000000001</v>
      </c>
      <c r="AK23">
        <v>3.4895619999999998</v>
      </c>
      <c r="AL23">
        <v>3.5014059999999998</v>
      </c>
      <c r="AM23">
        <v>3.512883</v>
      </c>
      <c r="AN23">
        <v>3.527069</v>
      </c>
      <c r="AO23" s="4">
        <v>2E-3</v>
      </c>
    </row>
    <row r="24" spans="1:41" hidden="1" x14ac:dyDescent="0.3">
      <c r="A24" t="s">
        <v>306</v>
      </c>
      <c r="B24" t="s">
        <v>307</v>
      </c>
      <c r="C24" t="s">
        <v>308</v>
      </c>
      <c r="D24" t="s">
        <v>267</v>
      </c>
      <c r="F24">
        <v>0</v>
      </c>
      <c r="G24">
        <v>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t="s">
        <v>309</v>
      </c>
    </row>
    <row r="25" spans="1:41" hidden="1" x14ac:dyDescent="0.3">
      <c r="A25" t="s">
        <v>274</v>
      </c>
      <c r="B25" t="s">
        <v>310</v>
      </c>
      <c r="C25" t="s">
        <v>311</v>
      </c>
      <c r="D25" t="s">
        <v>267</v>
      </c>
      <c r="F25">
        <v>20.205656000000001</v>
      </c>
      <c r="G25">
        <v>21.383452999999999</v>
      </c>
      <c r="H25">
        <v>21.461102</v>
      </c>
      <c r="I25">
        <v>21.160613999999999</v>
      </c>
      <c r="J25">
        <v>21.519328999999999</v>
      </c>
      <c r="K25">
        <v>21.45665</v>
      </c>
      <c r="L25">
        <v>21.512913000000001</v>
      </c>
      <c r="M25">
        <v>21.475373999999999</v>
      </c>
      <c r="N25">
        <v>21.511150000000001</v>
      </c>
      <c r="O25">
        <v>21.775507000000001</v>
      </c>
      <c r="P25">
        <v>21.817186</v>
      </c>
      <c r="Q25">
        <v>21.828346</v>
      </c>
      <c r="R25">
        <v>21.837864</v>
      </c>
      <c r="S25">
        <v>21.851338999999999</v>
      </c>
      <c r="T25">
        <v>21.876609999999999</v>
      </c>
      <c r="U25">
        <v>21.934045999999999</v>
      </c>
      <c r="V25">
        <v>21.907633000000001</v>
      </c>
      <c r="W25">
        <v>21.855467000000001</v>
      </c>
      <c r="X25">
        <v>21.814164999999999</v>
      </c>
      <c r="Y25">
        <v>21.768561999999999</v>
      </c>
      <c r="Z25">
        <v>21.760487000000001</v>
      </c>
      <c r="AA25">
        <v>21.730557999999998</v>
      </c>
      <c r="AB25">
        <v>21.727701</v>
      </c>
      <c r="AC25">
        <v>21.720903</v>
      </c>
      <c r="AD25">
        <v>21.682669000000001</v>
      </c>
      <c r="AE25">
        <v>21.644390000000001</v>
      </c>
      <c r="AF25">
        <v>21.602976000000002</v>
      </c>
      <c r="AG25">
        <v>21.550160999999999</v>
      </c>
      <c r="AH25">
        <v>21.521294000000001</v>
      </c>
      <c r="AI25">
        <v>21.487128999999999</v>
      </c>
      <c r="AJ25">
        <v>21.422474000000001</v>
      </c>
      <c r="AK25">
        <v>21.380215</v>
      </c>
      <c r="AL25">
        <v>21.418133000000001</v>
      </c>
      <c r="AM25">
        <v>21.420389</v>
      </c>
      <c r="AN25">
        <v>21.339504000000002</v>
      </c>
      <c r="AO25" s="4">
        <v>0</v>
      </c>
    </row>
    <row r="26" spans="1:41" hidden="1" x14ac:dyDescent="0.3">
      <c r="A26" t="s">
        <v>312</v>
      </c>
      <c r="C26" t="s">
        <v>313</v>
      </c>
    </row>
    <row r="27" spans="1:41" hidden="1" x14ac:dyDescent="0.3">
      <c r="A27" t="s">
        <v>264</v>
      </c>
      <c r="B27" t="s">
        <v>314</v>
      </c>
      <c r="C27" t="s">
        <v>315</v>
      </c>
      <c r="D27" t="s">
        <v>267</v>
      </c>
      <c r="F27">
        <v>17.741709</v>
      </c>
      <c r="G27">
        <v>18.474964</v>
      </c>
      <c r="H27">
        <v>17.557337</v>
      </c>
      <c r="I27">
        <v>17.682418999999999</v>
      </c>
      <c r="J27">
        <v>18.504667000000001</v>
      </c>
      <c r="K27">
        <v>18.809657999999999</v>
      </c>
      <c r="L27">
        <v>19.086227000000001</v>
      </c>
      <c r="M27">
        <v>19.315259999999999</v>
      </c>
      <c r="N27">
        <v>19.987549000000001</v>
      </c>
      <c r="O27">
        <v>20.043863000000002</v>
      </c>
      <c r="P27">
        <v>20.097445</v>
      </c>
      <c r="Q27">
        <v>20.13073</v>
      </c>
      <c r="R27">
        <v>20.211186999999999</v>
      </c>
      <c r="S27">
        <v>20.513065000000001</v>
      </c>
      <c r="T27">
        <v>20.601476999999999</v>
      </c>
      <c r="U27">
        <v>20.790814999999998</v>
      </c>
      <c r="V27">
        <v>21.040306000000001</v>
      </c>
      <c r="W27">
        <v>21.260241000000001</v>
      </c>
      <c r="X27">
        <v>21.426680000000001</v>
      </c>
      <c r="Y27">
        <v>21.639420999999999</v>
      </c>
      <c r="Z27">
        <v>21.867853</v>
      </c>
      <c r="AA27">
        <v>21.955009</v>
      </c>
      <c r="AB27">
        <v>22.296513000000001</v>
      </c>
      <c r="AC27">
        <v>22.439758000000001</v>
      </c>
      <c r="AD27">
        <v>22.552526</v>
      </c>
      <c r="AE27">
        <v>22.726444000000001</v>
      </c>
      <c r="AF27">
        <v>22.863754</v>
      </c>
      <c r="AG27">
        <v>23.044516000000002</v>
      </c>
      <c r="AH27">
        <v>23.178280000000001</v>
      </c>
      <c r="AI27">
        <v>23.374865</v>
      </c>
      <c r="AJ27">
        <v>23.500069</v>
      </c>
      <c r="AK27">
        <v>23.655111000000002</v>
      </c>
      <c r="AL27">
        <v>23.861357000000002</v>
      </c>
      <c r="AM27">
        <v>24.053108000000002</v>
      </c>
      <c r="AN27">
        <v>24.174043999999999</v>
      </c>
      <c r="AO27" s="4">
        <v>8.0000000000000002E-3</v>
      </c>
    </row>
    <row r="28" spans="1:41" hidden="1" x14ac:dyDescent="0.3">
      <c r="A28" t="s">
        <v>316</v>
      </c>
      <c r="B28" t="s">
        <v>317</v>
      </c>
      <c r="C28" t="s">
        <v>318</v>
      </c>
      <c r="D28" t="s">
        <v>267</v>
      </c>
      <c r="F28">
        <v>20.812339999999999</v>
      </c>
      <c r="G28">
        <v>22.286798000000001</v>
      </c>
      <c r="H28">
        <v>29.106795999999999</v>
      </c>
      <c r="I28">
        <v>28.729818000000002</v>
      </c>
      <c r="J28">
        <v>31.626055000000001</v>
      </c>
      <c r="K28">
        <v>32.880775</v>
      </c>
      <c r="L28">
        <v>31.61702</v>
      </c>
      <c r="M28">
        <v>29.415323000000001</v>
      </c>
      <c r="N28">
        <v>28.282371999999999</v>
      </c>
      <c r="O28">
        <v>25.998284999999999</v>
      </c>
      <c r="P28">
        <v>25.419561000000002</v>
      </c>
      <c r="Q28">
        <v>24.589397000000002</v>
      </c>
      <c r="R28">
        <v>24.370229999999999</v>
      </c>
      <c r="S28">
        <v>24.412544</v>
      </c>
      <c r="T28">
        <v>24.186147999999999</v>
      </c>
      <c r="U28">
        <v>24.980875000000001</v>
      </c>
      <c r="V28">
        <v>25.086212</v>
      </c>
      <c r="W28">
        <v>24.765488000000001</v>
      </c>
      <c r="X28">
        <v>24.586597000000001</v>
      </c>
      <c r="Y28">
        <v>24.325731000000001</v>
      </c>
      <c r="Z28">
        <v>24.283667000000001</v>
      </c>
      <c r="AA28">
        <v>24.69022</v>
      </c>
      <c r="AB28">
        <v>24.849271999999999</v>
      </c>
      <c r="AC28">
        <v>25.23122</v>
      </c>
      <c r="AD28">
        <v>25.786197999999999</v>
      </c>
      <c r="AE28">
        <v>26.366095000000001</v>
      </c>
      <c r="AF28">
        <v>26.962257000000001</v>
      </c>
      <c r="AG28">
        <v>27.518217</v>
      </c>
      <c r="AH28">
        <v>28.386984000000002</v>
      </c>
      <c r="AI28">
        <v>28.445518</v>
      </c>
      <c r="AJ28">
        <v>28.38983</v>
      </c>
      <c r="AK28">
        <v>28.983898</v>
      </c>
      <c r="AL28">
        <v>30.667786</v>
      </c>
      <c r="AM28">
        <v>32.631180000000001</v>
      </c>
      <c r="AN28">
        <v>33.226185000000001</v>
      </c>
      <c r="AO28" s="4">
        <v>1.2E-2</v>
      </c>
    </row>
    <row r="29" spans="1:41" hidden="1" x14ac:dyDescent="0.3">
      <c r="A29" t="s">
        <v>319</v>
      </c>
      <c r="B29" t="s">
        <v>320</v>
      </c>
      <c r="C29" t="s">
        <v>321</v>
      </c>
      <c r="D29" t="s">
        <v>267</v>
      </c>
      <c r="F29">
        <v>19.123667000000001</v>
      </c>
      <c r="G29">
        <v>20.800454999999999</v>
      </c>
      <c r="H29">
        <v>20.500385000000001</v>
      </c>
      <c r="I29">
        <v>21.031607000000001</v>
      </c>
      <c r="J29">
        <v>23.945209999999999</v>
      </c>
      <c r="K29">
        <v>25.378312999999999</v>
      </c>
      <c r="L29">
        <v>26.005490999999999</v>
      </c>
      <c r="M29">
        <v>26.479127999999999</v>
      </c>
      <c r="N29">
        <v>27.044615</v>
      </c>
      <c r="O29">
        <v>26.994962999999998</v>
      </c>
      <c r="P29">
        <v>26.988626</v>
      </c>
      <c r="Q29">
        <v>27.157778</v>
      </c>
      <c r="R29">
        <v>27.390021999999998</v>
      </c>
      <c r="S29">
        <v>27.679490999999999</v>
      </c>
      <c r="T29">
        <v>27.788506000000002</v>
      </c>
      <c r="U29">
        <v>28.144774999999999</v>
      </c>
      <c r="V29">
        <v>28.260995999999999</v>
      </c>
      <c r="W29">
        <v>28.40597</v>
      </c>
      <c r="X29">
        <v>28.654131</v>
      </c>
      <c r="Y29">
        <v>28.767406000000001</v>
      </c>
      <c r="Z29">
        <v>28.831039000000001</v>
      </c>
      <c r="AA29">
        <v>29.265965999999999</v>
      </c>
      <c r="AB29">
        <v>29.382963</v>
      </c>
      <c r="AC29">
        <v>29.556391000000001</v>
      </c>
      <c r="AD29">
        <v>29.763853000000001</v>
      </c>
      <c r="AE29">
        <v>29.926577000000002</v>
      </c>
      <c r="AF29">
        <v>30.058878</v>
      </c>
      <c r="AG29">
        <v>30.136123999999999</v>
      </c>
      <c r="AH29">
        <v>30.21508</v>
      </c>
      <c r="AI29">
        <v>30.298546000000002</v>
      </c>
      <c r="AJ29">
        <v>30.206955000000001</v>
      </c>
      <c r="AK29">
        <v>30.373667000000001</v>
      </c>
      <c r="AL29">
        <v>30.557037000000001</v>
      </c>
      <c r="AM29">
        <v>30.625235</v>
      </c>
      <c r="AN29">
        <v>30.717659000000001</v>
      </c>
      <c r="AO29" s="4">
        <v>1.2E-2</v>
      </c>
    </row>
    <row r="30" spans="1:41" hidden="1" x14ac:dyDescent="0.3">
      <c r="A30" t="s">
        <v>322</v>
      </c>
      <c r="B30" t="s">
        <v>323</v>
      </c>
      <c r="C30" t="s">
        <v>324</v>
      </c>
      <c r="D30" t="s">
        <v>267</v>
      </c>
      <c r="F30">
        <v>9.9809680000000007</v>
      </c>
      <c r="G30">
        <v>11.947901999999999</v>
      </c>
      <c r="H30">
        <v>12.257629</v>
      </c>
      <c r="I30">
        <v>13.075085</v>
      </c>
      <c r="J30">
        <v>16.345033999999998</v>
      </c>
      <c r="K30">
        <v>17.718266</v>
      </c>
      <c r="L30">
        <v>18.208731</v>
      </c>
      <c r="M30">
        <v>18.553381000000002</v>
      </c>
      <c r="N30">
        <v>18.869748999999999</v>
      </c>
      <c r="O30">
        <v>18.993863999999999</v>
      </c>
      <c r="P30">
        <v>19.069727</v>
      </c>
      <c r="Q30">
        <v>19.335315999999999</v>
      </c>
      <c r="R30">
        <v>19.616956999999999</v>
      </c>
      <c r="S30">
        <v>20.065563000000001</v>
      </c>
      <c r="T30">
        <v>20.303635</v>
      </c>
      <c r="U30">
        <v>20.725435000000001</v>
      </c>
      <c r="V30">
        <v>20.959536</v>
      </c>
      <c r="W30">
        <v>21.281597000000001</v>
      </c>
      <c r="X30">
        <v>21.563713</v>
      </c>
      <c r="Y30">
        <v>21.721733</v>
      </c>
      <c r="Z30">
        <v>21.889219000000001</v>
      </c>
      <c r="AA30">
        <v>22.442713000000001</v>
      </c>
      <c r="AB30">
        <v>22.640969999999999</v>
      </c>
      <c r="AC30">
        <v>22.874586000000001</v>
      </c>
      <c r="AD30">
        <v>23.101603000000001</v>
      </c>
      <c r="AE30">
        <v>23.359494999999999</v>
      </c>
      <c r="AF30">
        <v>23.443142000000002</v>
      </c>
      <c r="AG30">
        <v>23.575707999999999</v>
      </c>
      <c r="AH30">
        <v>23.682116000000001</v>
      </c>
      <c r="AI30">
        <v>23.775514999999999</v>
      </c>
      <c r="AJ30">
        <v>23.750533999999998</v>
      </c>
      <c r="AK30">
        <v>23.929701000000001</v>
      </c>
      <c r="AL30">
        <v>24.189125000000001</v>
      </c>
      <c r="AM30">
        <v>24.301290999999999</v>
      </c>
      <c r="AN30">
        <v>24.409012000000001</v>
      </c>
      <c r="AO30" s="4">
        <v>2.1999999999999999E-2</v>
      </c>
    </row>
    <row r="31" spans="1:41" hidden="1" x14ac:dyDescent="0.3">
      <c r="A31" t="s">
        <v>325</v>
      </c>
      <c r="B31" t="s">
        <v>326</v>
      </c>
      <c r="C31" t="s">
        <v>327</v>
      </c>
      <c r="D31" t="s">
        <v>267</v>
      </c>
      <c r="F31">
        <v>17.224471999999999</v>
      </c>
      <c r="G31">
        <v>19.293282999999999</v>
      </c>
      <c r="H31">
        <v>19.954284999999999</v>
      </c>
      <c r="I31">
        <v>20.203883999999999</v>
      </c>
      <c r="J31">
        <v>22.946463000000001</v>
      </c>
      <c r="K31">
        <v>24.097757000000001</v>
      </c>
      <c r="L31">
        <v>24.489538</v>
      </c>
      <c r="M31">
        <v>24.876743000000001</v>
      </c>
      <c r="N31">
        <v>25.532166</v>
      </c>
      <c r="O31">
        <v>25.816631000000001</v>
      </c>
      <c r="P31">
        <v>25.917589</v>
      </c>
      <c r="Q31">
        <v>26.213293</v>
      </c>
      <c r="R31">
        <v>26.532764</v>
      </c>
      <c r="S31">
        <v>26.907630999999999</v>
      </c>
      <c r="T31">
        <v>27.132593</v>
      </c>
      <c r="U31">
        <v>27.502216000000001</v>
      </c>
      <c r="V31">
        <v>27.617849</v>
      </c>
      <c r="W31">
        <v>27.904633</v>
      </c>
      <c r="X31">
        <v>28.225895000000001</v>
      </c>
      <c r="Y31">
        <v>28.378952000000002</v>
      </c>
      <c r="Z31">
        <v>28.501277999999999</v>
      </c>
      <c r="AA31">
        <v>28.977564000000001</v>
      </c>
      <c r="AB31">
        <v>29.126404000000001</v>
      </c>
      <c r="AC31">
        <v>29.319523</v>
      </c>
      <c r="AD31">
        <v>29.494623000000001</v>
      </c>
      <c r="AE31">
        <v>29.681822</v>
      </c>
      <c r="AF31">
        <v>29.685020000000002</v>
      </c>
      <c r="AG31">
        <v>29.717758</v>
      </c>
      <c r="AH31">
        <v>29.707809000000001</v>
      </c>
      <c r="AI31">
        <v>29.769234000000001</v>
      </c>
      <c r="AJ31">
        <v>29.681357999999999</v>
      </c>
      <c r="AK31">
        <v>29.775359999999999</v>
      </c>
      <c r="AL31">
        <v>29.845593999999998</v>
      </c>
      <c r="AM31">
        <v>29.680166</v>
      </c>
      <c r="AN31">
        <v>29.72851</v>
      </c>
      <c r="AO31" s="4">
        <v>1.2999999999999999E-2</v>
      </c>
    </row>
    <row r="32" spans="1:41" hidden="1" x14ac:dyDescent="0.3">
      <c r="A32" t="s">
        <v>283</v>
      </c>
      <c r="B32" t="s">
        <v>328</v>
      </c>
      <c r="C32" t="s">
        <v>329</v>
      </c>
      <c r="D32" t="s">
        <v>267</v>
      </c>
      <c r="F32">
        <v>6.2571779999999997</v>
      </c>
      <c r="G32">
        <v>8.3608089999999997</v>
      </c>
      <c r="H32">
        <v>8.2695620000000005</v>
      </c>
      <c r="I32">
        <v>9.2189250000000005</v>
      </c>
      <c r="J32">
        <v>9.3034470000000002</v>
      </c>
      <c r="K32">
        <v>10.939163000000001</v>
      </c>
      <c r="L32">
        <v>12.661527</v>
      </c>
      <c r="M32">
        <v>13.065975</v>
      </c>
      <c r="N32">
        <v>13.036168</v>
      </c>
      <c r="O32">
        <v>13.056958</v>
      </c>
      <c r="P32">
        <v>13.466412999999999</v>
      </c>
      <c r="Q32">
        <v>13.617495999999999</v>
      </c>
      <c r="R32">
        <v>13.786407000000001</v>
      </c>
      <c r="S32">
        <v>14.056133000000001</v>
      </c>
      <c r="T32">
        <v>14.223974</v>
      </c>
      <c r="U32">
        <v>14.486815</v>
      </c>
      <c r="V32">
        <v>14.647678000000001</v>
      </c>
      <c r="W32">
        <v>14.833512000000001</v>
      </c>
      <c r="X32">
        <v>15.010059</v>
      </c>
      <c r="Y32">
        <v>15.156699</v>
      </c>
      <c r="Z32">
        <v>15.236022999999999</v>
      </c>
      <c r="AA32">
        <v>15.602796</v>
      </c>
      <c r="AB32">
        <v>15.720908</v>
      </c>
      <c r="AC32">
        <v>15.873866</v>
      </c>
      <c r="AD32">
        <v>16.017097</v>
      </c>
      <c r="AE32">
        <v>16.193173999999999</v>
      </c>
      <c r="AF32">
        <v>16.251553000000001</v>
      </c>
      <c r="AG32">
        <v>16.314157000000002</v>
      </c>
      <c r="AH32">
        <v>16.331505</v>
      </c>
      <c r="AI32">
        <v>16.371442999999999</v>
      </c>
      <c r="AJ32">
        <v>16.292984000000001</v>
      </c>
      <c r="AK32">
        <v>16.384941000000001</v>
      </c>
      <c r="AL32">
        <v>16.512067999999999</v>
      </c>
      <c r="AM32">
        <v>16.535382999999999</v>
      </c>
      <c r="AN32">
        <v>16.650193999999999</v>
      </c>
      <c r="AO32" s="4">
        <v>2.1000000000000001E-2</v>
      </c>
    </row>
    <row r="33" spans="1:41" hidden="1" x14ac:dyDescent="0.3">
      <c r="A33" t="s">
        <v>271</v>
      </c>
      <c r="B33" t="s">
        <v>330</v>
      </c>
      <c r="C33" t="s">
        <v>331</v>
      </c>
      <c r="D33" t="s">
        <v>267</v>
      </c>
      <c r="F33">
        <v>14.278964</v>
      </c>
      <c r="G33">
        <v>14.452373</v>
      </c>
      <c r="H33">
        <v>14.150637</v>
      </c>
      <c r="I33">
        <v>14.097550999999999</v>
      </c>
      <c r="J33">
        <v>14.122126</v>
      </c>
      <c r="K33">
        <v>13.494807</v>
      </c>
      <c r="L33">
        <v>13.312633999999999</v>
      </c>
      <c r="M33">
        <v>13.272458</v>
      </c>
      <c r="N33">
        <v>13.897453000000001</v>
      </c>
      <c r="O33">
        <v>13.809301</v>
      </c>
      <c r="P33">
        <v>13.612698999999999</v>
      </c>
      <c r="Q33">
        <v>13.465306999999999</v>
      </c>
      <c r="R33">
        <v>13.296205</v>
      </c>
      <c r="S33">
        <v>13.305363</v>
      </c>
      <c r="T33">
        <v>13.166340999999999</v>
      </c>
      <c r="U33">
        <v>13.051945</v>
      </c>
      <c r="V33">
        <v>12.957541000000001</v>
      </c>
      <c r="W33">
        <v>12.871192000000001</v>
      </c>
      <c r="X33">
        <v>12.801318</v>
      </c>
      <c r="Y33">
        <v>12.730066000000001</v>
      </c>
      <c r="Z33">
        <v>12.752217</v>
      </c>
      <c r="AA33">
        <v>12.724152</v>
      </c>
      <c r="AB33">
        <v>12.726591000000001</v>
      </c>
      <c r="AC33">
        <v>12.728823</v>
      </c>
      <c r="AD33">
        <v>12.713264000000001</v>
      </c>
      <c r="AE33">
        <v>12.718743</v>
      </c>
      <c r="AF33">
        <v>12.755470000000001</v>
      </c>
      <c r="AG33">
        <v>12.761025</v>
      </c>
      <c r="AH33">
        <v>12.78332</v>
      </c>
      <c r="AI33">
        <v>12.818687000000001</v>
      </c>
      <c r="AJ33">
        <v>12.855021000000001</v>
      </c>
      <c r="AK33">
        <v>12.894432999999999</v>
      </c>
      <c r="AL33">
        <v>12.966839999999999</v>
      </c>
      <c r="AM33">
        <v>13.024637999999999</v>
      </c>
      <c r="AN33">
        <v>13.105848</v>
      </c>
      <c r="AO33" s="4">
        <v>-3.0000000000000001E-3</v>
      </c>
    </row>
    <row r="34" spans="1:41" hidden="1" x14ac:dyDescent="0.3">
      <c r="A34" t="s">
        <v>274</v>
      </c>
      <c r="B34" t="s">
        <v>332</v>
      </c>
      <c r="C34" t="s">
        <v>333</v>
      </c>
      <c r="D34" t="s">
        <v>267</v>
      </c>
      <c r="F34">
        <v>28.885411999999999</v>
      </c>
      <c r="G34">
        <v>31.148299999999999</v>
      </c>
      <c r="H34">
        <v>32.027450999999999</v>
      </c>
      <c r="I34">
        <v>32.970027999999999</v>
      </c>
      <c r="J34">
        <v>35.046287999999997</v>
      </c>
      <c r="K34">
        <v>35.954841999999999</v>
      </c>
      <c r="L34">
        <v>36.933796000000001</v>
      </c>
      <c r="M34">
        <v>37.900860000000002</v>
      </c>
      <c r="N34">
        <v>38.546371000000001</v>
      </c>
      <c r="O34">
        <v>39.316901999999999</v>
      </c>
      <c r="P34">
        <v>39.854419999999998</v>
      </c>
      <c r="Q34">
        <v>40.110312999999998</v>
      </c>
      <c r="R34">
        <v>40.271892999999999</v>
      </c>
      <c r="S34">
        <v>40.410998999999997</v>
      </c>
      <c r="T34">
        <v>40.545071</v>
      </c>
      <c r="U34">
        <v>40.680779000000001</v>
      </c>
      <c r="V34">
        <v>40.790398000000003</v>
      </c>
      <c r="W34">
        <v>40.765079</v>
      </c>
      <c r="X34">
        <v>40.601646000000002</v>
      </c>
      <c r="Y34">
        <v>40.408271999999997</v>
      </c>
      <c r="Z34">
        <v>40.263756000000001</v>
      </c>
      <c r="AA34">
        <v>40.110554</v>
      </c>
      <c r="AB34">
        <v>39.946624999999997</v>
      </c>
      <c r="AC34">
        <v>39.786586999999997</v>
      </c>
      <c r="AD34">
        <v>39.590744000000001</v>
      </c>
      <c r="AE34">
        <v>39.410243999999999</v>
      </c>
      <c r="AF34">
        <v>39.221245000000003</v>
      </c>
      <c r="AG34">
        <v>38.951439000000001</v>
      </c>
      <c r="AH34">
        <v>38.722439000000001</v>
      </c>
      <c r="AI34">
        <v>38.604182999999999</v>
      </c>
      <c r="AJ34">
        <v>38.399715</v>
      </c>
      <c r="AK34">
        <v>38.211886999999997</v>
      </c>
      <c r="AL34">
        <v>38.041927000000001</v>
      </c>
      <c r="AM34">
        <v>37.848346999999997</v>
      </c>
      <c r="AN34">
        <v>37.593834000000001</v>
      </c>
      <c r="AO34" s="4">
        <v>6.0000000000000001E-3</v>
      </c>
    </row>
    <row r="35" spans="1:41" hidden="1" x14ac:dyDescent="0.3">
      <c r="A35" t="s">
        <v>334</v>
      </c>
      <c r="C35" t="s">
        <v>335</v>
      </c>
    </row>
    <row r="36" spans="1:41" hidden="1" x14ac:dyDescent="0.3">
      <c r="A36" t="s">
        <v>268</v>
      </c>
      <c r="B36" t="s">
        <v>336</v>
      </c>
      <c r="C36" t="s">
        <v>337</v>
      </c>
      <c r="D36" t="s">
        <v>267</v>
      </c>
      <c r="F36">
        <v>12.151324000000001</v>
      </c>
      <c r="G36">
        <v>14.116877000000001</v>
      </c>
      <c r="H36">
        <v>14.646044</v>
      </c>
      <c r="I36">
        <v>15.393749</v>
      </c>
      <c r="J36">
        <v>18.543735999999999</v>
      </c>
      <c r="K36">
        <v>19.896484000000001</v>
      </c>
      <c r="L36">
        <v>20.359615000000002</v>
      </c>
      <c r="M36">
        <v>20.661435999999998</v>
      </c>
      <c r="N36">
        <v>20.846827000000001</v>
      </c>
      <c r="O36">
        <v>20.926501999999999</v>
      </c>
      <c r="P36">
        <v>20.906148999999999</v>
      </c>
      <c r="Q36">
        <v>21.060801999999999</v>
      </c>
      <c r="R36">
        <v>21.245215999999999</v>
      </c>
      <c r="S36">
        <v>21.562494000000001</v>
      </c>
      <c r="T36">
        <v>21.725484999999999</v>
      </c>
      <c r="U36">
        <v>21.994173</v>
      </c>
      <c r="V36">
        <v>22.202781999999999</v>
      </c>
      <c r="W36">
        <v>22.471347999999999</v>
      </c>
      <c r="X36">
        <v>22.736881</v>
      </c>
      <c r="Y36">
        <v>22.878971</v>
      </c>
      <c r="Z36">
        <v>23.013500000000001</v>
      </c>
      <c r="AA36">
        <v>23.507071</v>
      </c>
      <c r="AB36">
        <v>23.568707</v>
      </c>
      <c r="AC36">
        <v>23.820143000000002</v>
      </c>
      <c r="AD36">
        <v>24.026615</v>
      </c>
      <c r="AE36">
        <v>24.239239000000001</v>
      </c>
      <c r="AF36">
        <v>24.274529999999999</v>
      </c>
      <c r="AG36">
        <v>24.321826999999999</v>
      </c>
      <c r="AH36">
        <v>24.36647</v>
      </c>
      <c r="AI36">
        <v>24.419274999999999</v>
      </c>
      <c r="AJ36">
        <v>24.326975000000001</v>
      </c>
      <c r="AK36">
        <v>24.470224000000002</v>
      </c>
      <c r="AL36">
        <v>24.682043</v>
      </c>
      <c r="AM36">
        <v>24.698612000000001</v>
      </c>
      <c r="AN36">
        <v>24.786930000000002</v>
      </c>
      <c r="AO36" s="4">
        <v>1.7000000000000001E-2</v>
      </c>
    </row>
    <row r="37" spans="1:41" hidden="1" x14ac:dyDescent="0.3">
      <c r="A37" t="s">
        <v>283</v>
      </c>
      <c r="B37" t="s">
        <v>338</v>
      </c>
      <c r="C37" t="s">
        <v>339</v>
      </c>
      <c r="D37" t="s">
        <v>267</v>
      </c>
      <c r="F37">
        <v>8.3109699999999993</v>
      </c>
      <c r="G37">
        <v>10.533640999999999</v>
      </c>
      <c r="H37">
        <v>10.217947000000001</v>
      </c>
      <c r="I37">
        <v>11.464124999999999</v>
      </c>
      <c r="J37">
        <v>13.858578</v>
      </c>
      <c r="K37">
        <v>14.702579999999999</v>
      </c>
      <c r="L37">
        <v>14.854903999999999</v>
      </c>
      <c r="M37">
        <v>14.893603000000001</v>
      </c>
      <c r="N37">
        <v>14.956732000000001</v>
      </c>
      <c r="O37">
        <v>15.04153</v>
      </c>
      <c r="P37">
        <v>15.298743999999999</v>
      </c>
      <c r="Q37">
        <v>15.472669</v>
      </c>
      <c r="R37">
        <v>15.540789</v>
      </c>
      <c r="S37">
        <v>15.806259000000001</v>
      </c>
      <c r="T37">
        <v>15.999053999999999</v>
      </c>
      <c r="U37">
        <v>16.324413</v>
      </c>
      <c r="V37">
        <v>16.437346000000002</v>
      </c>
      <c r="W37">
        <v>16.596074999999999</v>
      </c>
      <c r="X37">
        <v>16.730484000000001</v>
      </c>
      <c r="Y37">
        <v>16.891933000000002</v>
      </c>
      <c r="Z37">
        <v>16.913874</v>
      </c>
      <c r="AA37">
        <v>17.235945000000001</v>
      </c>
      <c r="AB37">
        <v>17.332122999999999</v>
      </c>
      <c r="AC37">
        <v>17.482111</v>
      </c>
      <c r="AD37">
        <v>17.527785999999999</v>
      </c>
      <c r="AE37">
        <v>17.577529999999999</v>
      </c>
      <c r="AF37">
        <v>17.532518</v>
      </c>
      <c r="AG37">
        <v>17.427662000000002</v>
      </c>
      <c r="AH37">
        <v>17.260960000000001</v>
      </c>
      <c r="AI37">
        <v>17.098262999999999</v>
      </c>
      <c r="AJ37">
        <v>17.014029000000001</v>
      </c>
      <c r="AK37">
        <v>17.018664999999999</v>
      </c>
      <c r="AL37">
        <v>16.928436000000001</v>
      </c>
      <c r="AM37">
        <v>17.314079</v>
      </c>
      <c r="AN37">
        <v>17.513041999999999</v>
      </c>
      <c r="AO37" s="4">
        <v>1.6E-2</v>
      </c>
    </row>
    <row r="38" spans="1:41" hidden="1" x14ac:dyDescent="0.3">
      <c r="A38" t="s">
        <v>271</v>
      </c>
      <c r="B38" t="s">
        <v>340</v>
      </c>
      <c r="C38" t="s">
        <v>341</v>
      </c>
      <c r="D38" t="s">
        <v>267</v>
      </c>
      <c r="F38">
        <v>2.9334359999999999</v>
      </c>
      <c r="G38">
        <v>3.4661050000000002</v>
      </c>
      <c r="H38">
        <v>3.5723400000000001</v>
      </c>
      <c r="I38">
        <v>3.9213200000000001</v>
      </c>
      <c r="J38">
        <v>4.157216</v>
      </c>
      <c r="K38">
        <v>4.096851</v>
      </c>
      <c r="L38">
        <v>4.13605</v>
      </c>
      <c r="M38">
        <v>4.2530400000000004</v>
      </c>
      <c r="N38">
        <v>4.3545379999999998</v>
      </c>
      <c r="O38">
        <v>4.4775479999999996</v>
      </c>
      <c r="P38">
        <v>4.5128740000000001</v>
      </c>
      <c r="Q38">
        <v>4.5574269999999997</v>
      </c>
      <c r="R38">
        <v>4.5635729999999999</v>
      </c>
      <c r="S38">
        <v>4.6257809999999999</v>
      </c>
      <c r="T38">
        <v>4.6224600000000002</v>
      </c>
      <c r="U38">
        <v>4.6152800000000003</v>
      </c>
      <c r="V38">
        <v>4.6303190000000001</v>
      </c>
      <c r="W38">
        <v>4.6157680000000001</v>
      </c>
      <c r="X38">
        <v>4.6231229999999996</v>
      </c>
      <c r="Y38">
        <v>4.6148449999999999</v>
      </c>
      <c r="Z38">
        <v>4.7204319999999997</v>
      </c>
      <c r="AA38">
        <v>4.7226319999999999</v>
      </c>
      <c r="AB38">
        <v>4.7879829999999997</v>
      </c>
      <c r="AC38">
        <v>4.8359509999999997</v>
      </c>
      <c r="AD38">
        <v>4.8634950000000003</v>
      </c>
      <c r="AE38">
        <v>4.892207</v>
      </c>
      <c r="AF38">
        <v>4.9485460000000003</v>
      </c>
      <c r="AG38">
        <v>4.9885650000000004</v>
      </c>
      <c r="AH38">
        <v>5.0422890000000002</v>
      </c>
      <c r="AI38">
        <v>5.0778299999999996</v>
      </c>
      <c r="AJ38">
        <v>5.1227510000000001</v>
      </c>
      <c r="AK38">
        <v>5.1727569999999998</v>
      </c>
      <c r="AL38">
        <v>5.2637479999999996</v>
      </c>
      <c r="AM38">
        <v>5.3251179999999998</v>
      </c>
      <c r="AN38">
        <v>5.4173850000000003</v>
      </c>
      <c r="AO38" s="4">
        <v>1.4E-2</v>
      </c>
    </row>
    <row r="39" spans="1:41" hidden="1" x14ac:dyDescent="0.3">
      <c r="A39" t="s">
        <v>342</v>
      </c>
      <c r="B39" t="s">
        <v>343</v>
      </c>
      <c r="C39" t="s">
        <v>344</v>
      </c>
      <c r="D39" t="s">
        <v>267</v>
      </c>
      <c r="F39">
        <v>2.198312</v>
      </c>
      <c r="G39">
        <v>2.145607</v>
      </c>
      <c r="H39">
        <v>2.1612290000000001</v>
      </c>
      <c r="I39">
        <v>2.2062309999999998</v>
      </c>
      <c r="J39">
        <v>2.2352810000000001</v>
      </c>
      <c r="K39">
        <v>2.2407810000000001</v>
      </c>
      <c r="L39">
        <v>2.2304840000000001</v>
      </c>
      <c r="M39">
        <v>2.2388940000000002</v>
      </c>
      <c r="N39">
        <v>2.2632919999999999</v>
      </c>
      <c r="O39">
        <v>2.2779509999999998</v>
      </c>
      <c r="P39">
        <v>2.2841619999999998</v>
      </c>
      <c r="Q39">
        <v>2.288891</v>
      </c>
      <c r="R39">
        <v>2.2901410000000002</v>
      </c>
      <c r="S39">
        <v>2.2972049999999999</v>
      </c>
      <c r="T39">
        <v>2.3064550000000001</v>
      </c>
      <c r="U39">
        <v>2.309774</v>
      </c>
      <c r="V39">
        <v>2.3133309999999998</v>
      </c>
      <c r="W39">
        <v>2.3244910000000001</v>
      </c>
      <c r="X39">
        <v>2.3334410000000001</v>
      </c>
      <c r="Y39">
        <v>2.3485109999999998</v>
      </c>
      <c r="Z39">
        <v>2.3596349999999999</v>
      </c>
      <c r="AA39">
        <v>2.375076</v>
      </c>
      <c r="AB39">
        <v>2.3866139999999998</v>
      </c>
      <c r="AC39">
        <v>2.4029560000000001</v>
      </c>
      <c r="AD39">
        <v>2.409052</v>
      </c>
      <c r="AE39">
        <v>2.4179879999999998</v>
      </c>
      <c r="AF39">
        <v>2.425163</v>
      </c>
      <c r="AG39">
        <v>2.4298489999999999</v>
      </c>
      <c r="AH39">
        <v>2.4356010000000001</v>
      </c>
      <c r="AI39">
        <v>2.4389560000000001</v>
      </c>
      <c r="AJ39">
        <v>2.4441959999999998</v>
      </c>
      <c r="AK39">
        <v>2.4472480000000001</v>
      </c>
      <c r="AL39">
        <v>2.4502760000000001</v>
      </c>
      <c r="AM39">
        <v>2.4588350000000001</v>
      </c>
      <c r="AN39">
        <v>2.46313</v>
      </c>
      <c r="AO39" s="4">
        <v>4.0000000000000001E-3</v>
      </c>
    </row>
    <row r="40" spans="1:41" hidden="1" x14ac:dyDescent="0.3">
      <c r="A40" t="s">
        <v>345</v>
      </c>
      <c r="B40" t="s">
        <v>346</v>
      </c>
      <c r="C40" t="s">
        <v>347</v>
      </c>
      <c r="D40" t="s">
        <v>267</v>
      </c>
      <c r="F40">
        <v>0.64600000000000002</v>
      </c>
      <c r="G40">
        <v>0.64700000000000002</v>
      </c>
      <c r="H40">
        <v>0.64900000000000002</v>
      </c>
      <c r="I40">
        <v>0.65</v>
      </c>
      <c r="J40">
        <v>0.65200000000000002</v>
      </c>
      <c r="K40">
        <v>0.65300000000000002</v>
      </c>
      <c r="L40">
        <v>0.65400000000000003</v>
      </c>
      <c r="M40">
        <v>0.65600000000000003</v>
      </c>
      <c r="N40">
        <v>0.65700000000000003</v>
      </c>
      <c r="O40">
        <v>0.65900000000000003</v>
      </c>
      <c r="P40">
        <v>0.66</v>
      </c>
      <c r="Q40">
        <v>0.66200000000000003</v>
      </c>
      <c r="R40">
        <v>0.66300000000000003</v>
      </c>
      <c r="S40">
        <v>0.66400000000000003</v>
      </c>
      <c r="T40">
        <v>0.66600000000000004</v>
      </c>
      <c r="U40">
        <v>0.66700000000000004</v>
      </c>
      <c r="V40">
        <v>0.66900000000000004</v>
      </c>
      <c r="W40">
        <v>0.67100000000000004</v>
      </c>
      <c r="X40">
        <v>0.67200000000000004</v>
      </c>
      <c r="Y40">
        <v>0.67400000000000004</v>
      </c>
      <c r="Z40">
        <v>0.67600000000000005</v>
      </c>
      <c r="AA40">
        <v>0.67700000000000005</v>
      </c>
      <c r="AB40">
        <v>0.67900000000000005</v>
      </c>
      <c r="AC40">
        <v>0.68100000000000005</v>
      </c>
      <c r="AD40">
        <v>0.68300000000000005</v>
      </c>
      <c r="AE40">
        <v>0.68500000000000005</v>
      </c>
      <c r="AF40">
        <v>0.68600000000000005</v>
      </c>
      <c r="AG40">
        <v>0.68799999999999994</v>
      </c>
      <c r="AH40">
        <v>0.69</v>
      </c>
      <c r="AI40">
        <v>0.69199999999999995</v>
      </c>
      <c r="AJ40">
        <v>0.69399999999999995</v>
      </c>
      <c r="AK40">
        <v>0.69599999999999995</v>
      </c>
      <c r="AL40">
        <v>0.69799999999999995</v>
      </c>
      <c r="AM40">
        <v>0.7</v>
      </c>
      <c r="AN40">
        <v>0.70199999999999996</v>
      </c>
      <c r="AO40" s="4">
        <v>2E-3</v>
      </c>
    </row>
    <row r="41" spans="1:41" hidden="1" x14ac:dyDescent="0.3">
      <c r="A41" t="s">
        <v>348</v>
      </c>
      <c r="C41" t="s">
        <v>349</v>
      </c>
    </row>
    <row r="42" spans="1:41" hidden="1" x14ac:dyDescent="0.3">
      <c r="A42" t="s">
        <v>264</v>
      </c>
      <c r="B42" t="s">
        <v>350</v>
      </c>
      <c r="C42" t="s">
        <v>351</v>
      </c>
      <c r="D42" t="s">
        <v>267</v>
      </c>
      <c r="F42">
        <v>14.294352</v>
      </c>
      <c r="G42">
        <v>15.195361999999999</v>
      </c>
      <c r="H42">
        <v>14.061298000000001</v>
      </c>
      <c r="I42">
        <v>14.937288000000001</v>
      </c>
      <c r="J42">
        <v>15.73611</v>
      </c>
      <c r="K42">
        <v>16.018163999999999</v>
      </c>
      <c r="L42">
        <v>16.268785000000001</v>
      </c>
      <c r="M42">
        <v>16.478085</v>
      </c>
      <c r="N42">
        <v>16.729953999999999</v>
      </c>
      <c r="O42">
        <v>16.776249</v>
      </c>
      <c r="P42">
        <v>16.816984000000001</v>
      </c>
      <c r="Q42">
        <v>16.843423999999999</v>
      </c>
      <c r="R42">
        <v>16.916267000000001</v>
      </c>
      <c r="S42">
        <v>17.153908000000001</v>
      </c>
      <c r="T42">
        <v>17.234694000000001</v>
      </c>
      <c r="U42">
        <v>17.413488000000001</v>
      </c>
      <c r="V42">
        <v>17.648990999999999</v>
      </c>
      <c r="W42">
        <v>17.859472</v>
      </c>
      <c r="X42">
        <v>18.016525000000001</v>
      </c>
      <c r="Y42">
        <v>18.217310000000001</v>
      </c>
      <c r="Z42">
        <v>18.428830999999999</v>
      </c>
      <c r="AA42">
        <v>18.507524</v>
      </c>
      <c r="AB42">
        <v>18.828484</v>
      </c>
      <c r="AC42">
        <v>18.959095000000001</v>
      </c>
      <c r="AD42">
        <v>19.061256</v>
      </c>
      <c r="AE42">
        <v>19.223101</v>
      </c>
      <c r="AF42">
        <v>19.350456000000001</v>
      </c>
      <c r="AG42">
        <v>19.519359999999999</v>
      </c>
      <c r="AH42">
        <v>19.643063000000001</v>
      </c>
      <c r="AI42">
        <v>19.828613000000001</v>
      </c>
      <c r="AJ42">
        <v>19.944192999999999</v>
      </c>
      <c r="AK42">
        <v>20.091107999999998</v>
      </c>
      <c r="AL42">
        <v>20.288405999999998</v>
      </c>
      <c r="AM42">
        <v>20.471672000000002</v>
      </c>
      <c r="AN42">
        <v>20.586147</v>
      </c>
      <c r="AO42" s="4">
        <v>8.9999999999999993E-3</v>
      </c>
    </row>
    <row r="43" spans="1:41" hidden="1" x14ac:dyDescent="0.3">
      <c r="A43" t="s">
        <v>316</v>
      </c>
      <c r="B43" t="s">
        <v>352</v>
      </c>
      <c r="C43" t="s">
        <v>353</v>
      </c>
      <c r="D43" t="s">
        <v>267</v>
      </c>
      <c r="F43">
        <v>20.812339999999999</v>
      </c>
      <c r="G43">
        <v>22.286798000000001</v>
      </c>
      <c r="H43">
        <v>29.106795999999999</v>
      </c>
      <c r="I43">
        <v>28.729818000000002</v>
      </c>
      <c r="J43">
        <v>31.626055000000001</v>
      </c>
      <c r="K43">
        <v>32.880775</v>
      </c>
      <c r="L43">
        <v>31.61702</v>
      </c>
      <c r="M43">
        <v>29.415323000000001</v>
      </c>
      <c r="N43">
        <v>28.282371999999999</v>
      </c>
      <c r="O43">
        <v>25.998284999999999</v>
      </c>
      <c r="P43">
        <v>25.419561000000002</v>
      </c>
      <c r="Q43">
        <v>24.589397000000002</v>
      </c>
      <c r="R43">
        <v>24.370229999999999</v>
      </c>
      <c r="S43">
        <v>24.412544</v>
      </c>
      <c r="T43">
        <v>24.186147999999999</v>
      </c>
      <c r="U43">
        <v>24.980875000000001</v>
      </c>
      <c r="V43">
        <v>25.086212</v>
      </c>
      <c r="W43">
        <v>24.765488000000001</v>
      </c>
      <c r="X43">
        <v>24.586597000000001</v>
      </c>
      <c r="Y43">
        <v>24.325731000000001</v>
      </c>
      <c r="Z43">
        <v>24.283667000000001</v>
      </c>
      <c r="AA43">
        <v>24.69022</v>
      </c>
      <c r="AB43">
        <v>24.849271999999999</v>
      </c>
      <c r="AC43">
        <v>25.23122</v>
      </c>
      <c r="AD43">
        <v>25.786197999999999</v>
      </c>
      <c r="AE43">
        <v>26.366095000000001</v>
      </c>
      <c r="AF43">
        <v>26.962257000000001</v>
      </c>
      <c r="AG43">
        <v>27.518217</v>
      </c>
      <c r="AH43">
        <v>28.386984000000002</v>
      </c>
      <c r="AI43">
        <v>28.445518</v>
      </c>
      <c r="AJ43">
        <v>28.38983</v>
      </c>
      <c r="AK43">
        <v>28.983898</v>
      </c>
      <c r="AL43">
        <v>30.667786</v>
      </c>
      <c r="AM43">
        <v>32.631180000000001</v>
      </c>
      <c r="AN43">
        <v>33.226185000000001</v>
      </c>
      <c r="AO43" s="4">
        <v>1.2E-2</v>
      </c>
    </row>
    <row r="44" spans="1:41" hidden="1" x14ac:dyDescent="0.3">
      <c r="A44" t="s">
        <v>319</v>
      </c>
      <c r="B44" t="s">
        <v>354</v>
      </c>
      <c r="C44" t="s">
        <v>355</v>
      </c>
      <c r="D44" t="s">
        <v>267</v>
      </c>
      <c r="F44">
        <v>19.111619999999998</v>
      </c>
      <c r="G44">
        <v>20.777381999999999</v>
      </c>
      <c r="H44">
        <v>20.476828000000001</v>
      </c>
      <c r="I44">
        <v>21.014500000000002</v>
      </c>
      <c r="J44">
        <v>23.933487</v>
      </c>
      <c r="K44">
        <v>25.371649000000001</v>
      </c>
      <c r="L44">
        <v>26.003502000000001</v>
      </c>
      <c r="M44">
        <v>26.482012000000001</v>
      </c>
      <c r="N44">
        <v>27.043821000000001</v>
      </c>
      <c r="O44">
        <v>26.995325000000001</v>
      </c>
      <c r="P44">
        <v>26.989623999999999</v>
      </c>
      <c r="Q44">
        <v>27.159203999999999</v>
      </c>
      <c r="R44">
        <v>27.391902999999999</v>
      </c>
      <c r="S44">
        <v>27.681141</v>
      </c>
      <c r="T44">
        <v>27.790690999999999</v>
      </c>
      <c r="U44">
        <v>28.147366000000002</v>
      </c>
      <c r="V44">
        <v>28.264050999999998</v>
      </c>
      <c r="W44">
        <v>28.409372000000001</v>
      </c>
      <c r="X44">
        <v>28.657892</v>
      </c>
      <c r="Y44">
        <v>28.771757000000001</v>
      </c>
      <c r="Z44">
        <v>28.835395999999999</v>
      </c>
      <c r="AA44">
        <v>29.270181999999998</v>
      </c>
      <c r="AB44">
        <v>29.387194000000001</v>
      </c>
      <c r="AC44">
        <v>29.560538999999999</v>
      </c>
      <c r="AD44">
        <v>29.768056999999999</v>
      </c>
      <c r="AE44">
        <v>29.930771</v>
      </c>
      <c r="AF44">
        <v>30.06307</v>
      </c>
      <c r="AG44">
        <v>30.140324</v>
      </c>
      <c r="AH44">
        <v>30.219336999999999</v>
      </c>
      <c r="AI44">
        <v>30.302921000000001</v>
      </c>
      <c r="AJ44">
        <v>30.211425999999999</v>
      </c>
      <c r="AK44">
        <v>30.378017</v>
      </c>
      <c r="AL44">
        <v>30.561250999999999</v>
      </c>
      <c r="AM44">
        <v>30.629251</v>
      </c>
      <c r="AN44">
        <v>30.721605</v>
      </c>
      <c r="AO44" s="4">
        <v>1.2E-2</v>
      </c>
    </row>
    <row r="45" spans="1:41" hidden="1" x14ac:dyDescent="0.3">
      <c r="A45" t="s">
        <v>322</v>
      </c>
      <c r="B45" t="s">
        <v>356</v>
      </c>
      <c r="C45" t="s">
        <v>357</v>
      </c>
      <c r="D45" t="s">
        <v>267</v>
      </c>
      <c r="F45">
        <v>9.9809680000000007</v>
      </c>
      <c r="G45">
        <v>11.947901999999999</v>
      </c>
      <c r="H45">
        <v>12.257629</v>
      </c>
      <c r="I45">
        <v>13.075085</v>
      </c>
      <c r="J45">
        <v>16.345033999999998</v>
      </c>
      <c r="K45">
        <v>17.718266</v>
      </c>
      <c r="L45">
        <v>18.208731</v>
      </c>
      <c r="M45">
        <v>18.553381000000002</v>
      </c>
      <c r="N45">
        <v>18.869748999999999</v>
      </c>
      <c r="O45">
        <v>18.993863999999999</v>
      </c>
      <c r="P45">
        <v>19.069727</v>
      </c>
      <c r="Q45">
        <v>19.335315999999999</v>
      </c>
      <c r="R45">
        <v>19.616956999999999</v>
      </c>
      <c r="S45">
        <v>20.065563000000001</v>
      </c>
      <c r="T45">
        <v>20.303635</v>
      </c>
      <c r="U45">
        <v>20.725435000000001</v>
      </c>
      <c r="V45">
        <v>20.959536</v>
      </c>
      <c r="W45">
        <v>21.281597000000001</v>
      </c>
      <c r="X45">
        <v>21.563713</v>
      </c>
      <c r="Y45">
        <v>21.721733</v>
      </c>
      <c r="Z45">
        <v>21.889219000000001</v>
      </c>
      <c r="AA45">
        <v>22.442713000000001</v>
      </c>
      <c r="AB45">
        <v>22.640969999999999</v>
      </c>
      <c r="AC45">
        <v>22.874586000000001</v>
      </c>
      <c r="AD45">
        <v>23.101603000000001</v>
      </c>
      <c r="AE45">
        <v>23.359494999999999</v>
      </c>
      <c r="AF45">
        <v>23.443142000000002</v>
      </c>
      <c r="AG45">
        <v>23.575707999999999</v>
      </c>
      <c r="AH45">
        <v>23.682116000000001</v>
      </c>
      <c r="AI45">
        <v>23.775514999999999</v>
      </c>
      <c r="AJ45">
        <v>23.750533999999998</v>
      </c>
      <c r="AK45">
        <v>23.929701000000001</v>
      </c>
      <c r="AL45">
        <v>24.189125000000001</v>
      </c>
      <c r="AM45">
        <v>24.301290999999999</v>
      </c>
      <c r="AN45">
        <v>24.409012000000001</v>
      </c>
      <c r="AO45" s="4">
        <v>2.1999999999999999E-2</v>
      </c>
    </row>
    <row r="46" spans="1:41" hidden="1" x14ac:dyDescent="0.3">
      <c r="A46" t="s">
        <v>268</v>
      </c>
      <c r="B46" t="s">
        <v>358</v>
      </c>
      <c r="C46" t="s">
        <v>359</v>
      </c>
      <c r="D46" t="s">
        <v>267</v>
      </c>
      <c r="F46">
        <v>16.455431000000001</v>
      </c>
      <c r="G46">
        <v>18.564427999999999</v>
      </c>
      <c r="H46">
        <v>19.21077</v>
      </c>
      <c r="I46">
        <v>19.496341999999999</v>
      </c>
      <c r="J46">
        <v>22.271576</v>
      </c>
      <c r="K46">
        <v>23.424316000000001</v>
      </c>
      <c r="L46">
        <v>23.817944000000001</v>
      </c>
      <c r="M46">
        <v>24.171852000000001</v>
      </c>
      <c r="N46">
        <v>24.743480999999999</v>
      </c>
      <c r="O46">
        <v>25.013494000000001</v>
      </c>
      <c r="P46">
        <v>25.096191000000001</v>
      </c>
      <c r="Q46">
        <v>25.381627999999999</v>
      </c>
      <c r="R46">
        <v>25.684362</v>
      </c>
      <c r="S46">
        <v>26.069123999999999</v>
      </c>
      <c r="T46">
        <v>26.289446000000002</v>
      </c>
      <c r="U46">
        <v>26.623643999999999</v>
      </c>
      <c r="V46">
        <v>26.770311</v>
      </c>
      <c r="W46">
        <v>27.032872999999999</v>
      </c>
      <c r="X46">
        <v>27.327573999999998</v>
      </c>
      <c r="Y46">
        <v>27.484342999999999</v>
      </c>
      <c r="Z46">
        <v>27.612133</v>
      </c>
      <c r="AA46">
        <v>28.084257000000001</v>
      </c>
      <c r="AB46">
        <v>28.219014999999999</v>
      </c>
      <c r="AC46">
        <v>28.419750000000001</v>
      </c>
      <c r="AD46">
        <v>28.590254000000002</v>
      </c>
      <c r="AE46">
        <v>28.777168</v>
      </c>
      <c r="AF46">
        <v>28.787603000000001</v>
      </c>
      <c r="AG46">
        <v>28.818922000000001</v>
      </c>
      <c r="AH46">
        <v>28.804632000000002</v>
      </c>
      <c r="AI46">
        <v>28.865341000000001</v>
      </c>
      <c r="AJ46">
        <v>28.778075999999999</v>
      </c>
      <c r="AK46">
        <v>28.868559000000001</v>
      </c>
      <c r="AL46">
        <v>28.939955000000001</v>
      </c>
      <c r="AM46">
        <v>28.792142999999999</v>
      </c>
      <c r="AN46">
        <v>28.840557</v>
      </c>
      <c r="AO46" s="4">
        <v>1.2999999999999999E-2</v>
      </c>
    </row>
    <row r="47" spans="1:41" hidden="1" x14ac:dyDescent="0.3">
      <c r="A47" t="s">
        <v>283</v>
      </c>
      <c r="B47" t="s">
        <v>360</v>
      </c>
      <c r="C47" t="s">
        <v>361</v>
      </c>
      <c r="D47" t="s">
        <v>267</v>
      </c>
      <c r="F47">
        <v>6.607945</v>
      </c>
      <c r="G47">
        <v>8.5006430000000002</v>
      </c>
      <c r="H47">
        <v>8.3218359999999993</v>
      </c>
      <c r="I47">
        <v>9.1789050000000003</v>
      </c>
      <c r="J47">
        <v>9.799023</v>
      </c>
      <c r="K47">
        <v>11.209622</v>
      </c>
      <c r="L47">
        <v>12.719626</v>
      </c>
      <c r="M47">
        <v>13.093018000000001</v>
      </c>
      <c r="N47">
        <v>13.076183</v>
      </c>
      <c r="O47">
        <v>13.0924</v>
      </c>
      <c r="P47">
        <v>13.473578</v>
      </c>
      <c r="Q47">
        <v>13.629954</v>
      </c>
      <c r="R47">
        <v>13.79341</v>
      </c>
      <c r="S47">
        <v>14.066599</v>
      </c>
      <c r="T47">
        <v>14.233993</v>
      </c>
      <c r="U47">
        <v>14.499104000000001</v>
      </c>
      <c r="V47">
        <v>14.654159</v>
      </c>
      <c r="W47">
        <v>14.840297</v>
      </c>
      <c r="X47">
        <v>15.013788999999999</v>
      </c>
      <c r="Y47">
        <v>15.165139</v>
      </c>
      <c r="Z47">
        <v>15.236984</v>
      </c>
      <c r="AA47">
        <v>15.603476000000001</v>
      </c>
      <c r="AB47">
        <v>15.720665</v>
      </c>
      <c r="AC47">
        <v>15.875745999999999</v>
      </c>
      <c r="AD47">
        <v>16.016470000000002</v>
      </c>
      <c r="AE47">
        <v>16.179227999999998</v>
      </c>
      <c r="AF47">
        <v>16.230239999999998</v>
      </c>
      <c r="AG47">
        <v>16.280811</v>
      </c>
      <c r="AH47">
        <v>16.283833000000001</v>
      </c>
      <c r="AI47">
        <v>16.311295999999999</v>
      </c>
      <c r="AJ47">
        <v>16.237473000000001</v>
      </c>
      <c r="AK47">
        <v>16.318194999999999</v>
      </c>
      <c r="AL47">
        <v>16.433993999999998</v>
      </c>
      <c r="AM47">
        <v>16.476846999999999</v>
      </c>
      <c r="AN47">
        <v>16.601714999999999</v>
      </c>
      <c r="AO47" s="4">
        <v>0.02</v>
      </c>
    </row>
    <row r="48" spans="1:41" hidden="1" x14ac:dyDescent="0.3">
      <c r="A48" t="s">
        <v>271</v>
      </c>
      <c r="B48" t="s">
        <v>362</v>
      </c>
      <c r="C48" t="s">
        <v>363</v>
      </c>
      <c r="D48" t="s">
        <v>267</v>
      </c>
      <c r="F48">
        <v>4.8676830000000004</v>
      </c>
      <c r="G48">
        <v>5.5330589999999997</v>
      </c>
      <c r="H48">
        <v>5.537884</v>
      </c>
      <c r="I48">
        <v>5.8074830000000004</v>
      </c>
      <c r="J48">
        <v>6.0783719999999999</v>
      </c>
      <c r="K48">
        <v>6.089461</v>
      </c>
      <c r="L48">
        <v>6.1404249999999996</v>
      </c>
      <c r="M48">
        <v>6.2942130000000001</v>
      </c>
      <c r="N48">
        <v>6.4683479999999998</v>
      </c>
      <c r="O48">
        <v>6.5908170000000004</v>
      </c>
      <c r="P48">
        <v>6.6259249999999996</v>
      </c>
      <c r="Q48">
        <v>6.6689889999999998</v>
      </c>
      <c r="R48">
        <v>6.6570049999999998</v>
      </c>
      <c r="S48">
        <v>6.73752</v>
      </c>
      <c r="T48">
        <v>6.7331859999999999</v>
      </c>
      <c r="U48">
        <v>6.7363330000000001</v>
      </c>
      <c r="V48">
        <v>6.7565039999999996</v>
      </c>
      <c r="W48">
        <v>6.7590349999999999</v>
      </c>
      <c r="X48">
        <v>6.7645650000000002</v>
      </c>
      <c r="Y48">
        <v>6.766826</v>
      </c>
      <c r="Z48">
        <v>6.8598280000000003</v>
      </c>
      <c r="AA48">
        <v>6.8717379999999997</v>
      </c>
      <c r="AB48">
        <v>6.929875</v>
      </c>
      <c r="AC48">
        <v>6.9696049999999996</v>
      </c>
      <c r="AD48">
        <v>6.9898990000000003</v>
      </c>
      <c r="AE48">
        <v>7.0241490000000004</v>
      </c>
      <c r="AF48">
        <v>7.0852269999999997</v>
      </c>
      <c r="AG48">
        <v>7.116803</v>
      </c>
      <c r="AH48">
        <v>7.1726640000000002</v>
      </c>
      <c r="AI48">
        <v>7.228091</v>
      </c>
      <c r="AJ48">
        <v>7.2792709999999996</v>
      </c>
      <c r="AK48">
        <v>7.3317649999999999</v>
      </c>
      <c r="AL48">
        <v>7.4082220000000003</v>
      </c>
      <c r="AM48">
        <v>7.4813409999999996</v>
      </c>
      <c r="AN48">
        <v>7.558878</v>
      </c>
      <c r="AO48" s="4">
        <v>8.9999999999999993E-3</v>
      </c>
    </row>
    <row r="49" spans="1:41" hidden="1" x14ac:dyDescent="0.3">
      <c r="A49" t="s">
        <v>300</v>
      </c>
      <c r="B49" t="s">
        <v>364</v>
      </c>
      <c r="C49" t="s">
        <v>365</v>
      </c>
      <c r="D49" t="s">
        <v>267</v>
      </c>
      <c r="F49">
        <v>4.3029599999999997</v>
      </c>
      <c r="G49">
        <v>4.2371480000000004</v>
      </c>
      <c r="H49">
        <v>4.1703099999999997</v>
      </c>
      <c r="I49">
        <v>4.2331500000000002</v>
      </c>
      <c r="J49">
        <v>4.3093240000000002</v>
      </c>
      <c r="K49">
        <v>4.345199</v>
      </c>
      <c r="L49">
        <v>4.3996389999999996</v>
      </c>
      <c r="M49">
        <v>4.4635179999999997</v>
      </c>
      <c r="N49">
        <v>4.5178240000000001</v>
      </c>
      <c r="O49">
        <v>4.5679080000000001</v>
      </c>
      <c r="P49">
        <v>4.5992160000000002</v>
      </c>
      <c r="Q49">
        <v>4.6139849999999996</v>
      </c>
      <c r="R49">
        <v>4.621391</v>
      </c>
      <c r="S49">
        <v>4.6339079999999999</v>
      </c>
      <c r="T49">
        <v>4.6516469999999996</v>
      </c>
      <c r="U49">
        <v>4.6703939999999999</v>
      </c>
      <c r="V49">
        <v>4.6886950000000001</v>
      </c>
      <c r="W49">
        <v>4.7097800000000003</v>
      </c>
      <c r="X49">
        <v>4.7219410000000002</v>
      </c>
      <c r="Y49">
        <v>4.7466970000000002</v>
      </c>
      <c r="Z49">
        <v>4.7643000000000004</v>
      </c>
      <c r="AA49">
        <v>4.7825139999999999</v>
      </c>
      <c r="AB49">
        <v>4.8000220000000002</v>
      </c>
      <c r="AC49">
        <v>4.8112440000000003</v>
      </c>
      <c r="AD49">
        <v>4.8299370000000001</v>
      </c>
      <c r="AE49">
        <v>4.8518330000000001</v>
      </c>
      <c r="AF49">
        <v>4.8641160000000001</v>
      </c>
      <c r="AG49">
        <v>4.8852070000000003</v>
      </c>
      <c r="AH49">
        <v>4.9098569999999997</v>
      </c>
      <c r="AI49">
        <v>4.9418259999999998</v>
      </c>
      <c r="AJ49">
        <v>4.9744010000000003</v>
      </c>
      <c r="AK49">
        <v>5.0108030000000001</v>
      </c>
      <c r="AL49">
        <v>5.0526799999999996</v>
      </c>
      <c r="AM49">
        <v>5.0899960000000002</v>
      </c>
      <c r="AN49">
        <v>5.1314289999999998</v>
      </c>
      <c r="AO49" s="4">
        <v>6.0000000000000001E-3</v>
      </c>
    </row>
    <row r="50" spans="1:41" hidden="1" x14ac:dyDescent="0.3">
      <c r="A50" t="s">
        <v>366</v>
      </c>
      <c r="B50" t="s">
        <v>367</v>
      </c>
      <c r="C50" t="s">
        <v>368</v>
      </c>
      <c r="D50" t="s">
        <v>267</v>
      </c>
      <c r="F50">
        <v>2.2612399999999999</v>
      </c>
      <c r="G50">
        <v>2.204637</v>
      </c>
      <c r="H50">
        <v>2.2229040000000002</v>
      </c>
      <c r="I50">
        <v>2.274289</v>
      </c>
      <c r="J50">
        <v>2.3066689999999999</v>
      </c>
      <c r="K50">
        <v>2.3162039999999999</v>
      </c>
      <c r="L50">
        <v>2.3101699999999998</v>
      </c>
      <c r="M50">
        <v>2.3181349999999998</v>
      </c>
      <c r="N50">
        <v>2.3393769999999998</v>
      </c>
      <c r="O50">
        <v>2.352903</v>
      </c>
      <c r="P50">
        <v>2.357958</v>
      </c>
      <c r="Q50">
        <v>2.3617059999999999</v>
      </c>
      <c r="R50">
        <v>2.3623409999999998</v>
      </c>
      <c r="S50">
        <v>2.3671549999999999</v>
      </c>
      <c r="T50">
        <v>2.3760409999999998</v>
      </c>
      <c r="U50">
        <v>2.3792040000000001</v>
      </c>
      <c r="V50">
        <v>2.3818999999999999</v>
      </c>
      <c r="W50">
        <v>2.3919649999999999</v>
      </c>
      <c r="X50">
        <v>2.3996460000000002</v>
      </c>
      <c r="Y50">
        <v>2.4135409999999999</v>
      </c>
      <c r="Z50">
        <v>2.4237289999999998</v>
      </c>
      <c r="AA50">
        <v>2.439244</v>
      </c>
      <c r="AB50">
        <v>2.450307</v>
      </c>
      <c r="AC50">
        <v>2.466208</v>
      </c>
      <c r="AD50">
        <v>2.4725130000000002</v>
      </c>
      <c r="AE50">
        <v>2.4818229999999999</v>
      </c>
      <c r="AF50">
        <v>2.4900880000000001</v>
      </c>
      <c r="AG50">
        <v>2.4953319999999999</v>
      </c>
      <c r="AH50">
        <v>2.5006179999999998</v>
      </c>
      <c r="AI50">
        <v>2.5045109999999999</v>
      </c>
      <c r="AJ50">
        <v>2.510351</v>
      </c>
      <c r="AK50">
        <v>2.5139749999999998</v>
      </c>
      <c r="AL50">
        <v>2.5176959999999999</v>
      </c>
      <c r="AM50">
        <v>2.5259490000000002</v>
      </c>
      <c r="AN50">
        <v>2.5306250000000001</v>
      </c>
      <c r="AO50" s="4">
        <v>4.0000000000000001E-3</v>
      </c>
    </row>
    <row r="51" spans="1:41" hidden="1" x14ac:dyDescent="0.3">
      <c r="A51" t="s">
        <v>306</v>
      </c>
      <c r="B51" t="s">
        <v>369</v>
      </c>
      <c r="C51" t="s">
        <v>370</v>
      </c>
      <c r="D51" t="s">
        <v>267</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t="s">
        <v>309</v>
      </c>
    </row>
    <row r="52" spans="1:41" hidden="1" x14ac:dyDescent="0.3">
      <c r="A52" t="s">
        <v>274</v>
      </c>
      <c r="B52" t="s">
        <v>371</v>
      </c>
      <c r="C52" t="s">
        <v>372</v>
      </c>
      <c r="D52" t="s">
        <v>267</v>
      </c>
      <c r="F52">
        <v>30.808288999999998</v>
      </c>
      <c r="G52">
        <v>30.930848999999998</v>
      </c>
      <c r="H52">
        <v>31.025559999999999</v>
      </c>
      <c r="I52">
        <v>31.316071000000001</v>
      </c>
      <c r="J52">
        <v>32.004246000000002</v>
      </c>
      <c r="K52">
        <v>31.980791</v>
      </c>
      <c r="L52">
        <v>32.080997000000004</v>
      </c>
      <c r="M52">
        <v>32.151463</v>
      </c>
      <c r="N52">
        <v>32.237456999999999</v>
      </c>
      <c r="O52">
        <v>32.585850000000001</v>
      </c>
      <c r="P52">
        <v>32.690311000000001</v>
      </c>
      <c r="Q52">
        <v>32.753967000000003</v>
      </c>
      <c r="R52">
        <v>32.786625000000001</v>
      </c>
      <c r="S52">
        <v>32.826984000000003</v>
      </c>
      <c r="T52">
        <v>32.901783000000002</v>
      </c>
      <c r="U52">
        <v>32.996613000000004</v>
      </c>
      <c r="V52">
        <v>32.999619000000003</v>
      </c>
      <c r="W52">
        <v>32.980927000000001</v>
      </c>
      <c r="X52">
        <v>32.936619</v>
      </c>
      <c r="Y52">
        <v>32.876114000000001</v>
      </c>
      <c r="Z52">
        <v>32.853676</v>
      </c>
      <c r="AA52">
        <v>32.812922999999998</v>
      </c>
      <c r="AB52">
        <v>32.813774000000002</v>
      </c>
      <c r="AC52">
        <v>32.805743999999997</v>
      </c>
      <c r="AD52">
        <v>32.778564000000003</v>
      </c>
      <c r="AE52">
        <v>32.740971000000002</v>
      </c>
      <c r="AF52">
        <v>32.675578999999999</v>
      </c>
      <c r="AG52">
        <v>32.604030999999999</v>
      </c>
      <c r="AH52">
        <v>32.546391</v>
      </c>
      <c r="AI52">
        <v>32.490806999999997</v>
      </c>
      <c r="AJ52">
        <v>32.377688999999997</v>
      </c>
      <c r="AK52">
        <v>32.345413000000001</v>
      </c>
      <c r="AL52">
        <v>32.398457000000001</v>
      </c>
      <c r="AM52">
        <v>32.361033999999997</v>
      </c>
      <c r="AN52">
        <v>32.171267999999998</v>
      </c>
      <c r="AO52" s="4">
        <v>1E-3</v>
      </c>
    </row>
    <row r="53" spans="1:41" hidden="1" x14ac:dyDescent="0.3">
      <c r="A53" t="s">
        <v>373</v>
      </c>
      <c r="C53" t="s">
        <v>374</v>
      </c>
    </row>
    <row r="54" spans="1:41" hidden="1" x14ac:dyDescent="0.3">
      <c r="A54" t="s">
        <v>375</v>
      </c>
      <c r="C54" t="s">
        <v>376</v>
      </c>
    </row>
    <row r="55" spans="1:41" hidden="1" x14ac:dyDescent="0.3">
      <c r="A55" t="s">
        <v>262</v>
      </c>
      <c r="B55" t="s">
        <v>377</v>
      </c>
      <c r="C55" t="s">
        <v>378</v>
      </c>
      <c r="D55" t="s">
        <v>379</v>
      </c>
      <c r="F55">
        <v>238.65013099999999</v>
      </c>
      <c r="G55">
        <v>240.07025100000001</v>
      </c>
      <c r="H55">
        <v>245.938873</v>
      </c>
      <c r="I55">
        <v>253.06849700000001</v>
      </c>
      <c r="J55">
        <v>259.09155299999998</v>
      </c>
      <c r="K55">
        <v>259.679688</v>
      </c>
      <c r="L55">
        <v>260.65808099999998</v>
      </c>
      <c r="M55">
        <v>262.69897500000002</v>
      </c>
      <c r="N55">
        <v>265.08441199999999</v>
      </c>
      <c r="O55">
        <v>267.31957999999997</v>
      </c>
      <c r="P55">
        <v>268.535034</v>
      </c>
      <c r="Q55">
        <v>269.890289</v>
      </c>
      <c r="R55">
        <v>270.89736900000003</v>
      </c>
      <c r="S55">
        <v>272.754456</v>
      </c>
      <c r="T55">
        <v>273.40280200000001</v>
      </c>
      <c r="U55">
        <v>274.59082000000001</v>
      </c>
      <c r="V55">
        <v>275.30496199999999</v>
      </c>
      <c r="W55">
        <v>276.07461499999999</v>
      </c>
      <c r="X55">
        <v>276.908051</v>
      </c>
      <c r="Y55">
        <v>277.66632099999998</v>
      </c>
      <c r="Z55">
        <v>278.92535400000003</v>
      </c>
      <c r="AA55">
        <v>280.05935699999998</v>
      </c>
      <c r="AB55">
        <v>281.41024800000002</v>
      </c>
      <c r="AC55">
        <v>282.58041400000002</v>
      </c>
      <c r="AD55">
        <v>283.31408699999997</v>
      </c>
      <c r="AE55">
        <v>284.27810699999998</v>
      </c>
      <c r="AF55">
        <v>285.172302</v>
      </c>
      <c r="AG55">
        <v>285.82165500000002</v>
      </c>
      <c r="AH55">
        <v>286.82421900000003</v>
      </c>
      <c r="AI55">
        <v>288.14514200000002</v>
      </c>
      <c r="AJ55">
        <v>288.97607399999998</v>
      </c>
      <c r="AK55">
        <v>290.43463100000002</v>
      </c>
      <c r="AL55">
        <v>292.15731799999998</v>
      </c>
      <c r="AM55">
        <v>293.20159899999999</v>
      </c>
      <c r="AN55">
        <v>293.25543199999998</v>
      </c>
      <c r="AO55" s="4">
        <v>6.0000000000000001E-3</v>
      </c>
    </row>
    <row r="56" spans="1:41" hidden="1" x14ac:dyDescent="0.3">
      <c r="A56" t="s">
        <v>277</v>
      </c>
      <c r="B56" t="s">
        <v>380</v>
      </c>
      <c r="C56" t="s">
        <v>381</v>
      </c>
      <c r="D56" t="s">
        <v>379</v>
      </c>
      <c r="F56">
        <v>182.608902</v>
      </c>
      <c r="G56">
        <v>186.12934899999999</v>
      </c>
      <c r="H56">
        <v>189.838684</v>
      </c>
      <c r="I56">
        <v>193.230209</v>
      </c>
      <c r="J56">
        <v>199.12674000000001</v>
      </c>
      <c r="K56">
        <v>199.682343</v>
      </c>
      <c r="L56">
        <v>201.241074</v>
      </c>
      <c r="M56">
        <v>203.37915000000001</v>
      </c>
      <c r="N56">
        <v>205.435104</v>
      </c>
      <c r="O56">
        <v>208.29231300000001</v>
      </c>
      <c r="P56">
        <v>209.18687399999999</v>
      </c>
      <c r="Q56">
        <v>210.475067</v>
      </c>
      <c r="R56">
        <v>211.45602400000001</v>
      </c>
      <c r="S56">
        <v>212.98225400000001</v>
      </c>
      <c r="T56">
        <v>213.78949</v>
      </c>
      <c r="U56">
        <v>214.93464700000001</v>
      </c>
      <c r="V56">
        <v>215.653854</v>
      </c>
      <c r="W56">
        <v>216.42953499999999</v>
      </c>
      <c r="X56">
        <v>217.22337300000001</v>
      </c>
      <c r="Y56">
        <v>217.98602299999999</v>
      </c>
      <c r="Z56">
        <v>219.26226800000001</v>
      </c>
      <c r="AA56">
        <v>220.426468</v>
      </c>
      <c r="AB56">
        <v>221.856369</v>
      </c>
      <c r="AC56">
        <v>223.21992499999999</v>
      </c>
      <c r="AD56">
        <v>224.26733400000001</v>
      </c>
      <c r="AE56">
        <v>225.489136</v>
      </c>
      <c r="AF56">
        <v>226.724457</v>
      </c>
      <c r="AG56">
        <v>227.96899400000001</v>
      </c>
      <c r="AH56">
        <v>229.318207</v>
      </c>
      <c r="AI56">
        <v>230.917969</v>
      </c>
      <c r="AJ56">
        <v>232.26617400000001</v>
      </c>
      <c r="AK56">
        <v>234.355988</v>
      </c>
      <c r="AL56">
        <v>236.93232699999999</v>
      </c>
      <c r="AM56">
        <v>239.13893100000001</v>
      </c>
      <c r="AN56">
        <v>240.74298099999999</v>
      </c>
      <c r="AO56" s="4">
        <v>8.0000000000000002E-3</v>
      </c>
    </row>
    <row r="57" spans="1:41" hidden="1" x14ac:dyDescent="0.3">
      <c r="A57" t="s">
        <v>290</v>
      </c>
      <c r="B57" t="s">
        <v>382</v>
      </c>
      <c r="C57" t="s">
        <v>383</v>
      </c>
      <c r="D57" t="s">
        <v>379</v>
      </c>
      <c r="F57">
        <v>155.12721300000001</v>
      </c>
      <c r="G57">
        <v>173.36462399999999</v>
      </c>
      <c r="H57">
        <v>178.77654999999999</v>
      </c>
      <c r="I57">
        <v>186.16007999999999</v>
      </c>
      <c r="J57">
        <v>207.41978499999999</v>
      </c>
      <c r="K57">
        <v>216.44366500000001</v>
      </c>
      <c r="L57">
        <v>223.81242399999999</v>
      </c>
      <c r="M57">
        <v>231.31446800000001</v>
      </c>
      <c r="N57">
        <v>239.63098099999999</v>
      </c>
      <c r="O57">
        <v>245.176559</v>
      </c>
      <c r="P57">
        <v>245.908737</v>
      </c>
      <c r="Q57">
        <v>250.18130500000001</v>
      </c>
      <c r="R57">
        <v>254.79225199999999</v>
      </c>
      <c r="S57">
        <v>260.091431</v>
      </c>
      <c r="T57">
        <v>263.59927399999998</v>
      </c>
      <c r="U57">
        <v>268.13519300000002</v>
      </c>
      <c r="V57">
        <v>271.34378099999998</v>
      </c>
      <c r="W57">
        <v>274.97109999999998</v>
      </c>
      <c r="X57">
        <v>278.03308099999998</v>
      </c>
      <c r="Y57">
        <v>280.81921399999999</v>
      </c>
      <c r="Z57">
        <v>284.81753500000002</v>
      </c>
      <c r="AA57">
        <v>289.51135299999999</v>
      </c>
      <c r="AB57">
        <v>295.27688599999999</v>
      </c>
      <c r="AC57">
        <v>298.84845000000001</v>
      </c>
      <c r="AD57">
        <v>301.89996300000001</v>
      </c>
      <c r="AE57">
        <v>305.919983</v>
      </c>
      <c r="AF57">
        <v>308.47799700000002</v>
      </c>
      <c r="AG57">
        <v>310.97943099999998</v>
      </c>
      <c r="AH57">
        <v>313.33291600000001</v>
      </c>
      <c r="AI57">
        <v>316.33145100000002</v>
      </c>
      <c r="AJ57">
        <v>317.98254400000002</v>
      </c>
      <c r="AK57">
        <v>321.09292599999998</v>
      </c>
      <c r="AL57">
        <v>325.02572600000002</v>
      </c>
      <c r="AM57">
        <v>327.767517</v>
      </c>
      <c r="AN57">
        <v>330.93127399999997</v>
      </c>
      <c r="AO57" s="4">
        <v>0.02</v>
      </c>
    </row>
    <row r="58" spans="1:41" hidden="1" x14ac:dyDescent="0.3">
      <c r="A58" t="s">
        <v>312</v>
      </c>
      <c r="B58" t="s">
        <v>384</v>
      </c>
      <c r="C58" t="s">
        <v>385</v>
      </c>
      <c r="D58" t="s">
        <v>379</v>
      </c>
      <c r="F58">
        <v>464.359375</v>
      </c>
      <c r="G58">
        <v>516.011169</v>
      </c>
      <c r="H58">
        <v>522.04083300000002</v>
      </c>
      <c r="I58">
        <v>534.15405299999998</v>
      </c>
      <c r="J58">
        <v>604.91137700000002</v>
      </c>
      <c r="K58">
        <v>632.51257299999997</v>
      </c>
      <c r="L58">
        <v>638.35876499999995</v>
      </c>
      <c r="M58">
        <v>638.00799600000005</v>
      </c>
      <c r="N58">
        <v>639.89129600000001</v>
      </c>
      <c r="O58">
        <v>629.07385299999999</v>
      </c>
      <c r="P58">
        <v>621.04925500000002</v>
      </c>
      <c r="Q58">
        <v>618.01782200000002</v>
      </c>
      <c r="R58">
        <v>617.30310099999997</v>
      </c>
      <c r="S58">
        <v>619.31964100000005</v>
      </c>
      <c r="T58">
        <v>617.78332499999999</v>
      </c>
      <c r="U58">
        <v>622.15472399999999</v>
      </c>
      <c r="V58">
        <v>621.87432899999999</v>
      </c>
      <c r="W58">
        <v>622.95715299999995</v>
      </c>
      <c r="X58">
        <v>626.10180700000001</v>
      </c>
      <c r="Y58">
        <v>627.04193099999998</v>
      </c>
      <c r="Z58">
        <v>628.89538600000003</v>
      </c>
      <c r="AA58">
        <v>638.89227300000005</v>
      </c>
      <c r="AB58">
        <v>642.40234399999997</v>
      </c>
      <c r="AC58">
        <v>647.65130599999998</v>
      </c>
      <c r="AD58">
        <v>653.95263699999998</v>
      </c>
      <c r="AE58">
        <v>660.73736599999995</v>
      </c>
      <c r="AF58">
        <v>665.76916500000004</v>
      </c>
      <c r="AG58">
        <v>671.07586700000002</v>
      </c>
      <c r="AH58">
        <v>676.89843800000006</v>
      </c>
      <c r="AI58">
        <v>682.500854</v>
      </c>
      <c r="AJ58">
        <v>685.08282499999996</v>
      </c>
      <c r="AK58">
        <v>693.82074</v>
      </c>
      <c r="AL58">
        <v>704.44885299999999</v>
      </c>
      <c r="AM58">
        <v>712.01238999999998</v>
      </c>
      <c r="AN58">
        <v>719.99426300000005</v>
      </c>
      <c r="AO58" s="4">
        <v>0.01</v>
      </c>
    </row>
    <row r="59" spans="1:41" hidden="1" x14ac:dyDescent="0.3">
      <c r="A59" t="s">
        <v>386</v>
      </c>
      <c r="B59" t="s">
        <v>387</v>
      </c>
      <c r="C59" t="s">
        <v>388</v>
      </c>
      <c r="D59" t="s">
        <v>379</v>
      </c>
      <c r="F59">
        <v>1040.7456050000001</v>
      </c>
      <c r="G59">
        <v>1115.575439</v>
      </c>
      <c r="H59">
        <v>1136.594971</v>
      </c>
      <c r="I59">
        <v>1166.612793</v>
      </c>
      <c r="J59">
        <v>1270.549438</v>
      </c>
      <c r="K59">
        <v>1308.318237</v>
      </c>
      <c r="L59">
        <v>1324.0703120000001</v>
      </c>
      <c r="M59">
        <v>1335.400635</v>
      </c>
      <c r="N59">
        <v>1350.0417480000001</v>
      </c>
      <c r="O59">
        <v>1349.8623050000001</v>
      </c>
      <c r="P59">
        <v>1344.679932</v>
      </c>
      <c r="Q59">
        <v>1348.564453</v>
      </c>
      <c r="R59">
        <v>1354.4487300000001</v>
      </c>
      <c r="S59">
        <v>1365.1477050000001</v>
      </c>
      <c r="T59">
        <v>1368.5749510000001</v>
      </c>
      <c r="U59">
        <v>1379.8154300000001</v>
      </c>
      <c r="V59">
        <v>1384.1770019999999</v>
      </c>
      <c r="W59">
        <v>1390.4323730000001</v>
      </c>
      <c r="X59">
        <v>1398.266357</v>
      </c>
      <c r="Y59">
        <v>1403.513428</v>
      </c>
      <c r="Z59">
        <v>1411.900513</v>
      </c>
      <c r="AA59">
        <v>1428.889404</v>
      </c>
      <c r="AB59">
        <v>1440.9458010000001</v>
      </c>
      <c r="AC59">
        <v>1452.3000489999999</v>
      </c>
      <c r="AD59">
        <v>1463.434082</v>
      </c>
      <c r="AE59">
        <v>1476.424561</v>
      </c>
      <c r="AF59">
        <v>1486.1439210000001</v>
      </c>
      <c r="AG59">
        <v>1495.845947</v>
      </c>
      <c r="AH59">
        <v>1506.373779</v>
      </c>
      <c r="AI59">
        <v>1517.8953859999999</v>
      </c>
      <c r="AJ59">
        <v>1524.3076169999999</v>
      </c>
      <c r="AK59">
        <v>1539.704346</v>
      </c>
      <c r="AL59">
        <v>1558.5642089999999</v>
      </c>
      <c r="AM59">
        <v>1572.120361</v>
      </c>
      <c r="AN59">
        <v>1584.9239500000001</v>
      </c>
      <c r="AO59" s="4">
        <v>1.0999999999999999E-2</v>
      </c>
    </row>
    <row r="60" spans="1:41" hidden="1" x14ac:dyDescent="0.3">
      <c r="A60" t="s">
        <v>389</v>
      </c>
      <c r="B60" t="s">
        <v>390</v>
      </c>
      <c r="C60" t="s">
        <v>391</v>
      </c>
      <c r="D60" t="s">
        <v>379</v>
      </c>
      <c r="F60">
        <v>0.17480100000000001</v>
      </c>
      <c r="G60">
        <v>0.22597700000000001</v>
      </c>
      <c r="H60">
        <v>1.137284</v>
      </c>
      <c r="I60">
        <v>1.4648410000000001</v>
      </c>
      <c r="J60">
        <v>1.919527</v>
      </c>
      <c r="K60">
        <v>2.365367</v>
      </c>
      <c r="L60">
        <v>2.8924820000000002</v>
      </c>
      <c r="M60">
        <v>3.8533620000000002</v>
      </c>
      <c r="N60">
        <v>4.8348190000000004</v>
      </c>
      <c r="O60">
        <v>5.635103</v>
      </c>
      <c r="P60">
        <v>5.7709789999999996</v>
      </c>
      <c r="Q60">
        <v>6.1499220000000001</v>
      </c>
      <c r="R60">
        <v>6.341132</v>
      </c>
      <c r="S60">
        <v>6.5222769999999999</v>
      </c>
      <c r="T60">
        <v>6.6434639999999998</v>
      </c>
      <c r="U60">
        <v>6.5494729999999999</v>
      </c>
      <c r="V60">
        <v>6.5565239999999996</v>
      </c>
      <c r="W60">
        <v>6.755147</v>
      </c>
      <c r="X60">
        <v>7.0047670000000002</v>
      </c>
      <c r="Y60">
        <v>7.2120189999999997</v>
      </c>
      <c r="Z60">
        <v>7.3240790000000002</v>
      </c>
      <c r="AA60">
        <v>7.5685529999999996</v>
      </c>
      <c r="AB60">
        <v>7.6767300000000001</v>
      </c>
      <c r="AC60">
        <v>7.7508980000000003</v>
      </c>
      <c r="AD60">
        <v>7.7693760000000003</v>
      </c>
      <c r="AE60">
        <v>7.7158280000000001</v>
      </c>
      <c r="AF60">
        <v>7.6128179999999999</v>
      </c>
      <c r="AG60">
        <v>7.4736469999999997</v>
      </c>
      <c r="AH60">
        <v>7.1666990000000004</v>
      </c>
      <c r="AI60">
        <v>7.2505769999999998</v>
      </c>
      <c r="AJ60">
        <v>7.2566100000000002</v>
      </c>
      <c r="AK60">
        <v>7.1433460000000002</v>
      </c>
      <c r="AL60">
        <v>6.4801780000000004</v>
      </c>
      <c r="AM60">
        <v>5.5938730000000003</v>
      </c>
      <c r="AN60">
        <v>5.3882849999999998</v>
      </c>
      <c r="AO60" s="4">
        <v>0.10100000000000001</v>
      </c>
    </row>
    <row r="61" spans="1:41" hidden="1" x14ac:dyDescent="0.3">
      <c r="A61" t="s">
        <v>392</v>
      </c>
      <c r="B61" t="s">
        <v>393</v>
      </c>
      <c r="C61" t="s">
        <v>394</v>
      </c>
      <c r="D61" t="s">
        <v>379</v>
      </c>
      <c r="F61">
        <v>1040.9204099999999</v>
      </c>
      <c r="G61">
        <v>1115.8013920000001</v>
      </c>
      <c r="H61">
        <v>1137.7322999999999</v>
      </c>
      <c r="I61">
        <v>1168.0776370000001</v>
      </c>
      <c r="J61">
        <v>1272.4689940000001</v>
      </c>
      <c r="K61">
        <v>1310.6835940000001</v>
      </c>
      <c r="L61">
        <v>1326.962769</v>
      </c>
      <c r="M61">
        <v>1339.2540280000001</v>
      </c>
      <c r="N61">
        <v>1354.876587</v>
      </c>
      <c r="O61">
        <v>1355.497437</v>
      </c>
      <c r="P61">
        <v>1350.450928</v>
      </c>
      <c r="Q61">
        <v>1354.7143550000001</v>
      </c>
      <c r="R61">
        <v>1360.7899170000001</v>
      </c>
      <c r="S61">
        <v>1371.669922</v>
      </c>
      <c r="T61">
        <v>1375.218384</v>
      </c>
      <c r="U61">
        <v>1386.3648679999999</v>
      </c>
      <c r="V61">
        <v>1390.7335210000001</v>
      </c>
      <c r="W61">
        <v>1397.1875</v>
      </c>
      <c r="X61">
        <v>1405.2711179999999</v>
      </c>
      <c r="Y61">
        <v>1410.7254640000001</v>
      </c>
      <c r="Z61">
        <v>1419.2246090000001</v>
      </c>
      <c r="AA61">
        <v>1436.4580080000001</v>
      </c>
      <c r="AB61">
        <v>1448.6225589999999</v>
      </c>
      <c r="AC61">
        <v>1460.0509030000001</v>
      </c>
      <c r="AD61">
        <v>1471.203491</v>
      </c>
      <c r="AE61">
        <v>1484.1403809999999</v>
      </c>
      <c r="AF61">
        <v>1493.7567140000001</v>
      </c>
      <c r="AG61">
        <v>1503.3195800000001</v>
      </c>
      <c r="AH61">
        <v>1513.5405270000001</v>
      </c>
      <c r="AI61">
        <v>1525.145996</v>
      </c>
      <c r="AJ61">
        <v>1531.5642089999999</v>
      </c>
      <c r="AK61">
        <v>1546.8476559999999</v>
      </c>
      <c r="AL61">
        <v>1565.0444339999999</v>
      </c>
      <c r="AM61">
        <v>1577.7142329999999</v>
      </c>
      <c r="AN61">
        <v>1590.3122559999999</v>
      </c>
      <c r="AO61" s="4">
        <v>1.0999999999999999E-2</v>
      </c>
    </row>
    <row r="62" spans="1:41" hidden="1" x14ac:dyDescent="0.3">
      <c r="A62" t="s">
        <v>395</v>
      </c>
      <c r="C62" t="s">
        <v>396</v>
      </c>
    </row>
    <row r="63" spans="1:41" x14ac:dyDescent="0.3">
      <c r="A63" t="s">
        <v>262</v>
      </c>
      <c r="C63" t="s">
        <v>397</v>
      </c>
      <c r="E63" s="247" t="s">
        <v>504</v>
      </c>
    </row>
    <row r="64" spans="1:41" x14ac:dyDescent="0.3">
      <c r="A64" s="243" t="s">
        <v>264</v>
      </c>
      <c r="B64" s="243" t="s">
        <v>398</v>
      </c>
      <c r="C64" t="s">
        <v>399</v>
      </c>
      <c r="D64" t="s">
        <v>400</v>
      </c>
      <c r="E64" s="248">
        <v>0.25</v>
      </c>
      <c r="F64">
        <v>16.277653000000001</v>
      </c>
      <c r="G64">
        <v>17.287089999999999</v>
      </c>
      <c r="H64">
        <v>16.741167000000001</v>
      </c>
      <c r="I64">
        <v>17.259253000000001</v>
      </c>
      <c r="J64">
        <v>18.591650000000001</v>
      </c>
      <c r="K64">
        <v>19.389011</v>
      </c>
      <c r="L64">
        <v>20.169373</v>
      </c>
      <c r="M64">
        <v>20.934401999999999</v>
      </c>
      <c r="N64">
        <v>21.808637999999998</v>
      </c>
      <c r="O64">
        <v>22.406970999999999</v>
      </c>
      <c r="P64">
        <v>22.991479999999999</v>
      </c>
      <c r="Q64">
        <v>23.561921999999999</v>
      </c>
      <c r="R64">
        <v>24.184231</v>
      </c>
      <c r="S64">
        <v>25.044900999999999</v>
      </c>
      <c r="T64">
        <v>25.711604999999999</v>
      </c>
      <c r="U64">
        <v>26.544447000000002</v>
      </c>
      <c r="V64">
        <v>27.488356</v>
      </c>
      <c r="W64">
        <v>28.425823000000001</v>
      </c>
      <c r="X64">
        <v>29.319969</v>
      </c>
      <c r="Y64">
        <v>30.313393000000001</v>
      </c>
      <c r="Z64">
        <v>31.362669</v>
      </c>
      <c r="AA64">
        <v>32.228839999999998</v>
      </c>
      <c r="AB64">
        <v>33.518265</v>
      </c>
      <c r="AC64">
        <v>34.530987000000003</v>
      </c>
      <c r="AD64">
        <v>35.529311999999997</v>
      </c>
      <c r="AE64">
        <v>36.669659000000003</v>
      </c>
      <c r="AF64">
        <v>37.787345999999999</v>
      </c>
      <c r="AG64">
        <v>39.028599</v>
      </c>
      <c r="AH64">
        <v>40.231524999999998</v>
      </c>
      <c r="AI64">
        <v>41.600268999999997</v>
      </c>
      <c r="AJ64">
        <v>42.873859000000003</v>
      </c>
      <c r="AK64">
        <v>44.259780999999997</v>
      </c>
      <c r="AL64">
        <v>45.808937</v>
      </c>
      <c r="AM64">
        <v>47.376838999999997</v>
      </c>
      <c r="AN64">
        <v>48.856934000000003</v>
      </c>
      <c r="AO64" s="4">
        <v>3.2000000000000001E-2</v>
      </c>
    </row>
    <row r="65" spans="1:41" x14ac:dyDescent="0.3">
      <c r="A65" s="243" t="s">
        <v>268</v>
      </c>
      <c r="B65" s="243" t="s">
        <v>401</v>
      </c>
      <c r="C65" t="s">
        <v>402</v>
      </c>
      <c r="D65" t="s">
        <v>400</v>
      </c>
      <c r="E65" s="248">
        <v>0.57999999999999996</v>
      </c>
      <c r="F65">
        <v>15.341448</v>
      </c>
      <c r="G65">
        <v>18.190905000000001</v>
      </c>
      <c r="H65">
        <v>19.295019</v>
      </c>
      <c r="I65">
        <v>20.562076999999999</v>
      </c>
      <c r="J65">
        <v>24.606487000000001</v>
      </c>
      <c r="K65">
        <v>26.964468</v>
      </c>
      <c r="L65">
        <v>28.526990999999999</v>
      </c>
      <c r="M65">
        <v>30.068228000000001</v>
      </c>
      <c r="N65">
        <v>31.154121</v>
      </c>
      <c r="O65">
        <v>32.167403999999998</v>
      </c>
      <c r="P65">
        <v>32.985416000000001</v>
      </c>
      <c r="Q65">
        <v>34.083302000000003</v>
      </c>
      <c r="R65">
        <v>35.188296999999999</v>
      </c>
      <c r="S65">
        <v>36.416190999999998</v>
      </c>
      <c r="T65">
        <v>37.497962999999999</v>
      </c>
      <c r="U65">
        <v>38.798560999999999</v>
      </c>
      <c r="V65">
        <v>39.899543999999999</v>
      </c>
      <c r="W65">
        <v>41.172096000000003</v>
      </c>
      <c r="X65">
        <v>42.525894000000001</v>
      </c>
      <c r="Y65">
        <v>43.706814000000001</v>
      </c>
      <c r="Z65">
        <v>44.891556000000001</v>
      </c>
      <c r="AA65">
        <v>46.694274999999998</v>
      </c>
      <c r="AB65">
        <v>47.975861000000002</v>
      </c>
      <c r="AC65">
        <v>49.440178000000003</v>
      </c>
      <c r="AD65">
        <v>50.896487999999998</v>
      </c>
      <c r="AE65">
        <v>52.436520000000002</v>
      </c>
      <c r="AF65">
        <v>53.701920000000001</v>
      </c>
      <c r="AG65">
        <v>55.078533</v>
      </c>
      <c r="AH65">
        <v>56.413505999999998</v>
      </c>
      <c r="AI65">
        <v>57.902659999999997</v>
      </c>
      <c r="AJ65">
        <v>59.148330999999999</v>
      </c>
      <c r="AK65">
        <v>60.834834999999998</v>
      </c>
      <c r="AL65">
        <v>62.603439000000002</v>
      </c>
      <c r="AM65">
        <v>63.969718999999998</v>
      </c>
      <c r="AN65">
        <v>65.720284000000007</v>
      </c>
      <c r="AO65" s="4">
        <v>0.04</v>
      </c>
    </row>
    <row r="66" spans="1:41" x14ac:dyDescent="0.3">
      <c r="A66" s="243" t="s">
        <v>271</v>
      </c>
      <c r="B66" s="243" t="s">
        <v>403</v>
      </c>
      <c r="C66" t="s">
        <v>404</v>
      </c>
      <c r="D66" t="s">
        <v>400</v>
      </c>
      <c r="E66" s="248">
        <v>0.17</v>
      </c>
      <c r="F66">
        <v>9.7571809999999992</v>
      </c>
      <c r="G66">
        <v>10.773175999999999</v>
      </c>
      <c r="H66">
        <v>10.621758</v>
      </c>
      <c r="I66">
        <v>11.286785</v>
      </c>
      <c r="J66">
        <v>11.876884</v>
      </c>
      <c r="K66">
        <v>12.289895</v>
      </c>
      <c r="L66">
        <v>12.703951999999999</v>
      </c>
      <c r="M66">
        <v>13.294888</v>
      </c>
      <c r="N66">
        <v>14.019716000000001</v>
      </c>
      <c r="O66">
        <v>14.541395</v>
      </c>
      <c r="P66">
        <v>14.920074</v>
      </c>
      <c r="Q66">
        <v>15.354200000000001</v>
      </c>
      <c r="R66">
        <v>15.688805</v>
      </c>
      <c r="S66">
        <v>16.232379999999999</v>
      </c>
      <c r="T66">
        <v>16.580508999999999</v>
      </c>
      <c r="U66">
        <v>16.991672999999999</v>
      </c>
      <c r="V66">
        <v>17.422108000000001</v>
      </c>
      <c r="W66">
        <v>17.867211999999999</v>
      </c>
      <c r="X66">
        <v>18.325393999999999</v>
      </c>
      <c r="Y66">
        <v>18.792282</v>
      </c>
      <c r="Z66">
        <v>19.391089999999998</v>
      </c>
      <c r="AA66">
        <v>19.933330999999999</v>
      </c>
      <c r="AB66">
        <v>20.4998</v>
      </c>
      <c r="AC66">
        <v>21.05039</v>
      </c>
      <c r="AD66">
        <v>21.600926999999999</v>
      </c>
      <c r="AE66">
        <v>22.217759999999998</v>
      </c>
      <c r="AF66">
        <v>22.918268000000001</v>
      </c>
      <c r="AG66">
        <v>23.519037000000001</v>
      </c>
      <c r="AH66">
        <v>24.175732</v>
      </c>
      <c r="AI66">
        <v>24.931524</v>
      </c>
      <c r="AJ66">
        <v>25.673731</v>
      </c>
      <c r="AK66">
        <v>26.437525000000001</v>
      </c>
      <c r="AL66">
        <v>27.231590000000001</v>
      </c>
      <c r="AM66">
        <v>28.104996</v>
      </c>
      <c r="AN66">
        <v>28.988371000000001</v>
      </c>
      <c r="AO66" s="4">
        <v>0.03</v>
      </c>
    </row>
    <row r="67" spans="1:41" ht="15" thickBot="1" x14ac:dyDescent="0.35">
      <c r="A67" t="s">
        <v>274</v>
      </c>
      <c r="B67" t="s">
        <v>405</v>
      </c>
      <c r="C67" t="s">
        <v>406</v>
      </c>
      <c r="D67" t="s">
        <v>400</v>
      </c>
      <c r="E67" s="247"/>
      <c r="F67">
        <v>36.815944999999999</v>
      </c>
      <c r="G67">
        <v>37.117286999999997</v>
      </c>
      <c r="H67">
        <v>37.907527999999999</v>
      </c>
      <c r="I67">
        <v>39.829810999999999</v>
      </c>
      <c r="J67">
        <v>42.061508000000003</v>
      </c>
      <c r="K67">
        <v>43.359375</v>
      </c>
      <c r="L67">
        <v>44.650531999999998</v>
      </c>
      <c r="M67">
        <v>46.062804999999997</v>
      </c>
      <c r="N67">
        <v>47.480063999999999</v>
      </c>
      <c r="O67">
        <v>49.120055999999998</v>
      </c>
      <c r="P67">
        <v>50.484985000000002</v>
      </c>
      <c r="Q67">
        <v>51.777442999999998</v>
      </c>
      <c r="R67">
        <v>52.998131000000001</v>
      </c>
      <c r="S67">
        <v>54.226753000000002</v>
      </c>
      <c r="T67">
        <v>55.555861999999998</v>
      </c>
      <c r="U67">
        <v>56.989306999999997</v>
      </c>
      <c r="V67">
        <v>58.311565000000002</v>
      </c>
      <c r="W67">
        <v>59.655681999999999</v>
      </c>
      <c r="X67">
        <v>60.942081000000002</v>
      </c>
      <c r="Y67">
        <v>62.232536000000003</v>
      </c>
      <c r="Z67">
        <v>63.603577000000001</v>
      </c>
      <c r="AA67">
        <v>65.011116000000001</v>
      </c>
      <c r="AB67">
        <v>66.530991</v>
      </c>
      <c r="AC67">
        <v>68.065291999999999</v>
      </c>
      <c r="AD67">
        <v>69.662102000000004</v>
      </c>
      <c r="AE67">
        <v>71.297424000000007</v>
      </c>
      <c r="AF67">
        <v>72.885574000000005</v>
      </c>
      <c r="AG67">
        <v>74.493256000000002</v>
      </c>
      <c r="AH67">
        <v>76.201201999999995</v>
      </c>
      <c r="AI67">
        <v>77.989806999999999</v>
      </c>
      <c r="AJ67">
        <v>79.673743999999999</v>
      </c>
      <c r="AK67">
        <v>81.645484999999994</v>
      </c>
      <c r="AL67">
        <v>83.899353000000005</v>
      </c>
      <c r="AM67">
        <v>85.932075999999995</v>
      </c>
      <c r="AN67">
        <v>87.556426999999999</v>
      </c>
      <c r="AO67" s="4">
        <v>2.5999999999999999E-2</v>
      </c>
    </row>
    <row r="68" spans="1:41" ht="15" thickBot="1" x14ac:dyDescent="0.35">
      <c r="A68" t="s">
        <v>277</v>
      </c>
      <c r="C68" t="s">
        <v>407</v>
      </c>
      <c r="E68" s="247" t="s">
        <v>505</v>
      </c>
      <c r="F68" s="244">
        <f>SUMPRODUCT($E$64:$E$66,F64:F66)</f>
        <v>14.62617386</v>
      </c>
      <c r="G68" s="245">
        <f t="shared" ref="G68:AN68" si="0">SUMPRODUCT($E$64:$E$66,G64:G66)</f>
        <v>16.703937320000001</v>
      </c>
      <c r="H68" s="245">
        <f t="shared" si="0"/>
        <v>17.182101629999998</v>
      </c>
      <c r="I68" s="245">
        <f t="shared" si="0"/>
        <v>18.159571359999997</v>
      </c>
      <c r="J68" s="245">
        <f t="shared" si="0"/>
        <v>20.938745240000003</v>
      </c>
      <c r="K68" s="245">
        <f t="shared" si="0"/>
        <v>22.575926339999999</v>
      </c>
      <c r="L68" s="245">
        <f t="shared" si="0"/>
        <v>23.747669870000003</v>
      </c>
      <c r="M68" s="245">
        <f t="shared" si="0"/>
        <v>24.9333037</v>
      </c>
      <c r="N68" s="245">
        <f t="shared" si="0"/>
        <v>25.9049014</v>
      </c>
      <c r="O68" s="245">
        <f t="shared" si="0"/>
        <v>26.730874219999997</v>
      </c>
      <c r="P68" s="245">
        <f t="shared" si="0"/>
        <v>27.41582386</v>
      </c>
      <c r="Q68" s="245">
        <f t="shared" si="0"/>
        <v>28.269009659999998</v>
      </c>
      <c r="R68" s="245">
        <f t="shared" si="0"/>
        <v>29.122366859999996</v>
      </c>
      <c r="S68" s="245">
        <f t="shared" si="0"/>
        <v>30.142120629999997</v>
      </c>
      <c r="T68" s="245">
        <f t="shared" si="0"/>
        <v>30.995406320000001</v>
      </c>
      <c r="U68" s="245">
        <f t="shared" si="0"/>
        <v>32.027861540000004</v>
      </c>
      <c r="V68" s="245">
        <f t="shared" si="0"/>
        <v>32.975582879999997</v>
      </c>
      <c r="W68" s="245">
        <f t="shared" si="0"/>
        <v>34.023697470000002</v>
      </c>
      <c r="X68" s="245">
        <f t="shared" si="0"/>
        <v>35.110327750000003</v>
      </c>
      <c r="Y68" s="245">
        <f t="shared" si="0"/>
        <v>36.122988309999997</v>
      </c>
      <c r="Z68" s="245">
        <f t="shared" si="0"/>
        <v>37.174255029999998</v>
      </c>
      <c r="AA68" s="245">
        <f t="shared" si="0"/>
        <v>38.528555769999997</v>
      </c>
      <c r="AB68" s="245">
        <f t="shared" si="0"/>
        <v>39.690531629999995</v>
      </c>
      <c r="AC68" s="245">
        <f t="shared" si="0"/>
        <v>40.886616289999999</v>
      </c>
      <c r="AD68" s="245">
        <f t="shared" si="0"/>
        <v>42.074448629999992</v>
      </c>
      <c r="AE68" s="245">
        <f t="shared" si="0"/>
        <v>43.357615549999998</v>
      </c>
      <c r="AF68" s="245">
        <f t="shared" si="0"/>
        <v>44.490055660000003</v>
      </c>
      <c r="AG68" s="245">
        <f t="shared" si="0"/>
        <v>45.700935179999995</v>
      </c>
      <c r="AH68" s="245">
        <f t="shared" si="0"/>
        <v>46.887589169999998</v>
      </c>
      <c r="AI68" s="245">
        <f t="shared" si="0"/>
        <v>48.221969129999998</v>
      </c>
      <c r="AJ68" s="245">
        <f t="shared" si="0"/>
        <v>49.389031000000003</v>
      </c>
      <c r="AK68" s="245">
        <f t="shared" si="0"/>
        <v>50.843528800000001</v>
      </c>
      <c r="AL68" s="245">
        <f t="shared" si="0"/>
        <v>52.391599169999999</v>
      </c>
      <c r="AM68" s="245">
        <f t="shared" si="0"/>
        <v>53.724496089999995</v>
      </c>
      <c r="AN68" s="246">
        <f t="shared" si="0"/>
        <v>55.260021290000005</v>
      </c>
    </row>
    <row r="69" spans="1:41" x14ac:dyDescent="0.3">
      <c r="A69" t="s">
        <v>264</v>
      </c>
      <c r="B69" t="s">
        <v>408</v>
      </c>
      <c r="C69" t="s">
        <v>409</v>
      </c>
      <c r="D69" t="s">
        <v>400</v>
      </c>
      <c r="F69">
        <v>14.559847</v>
      </c>
      <c r="G69">
        <v>15.444172999999999</v>
      </c>
      <c r="H69">
        <v>14.982381</v>
      </c>
      <c r="I69">
        <v>15.442548</v>
      </c>
      <c r="J69">
        <v>16.606544</v>
      </c>
      <c r="K69">
        <v>17.307859000000001</v>
      </c>
      <c r="L69">
        <v>17.994541000000002</v>
      </c>
      <c r="M69">
        <v>18.669564999999999</v>
      </c>
      <c r="N69">
        <v>19.485341999999999</v>
      </c>
      <c r="O69">
        <v>20.017744</v>
      </c>
      <c r="P69">
        <v>20.537281</v>
      </c>
      <c r="Q69">
        <v>21.043333000000001</v>
      </c>
      <c r="R69">
        <v>21.594218999999999</v>
      </c>
      <c r="S69">
        <v>22.357600999999999</v>
      </c>
      <c r="T69">
        <v>22.948263000000001</v>
      </c>
      <c r="U69">
        <v>23.681683</v>
      </c>
      <c r="V69">
        <v>24.512535</v>
      </c>
      <c r="W69">
        <v>25.337762999999999</v>
      </c>
      <c r="X69">
        <v>26.125921000000002</v>
      </c>
      <c r="Y69">
        <v>27.000651999999999</v>
      </c>
      <c r="Z69">
        <v>27.924713000000001</v>
      </c>
      <c r="AA69">
        <v>28.689900999999999</v>
      </c>
      <c r="AB69">
        <v>29.821676</v>
      </c>
      <c r="AC69">
        <v>30.714706</v>
      </c>
      <c r="AD69">
        <v>31.595866999999998</v>
      </c>
      <c r="AE69">
        <v>32.600098000000003</v>
      </c>
      <c r="AF69">
        <v>33.585495000000002</v>
      </c>
      <c r="AG69">
        <v>34.678246000000001</v>
      </c>
      <c r="AH69">
        <v>35.738419</v>
      </c>
      <c r="AI69">
        <v>36.942557999999998</v>
      </c>
      <c r="AJ69">
        <v>38.065418000000001</v>
      </c>
      <c r="AK69">
        <v>39.284824</v>
      </c>
      <c r="AL69">
        <v>40.647697000000001</v>
      </c>
      <c r="AM69">
        <v>42.025871000000002</v>
      </c>
      <c r="AN69">
        <v>43.329371999999999</v>
      </c>
      <c r="AO69" s="4">
        <v>3.2000000000000001E-2</v>
      </c>
    </row>
    <row r="70" spans="1:41" x14ac:dyDescent="0.3">
      <c r="A70" t="s">
        <v>268</v>
      </c>
      <c r="B70" t="s">
        <v>410</v>
      </c>
      <c r="C70" t="s">
        <v>411</v>
      </c>
      <c r="D70" t="s">
        <v>400</v>
      </c>
      <c r="F70">
        <v>13.522738</v>
      </c>
      <c r="G70">
        <v>16.037226</v>
      </c>
      <c r="H70">
        <v>16.992857000000001</v>
      </c>
      <c r="I70">
        <v>17.717890000000001</v>
      </c>
      <c r="J70">
        <v>21.170469000000001</v>
      </c>
      <c r="K70">
        <v>22.930669999999999</v>
      </c>
      <c r="L70">
        <v>23.851631000000001</v>
      </c>
      <c r="M70">
        <v>24.721788</v>
      </c>
      <c r="N70">
        <v>25.935299000000001</v>
      </c>
      <c r="O70">
        <v>26.818773</v>
      </c>
      <c r="P70">
        <v>27.526188000000001</v>
      </c>
      <c r="Q70">
        <v>28.491018</v>
      </c>
      <c r="R70">
        <v>29.476765</v>
      </c>
      <c r="S70">
        <v>30.611350999999999</v>
      </c>
      <c r="T70">
        <v>31.563461</v>
      </c>
      <c r="U70">
        <v>32.732143000000001</v>
      </c>
      <c r="V70">
        <v>33.692574</v>
      </c>
      <c r="W70">
        <v>34.823405999999999</v>
      </c>
      <c r="X70">
        <v>36.027889000000002</v>
      </c>
      <c r="Y70">
        <v>37.067768000000001</v>
      </c>
      <c r="Z70">
        <v>38.101097000000003</v>
      </c>
      <c r="AA70">
        <v>39.740634999999997</v>
      </c>
      <c r="AB70">
        <v>40.858581999999998</v>
      </c>
      <c r="AC70">
        <v>42.146248</v>
      </c>
      <c r="AD70">
        <v>43.427768999999998</v>
      </c>
      <c r="AE70">
        <v>44.787292000000001</v>
      </c>
      <c r="AF70">
        <v>45.873074000000003</v>
      </c>
      <c r="AG70">
        <v>47.044238999999997</v>
      </c>
      <c r="AH70">
        <v>48.177647</v>
      </c>
      <c r="AI70">
        <v>49.466991</v>
      </c>
      <c r="AJ70">
        <v>50.504429000000002</v>
      </c>
      <c r="AK70">
        <v>51.962497999999997</v>
      </c>
      <c r="AL70">
        <v>53.495162999999998</v>
      </c>
      <c r="AM70">
        <v>54.621772999999997</v>
      </c>
      <c r="AN70">
        <v>56.133651999999998</v>
      </c>
      <c r="AO70" s="4">
        <v>3.9E-2</v>
      </c>
    </row>
    <row r="71" spans="1:41" x14ac:dyDescent="0.3">
      <c r="A71" t="s">
        <v>283</v>
      </c>
      <c r="B71" t="s">
        <v>412</v>
      </c>
      <c r="C71" t="s">
        <v>413</v>
      </c>
      <c r="D71" t="s">
        <v>400</v>
      </c>
      <c r="F71">
        <v>5.1837590000000002</v>
      </c>
      <c r="G71">
        <v>7.0451119999999996</v>
      </c>
      <c r="H71">
        <v>7.1166619999999998</v>
      </c>
      <c r="I71">
        <v>7.9470090000000004</v>
      </c>
      <c r="J71">
        <v>10.944831000000001</v>
      </c>
      <c r="K71">
        <v>12.265717</v>
      </c>
      <c r="L71">
        <v>12.868413</v>
      </c>
      <c r="M71">
        <v>13.350483000000001</v>
      </c>
      <c r="N71">
        <v>13.775365000000001</v>
      </c>
      <c r="O71">
        <v>14.126139999999999</v>
      </c>
      <c r="P71">
        <v>14.736362</v>
      </c>
      <c r="Q71">
        <v>15.330602000000001</v>
      </c>
      <c r="R71">
        <v>15.867758</v>
      </c>
      <c r="S71">
        <v>16.603107000000001</v>
      </c>
      <c r="T71">
        <v>17.206012999999999</v>
      </c>
      <c r="U71">
        <v>17.962824000000001</v>
      </c>
      <c r="V71">
        <v>18.556099</v>
      </c>
      <c r="W71">
        <v>19.256841999999999</v>
      </c>
      <c r="X71">
        <v>19.938053</v>
      </c>
      <c r="Y71">
        <v>20.684291999999999</v>
      </c>
      <c r="Z71">
        <v>21.264631000000001</v>
      </c>
      <c r="AA71">
        <v>22.339566999999999</v>
      </c>
      <c r="AB71">
        <v>23.075945000000001</v>
      </c>
      <c r="AC71">
        <v>23.916685000000001</v>
      </c>
      <c r="AD71">
        <v>24.739431</v>
      </c>
      <c r="AE71">
        <v>25.595955</v>
      </c>
      <c r="AF71">
        <v>26.354437000000001</v>
      </c>
      <c r="AG71">
        <v>27.099270000000001</v>
      </c>
      <c r="AH71">
        <v>27.759868999999998</v>
      </c>
      <c r="AI71">
        <v>28.518208999999999</v>
      </c>
      <c r="AJ71">
        <v>29.231881999999999</v>
      </c>
      <c r="AK71">
        <v>30.030798000000001</v>
      </c>
      <c r="AL71">
        <v>30.951758999999999</v>
      </c>
      <c r="AM71">
        <v>32.023108999999998</v>
      </c>
      <c r="AN71">
        <v>33.196323</v>
      </c>
      <c r="AO71" s="4">
        <v>4.8000000000000001E-2</v>
      </c>
    </row>
    <row r="72" spans="1:41" x14ac:dyDescent="0.3">
      <c r="A72" t="s">
        <v>271</v>
      </c>
      <c r="B72" t="s">
        <v>414</v>
      </c>
      <c r="C72" t="s">
        <v>415</v>
      </c>
      <c r="D72" t="s">
        <v>400</v>
      </c>
      <c r="F72">
        <v>7.1107319999999996</v>
      </c>
      <c r="G72">
        <v>7.8182229999999997</v>
      </c>
      <c r="H72">
        <v>7.8469939999999996</v>
      </c>
      <c r="I72">
        <v>8.4076900000000006</v>
      </c>
      <c r="J72">
        <v>8.9934139999999996</v>
      </c>
      <c r="K72">
        <v>9.4210829999999994</v>
      </c>
      <c r="L72">
        <v>9.8612479999999998</v>
      </c>
      <c r="M72">
        <v>10.476029</v>
      </c>
      <c r="N72">
        <v>11.04547</v>
      </c>
      <c r="O72">
        <v>11.454788000000001</v>
      </c>
      <c r="P72">
        <v>11.728189</v>
      </c>
      <c r="Q72">
        <v>12.059478</v>
      </c>
      <c r="R72">
        <v>12.293797</v>
      </c>
      <c r="S72">
        <v>12.726093000000001</v>
      </c>
      <c r="T72">
        <v>12.967688000000001</v>
      </c>
      <c r="U72">
        <v>13.269997</v>
      </c>
      <c r="V72">
        <v>13.587379</v>
      </c>
      <c r="W72">
        <v>13.913894000000001</v>
      </c>
      <c r="X72">
        <v>14.248239999999999</v>
      </c>
      <c r="Y72">
        <v>14.587834000000001</v>
      </c>
      <c r="Z72">
        <v>15.052527</v>
      </c>
      <c r="AA72">
        <v>15.455920000000001</v>
      </c>
      <c r="AB72">
        <v>15.882993000000001</v>
      </c>
      <c r="AC72">
        <v>16.293403999999999</v>
      </c>
      <c r="AD72">
        <v>16.702812000000002</v>
      </c>
      <c r="AE72">
        <v>17.175045000000001</v>
      </c>
      <c r="AF72">
        <v>17.728138000000001</v>
      </c>
      <c r="AG72">
        <v>18.178051</v>
      </c>
      <c r="AH72">
        <v>18.682130999999998</v>
      </c>
      <c r="AI72">
        <v>19.277484999999999</v>
      </c>
      <c r="AJ72">
        <v>19.856123</v>
      </c>
      <c r="AK72">
        <v>20.451543999999998</v>
      </c>
      <c r="AL72">
        <v>21.070862000000002</v>
      </c>
      <c r="AM72">
        <v>21.763967999999998</v>
      </c>
      <c r="AN72">
        <v>22.460011000000002</v>
      </c>
      <c r="AO72" s="4">
        <v>3.2000000000000001E-2</v>
      </c>
    </row>
    <row r="73" spans="1:41" x14ac:dyDescent="0.3">
      <c r="A73" t="s">
        <v>274</v>
      </c>
      <c r="B73" t="s">
        <v>416</v>
      </c>
      <c r="C73" t="s">
        <v>417</v>
      </c>
      <c r="D73" t="s">
        <v>400</v>
      </c>
      <c r="F73">
        <v>30.694607000000001</v>
      </c>
      <c r="G73">
        <v>31.321059999999999</v>
      </c>
      <c r="H73">
        <v>32.205787999999998</v>
      </c>
      <c r="I73">
        <v>33.115929000000001</v>
      </c>
      <c r="J73">
        <v>34.798755999999997</v>
      </c>
      <c r="K73">
        <v>35.534053999999998</v>
      </c>
      <c r="L73">
        <v>36.541038999999998</v>
      </c>
      <c r="M73">
        <v>37.519531000000001</v>
      </c>
      <c r="N73">
        <v>38.508450000000003</v>
      </c>
      <c r="O73">
        <v>39.892859999999999</v>
      </c>
      <c r="P73">
        <v>40.904522</v>
      </c>
      <c r="Q73">
        <v>41.921978000000003</v>
      </c>
      <c r="R73">
        <v>42.856583000000001</v>
      </c>
      <c r="S73">
        <v>43.786579000000003</v>
      </c>
      <c r="T73">
        <v>44.806773999999997</v>
      </c>
      <c r="U73">
        <v>45.862769999999998</v>
      </c>
      <c r="V73">
        <v>46.798865999999997</v>
      </c>
      <c r="W73">
        <v>47.750660000000003</v>
      </c>
      <c r="X73">
        <v>48.706752999999999</v>
      </c>
      <c r="Y73">
        <v>49.679580999999999</v>
      </c>
      <c r="Z73">
        <v>50.757420000000003</v>
      </c>
      <c r="AA73">
        <v>51.810943999999999</v>
      </c>
      <c r="AB73">
        <v>52.977032000000001</v>
      </c>
      <c r="AC73">
        <v>54.143859999999997</v>
      </c>
      <c r="AD73">
        <v>55.321941000000002</v>
      </c>
      <c r="AE73">
        <v>56.503779999999999</v>
      </c>
      <c r="AF73">
        <v>57.658397999999998</v>
      </c>
      <c r="AG73">
        <v>58.88147</v>
      </c>
      <c r="AH73">
        <v>60.112845999999998</v>
      </c>
      <c r="AI73">
        <v>61.366669000000002</v>
      </c>
      <c r="AJ73">
        <v>62.550049000000001</v>
      </c>
      <c r="AK73">
        <v>63.961739000000001</v>
      </c>
      <c r="AL73">
        <v>65.604042000000007</v>
      </c>
      <c r="AM73">
        <v>67.082397</v>
      </c>
      <c r="AN73">
        <v>68.300124999999994</v>
      </c>
      <c r="AO73" s="4">
        <v>2.4E-2</v>
      </c>
    </row>
    <row r="74" spans="1:41" x14ac:dyDescent="0.3">
      <c r="A74" t="s">
        <v>290</v>
      </c>
      <c r="C74" t="s">
        <v>418</v>
      </c>
    </row>
    <row r="75" spans="1:41" x14ac:dyDescent="0.3">
      <c r="A75" t="s">
        <v>264</v>
      </c>
      <c r="B75" t="s">
        <v>419</v>
      </c>
      <c r="C75" t="s">
        <v>420</v>
      </c>
      <c r="D75" t="s">
        <v>400</v>
      </c>
      <c r="F75">
        <v>11.471981</v>
      </c>
      <c r="G75">
        <v>12.419774</v>
      </c>
      <c r="H75">
        <v>11.727169999999999</v>
      </c>
      <c r="I75">
        <v>12.129690999999999</v>
      </c>
      <c r="J75">
        <v>13.349494</v>
      </c>
      <c r="K75">
        <v>14.02632</v>
      </c>
      <c r="L75">
        <v>14.685662000000001</v>
      </c>
      <c r="M75">
        <v>15.320948</v>
      </c>
      <c r="N75">
        <v>15.856676999999999</v>
      </c>
      <c r="O75">
        <v>16.316079999999999</v>
      </c>
      <c r="P75">
        <v>16.762985</v>
      </c>
      <c r="Q75">
        <v>17.1938</v>
      </c>
      <c r="R75">
        <v>17.681047</v>
      </c>
      <c r="S75">
        <v>18.377873999999998</v>
      </c>
      <c r="T75">
        <v>18.904325</v>
      </c>
      <c r="U75">
        <v>19.595272000000001</v>
      </c>
      <c r="V75">
        <v>20.395508</v>
      </c>
      <c r="W75">
        <v>21.183406999999999</v>
      </c>
      <c r="X75">
        <v>21.921406000000001</v>
      </c>
      <c r="Y75">
        <v>22.755676000000001</v>
      </c>
      <c r="Z75">
        <v>23.640761999999999</v>
      </c>
      <c r="AA75">
        <v>24.333152999999999</v>
      </c>
      <c r="AB75">
        <v>25.456530000000001</v>
      </c>
      <c r="AC75">
        <v>26.289626999999999</v>
      </c>
      <c r="AD75">
        <v>27.101372000000001</v>
      </c>
      <c r="AE75">
        <v>28.051600000000001</v>
      </c>
      <c r="AF75">
        <v>28.971222000000001</v>
      </c>
      <c r="AG75">
        <v>30.008717000000001</v>
      </c>
      <c r="AH75">
        <v>30.998546999999999</v>
      </c>
      <c r="AI75">
        <v>32.149619999999999</v>
      </c>
      <c r="AJ75">
        <v>33.196209000000003</v>
      </c>
      <c r="AK75">
        <v>34.348846000000002</v>
      </c>
      <c r="AL75">
        <v>35.657963000000002</v>
      </c>
      <c r="AM75">
        <v>36.979312999999998</v>
      </c>
      <c r="AN75">
        <v>38.199748999999997</v>
      </c>
      <c r="AO75" s="4">
        <v>3.5000000000000003E-2</v>
      </c>
    </row>
    <row r="76" spans="1:41" x14ac:dyDescent="0.3">
      <c r="A76" t="s">
        <v>268</v>
      </c>
      <c r="B76" t="s">
        <v>421</v>
      </c>
      <c r="C76" t="s">
        <v>422</v>
      </c>
      <c r="D76" t="s">
        <v>400</v>
      </c>
      <c r="F76">
        <v>13.502984</v>
      </c>
      <c r="G76">
        <v>16.010017000000001</v>
      </c>
      <c r="H76">
        <v>16.985847</v>
      </c>
      <c r="I76">
        <v>17.644905000000001</v>
      </c>
      <c r="J76">
        <v>21.038257999999999</v>
      </c>
      <c r="K76">
        <v>22.774629999999998</v>
      </c>
      <c r="L76">
        <v>23.677088000000001</v>
      </c>
      <c r="M76">
        <v>24.560749000000001</v>
      </c>
      <c r="N76">
        <v>25.547267999999999</v>
      </c>
      <c r="O76">
        <v>26.460070000000002</v>
      </c>
      <c r="P76">
        <v>27.181837000000002</v>
      </c>
      <c r="Q76">
        <v>28.146889000000002</v>
      </c>
      <c r="R76">
        <v>29.149325999999999</v>
      </c>
      <c r="S76">
        <v>30.237804000000001</v>
      </c>
      <c r="T76">
        <v>31.193069000000001</v>
      </c>
      <c r="U76">
        <v>32.357680999999999</v>
      </c>
      <c r="V76">
        <v>33.300190000000001</v>
      </c>
      <c r="W76">
        <v>34.431347000000002</v>
      </c>
      <c r="X76">
        <v>35.640179000000003</v>
      </c>
      <c r="Y76">
        <v>36.692664999999998</v>
      </c>
      <c r="Z76">
        <v>37.733212000000002</v>
      </c>
      <c r="AA76">
        <v>39.364421999999998</v>
      </c>
      <c r="AB76">
        <v>40.485053999999998</v>
      </c>
      <c r="AC76">
        <v>41.762034999999997</v>
      </c>
      <c r="AD76">
        <v>43.038879000000001</v>
      </c>
      <c r="AE76">
        <v>44.393084999999999</v>
      </c>
      <c r="AF76">
        <v>45.477657000000001</v>
      </c>
      <c r="AG76">
        <v>46.631839999999997</v>
      </c>
      <c r="AH76">
        <v>47.752583000000001</v>
      </c>
      <c r="AI76">
        <v>49.048779000000003</v>
      </c>
      <c r="AJ76">
        <v>50.089458</v>
      </c>
      <c r="AK76">
        <v>51.535266999999997</v>
      </c>
      <c r="AL76">
        <v>53.032046999999999</v>
      </c>
      <c r="AM76">
        <v>54.118771000000002</v>
      </c>
      <c r="AN76">
        <v>55.624554000000003</v>
      </c>
      <c r="AO76" s="4">
        <v>3.7999999999999999E-2</v>
      </c>
    </row>
    <row r="77" spans="1:41" x14ac:dyDescent="0.3">
      <c r="A77" t="s">
        <v>283</v>
      </c>
      <c r="B77" t="s">
        <v>423</v>
      </c>
      <c r="C77" t="s">
        <v>424</v>
      </c>
      <c r="D77" t="s">
        <v>400</v>
      </c>
      <c r="F77">
        <v>4.909198</v>
      </c>
      <c r="G77">
        <v>6.6671880000000003</v>
      </c>
      <c r="H77">
        <v>6.7468029999999999</v>
      </c>
      <c r="I77">
        <v>7.8390230000000001</v>
      </c>
      <c r="J77">
        <v>11.297184</v>
      </c>
      <c r="K77">
        <v>13.120635999999999</v>
      </c>
      <c r="L77">
        <v>14.260422</v>
      </c>
      <c r="M77">
        <v>15.299765000000001</v>
      </c>
      <c r="N77">
        <v>15.77984</v>
      </c>
      <c r="O77">
        <v>16.177261000000001</v>
      </c>
      <c r="P77">
        <v>16.835203</v>
      </c>
      <c r="Q77">
        <v>17.473984000000002</v>
      </c>
      <c r="R77">
        <v>18.054689</v>
      </c>
      <c r="S77">
        <v>18.833808999999999</v>
      </c>
      <c r="T77">
        <v>19.476189000000002</v>
      </c>
      <c r="U77">
        <v>20.275656000000001</v>
      </c>
      <c r="V77">
        <v>20.912043000000001</v>
      </c>
      <c r="W77">
        <v>21.658826999999999</v>
      </c>
      <c r="X77">
        <v>22.387886000000002</v>
      </c>
      <c r="Y77">
        <v>23.153100999999999</v>
      </c>
      <c r="Z77">
        <v>23.762581000000001</v>
      </c>
      <c r="AA77">
        <v>24.891739000000001</v>
      </c>
      <c r="AB77">
        <v>25.679079000000002</v>
      </c>
      <c r="AC77">
        <v>26.575346</v>
      </c>
      <c r="AD77">
        <v>27.454875999999999</v>
      </c>
      <c r="AE77">
        <v>28.368517000000001</v>
      </c>
      <c r="AF77">
        <v>29.183456</v>
      </c>
      <c r="AG77">
        <v>30.010157</v>
      </c>
      <c r="AH77">
        <v>30.768414</v>
      </c>
      <c r="AI77">
        <v>31.588455</v>
      </c>
      <c r="AJ77">
        <v>32.216568000000002</v>
      </c>
      <c r="AK77">
        <v>33.086799999999997</v>
      </c>
      <c r="AL77">
        <v>34.189964000000003</v>
      </c>
      <c r="AM77">
        <v>35.155056000000002</v>
      </c>
      <c r="AN77">
        <v>36.451599000000002</v>
      </c>
      <c r="AO77" s="4">
        <v>5.2999999999999999E-2</v>
      </c>
    </row>
    <row r="78" spans="1:41" x14ac:dyDescent="0.3">
      <c r="A78" t="s">
        <v>271</v>
      </c>
      <c r="B78" t="s">
        <v>425</v>
      </c>
      <c r="C78" t="s">
        <v>426</v>
      </c>
      <c r="D78" t="s">
        <v>400</v>
      </c>
      <c r="F78">
        <v>3.4100329999999999</v>
      </c>
      <c r="G78">
        <v>3.951238</v>
      </c>
      <c r="H78">
        <v>4.1048229999999997</v>
      </c>
      <c r="I78">
        <v>4.5406930000000001</v>
      </c>
      <c r="J78">
        <v>4.9230989999999997</v>
      </c>
      <c r="K78">
        <v>5.0050299999999996</v>
      </c>
      <c r="L78">
        <v>5.160825</v>
      </c>
      <c r="M78">
        <v>5.4349059999999998</v>
      </c>
      <c r="N78">
        <v>5.6720280000000001</v>
      </c>
      <c r="O78">
        <v>5.9568729999999999</v>
      </c>
      <c r="P78">
        <v>6.1370360000000002</v>
      </c>
      <c r="Q78">
        <v>6.3317399999999999</v>
      </c>
      <c r="R78">
        <v>6.4729000000000001</v>
      </c>
      <c r="S78">
        <v>6.6929400000000001</v>
      </c>
      <c r="T78">
        <v>6.8330909999999996</v>
      </c>
      <c r="U78">
        <v>6.9840489999999997</v>
      </c>
      <c r="V78">
        <v>7.1528299999999998</v>
      </c>
      <c r="W78">
        <v>7.3075970000000003</v>
      </c>
      <c r="X78">
        <v>7.4816409999999998</v>
      </c>
      <c r="Y78">
        <v>7.6441509999999999</v>
      </c>
      <c r="Z78">
        <v>7.9624870000000003</v>
      </c>
      <c r="AA78">
        <v>8.1691450000000003</v>
      </c>
      <c r="AB78">
        <v>8.4539580000000001</v>
      </c>
      <c r="AC78">
        <v>8.7190250000000002</v>
      </c>
      <c r="AD78">
        <v>8.9630259999999993</v>
      </c>
      <c r="AE78">
        <v>9.2327539999999999</v>
      </c>
      <c r="AF78">
        <v>9.5597110000000001</v>
      </c>
      <c r="AG78">
        <v>9.8573310000000003</v>
      </c>
      <c r="AH78">
        <v>10.187162000000001</v>
      </c>
      <c r="AI78">
        <v>10.531902000000001</v>
      </c>
      <c r="AJ78">
        <v>10.88669</v>
      </c>
      <c r="AK78">
        <v>11.256897</v>
      </c>
      <c r="AL78">
        <v>11.707564</v>
      </c>
      <c r="AM78">
        <v>12.14292</v>
      </c>
      <c r="AN78">
        <v>12.630902000000001</v>
      </c>
      <c r="AO78" s="4">
        <v>3.5999999999999997E-2</v>
      </c>
    </row>
    <row r="79" spans="1:41" x14ac:dyDescent="0.3">
      <c r="A79" t="s">
        <v>300</v>
      </c>
      <c r="B79" t="s">
        <v>427</v>
      </c>
      <c r="C79" t="s">
        <v>428</v>
      </c>
      <c r="D79" t="s">
        <v>400</v>
      </c>
      <c r="F79">
        <v>4.2285810000000001</v>
      </c>
      <c r="G79">
        <v>4.2371480000000004</v>
      </c>
      <c r="H79">
        <v>4.2631420000000002</v>
      </c>
      <c r="I79">
        <v>4.4284270000000001</v>
      </c>
      <c r="J79">
        <v>4.6260089999999998</v>
      </c>
      <c r="K79">
        <v>4.7798280000000002</v>
      </c>
      <c r="L79">
        <v>4.9564459999999997</v>
      </c>
      <c r="M79">
        <v>5.1525650000000001</v>
      </c>
      <c r="N79">
        <v>5.3418559999999999</v>
      </c>
      <c r="O79">
        <v>5.5300320000000003</v>
      </c>
      <c r="P79">
        <v>5.6955900000000002</v>
      </c>
      <c r="Q79">
        <v>5.8425079999999996</v>
      </c>
      <c r="R79">
        <v>5.9781399999999998</v>
      </c>
      <c r="S79">
        <v>6.1222269999999996</v>
      </c>
      <c r="T79">
        <v>6.2776100000000001</v>
      </c>
      <c r="U79">
        <v>6.4405390000000002</v>
      </c>
      <c r="V79">
        <v>6.6078640000000002</v>
      </c>
      <c r="W79">
        <v>6.7850970000000004</v>
      </c>
      <c r="X79">
        <v>6.9551420000000004</v>
      </c>
      <c r="Y79">
        <v>7.1498970000000002</v>
      </c>
      <c r="Z79">
        <v>7.3407489999999997</v>
      </c>
      <c r="AA79">
        <v>7.5377039999999997</v>
      </c>
      <c r="AB79">
        <v>7.7379939999999996</v>
      </c>
      <c r="AC79">
        <v>7.9342240000000004</v>
      </c>
      <c r="AD79">
        <v>8.1494420000000005</v>
      </c>
      <c r="AE79">
        <v>8.3779990000000009</v>
      </c>
      <c r="AF79">
        <v>8.5975610000000007</v>
      </c>
      <c r="AG79">
        <v>8.8418550000000007</v>
      </c>
      <c r="AH79">
        <v>9.1017019999999995</v>
      </c>
      <c r="AI79">
        <v>9.3854570000000006</v>
      </c>
      <c r="AJ79">
        <v>9.6790889999999994</v>
      </c>
      <c r="AK79">
        <v>9.9918250000000004</v>
      </c>
      <c r="AL79">
        <v>10.329154000000001</v>
      </c>
      <c r="AM79">
        <v>10.667631</v>
      </c>
      <c r="AN79">
        <v>11.028432</v>
      </c>
      <c r="AO79" s="4">
        <v>2.9000000000000001E-2</v>
      </c>
    </row>
    <row r="80" spans="1:41" x14ac:dyDescent="0.3">
      <c r="A80" t="s">
        <v>303</v>
      </c>
      <c r="B80" t="s">
        <v>429</v>
      </c>
      <c r="C80" t="s">
        <v>430</v>
      </c>
      <c r="D80" t="s">
        <v>400</v>
      </c>
      <c r="F80">
        <v>3.244068</v>
      </c>
      <c r="G80">
        <v>3.261285</v>
      </c>
      <c r="H80">
        <v>3.3441999999999998</v>
      </c>
      <c r="I80">
        <v>3.4801419999999998</v>
      </c>
      <c r="J80">
        <v>3.6100099999999999</v>
      </c>
      <c r="K80">
        <v>3.720164</v>
      </c>
      <c r="L80">
        <v>3.8168419999999998</v>
      </c>
      <c r="M80">
        <v>3.91066</v>
      </c>
      <c r="N80">
        <v>4.0096670000000003</v>
      </c>
      <c r="O80">
        <v>4.1208619999999998</v>
      </c>
      <c r="P80">
        <v>4.2249499999999998</v>
      </c>
      <c r="Q80">
        <v>4.3108719999999998</v>
      </c>
      <c r="R80">
        <v>4.3932380000000002</v>
      </c>
      <c r="S80">
        <v>4.4726759999999999</v>
      </c>
      <c r="T80">
        <v>4.5720999999999998</v>
      </c>
      <c r="U80">
        <v>4.6682790000000001</v>
      </c>
      <c r="V80">
        <v>4.7607140000000001</v>
      </c>
      <c r="W80">
        <v>4.862158</v>
      </c>
      <c r="X80">
        <v>4.9622510000000002</v>
      </c>
      <c r="Y80">
        <v>5.0764230000000001</v>
      </c>
      <c r="Z80">
        <v>5.1895980000000002</v>
      </c>
      <c r="AA80">
        <v>5.3304349999999996</v>
      </c>
      <c r="AB80">
        <v>5.4608100000000004</v>
      </c>
      <c r="AC80">
        <v>5.6059089999999996</v>
      </c>
      <c r="AD80">
        <v>5.7461159999999998</v>
      </c>
      <c r="AE80">
        <v>5.9026719999999999</v>
      </c>
      <c r="AF80">
        <v>6.073264</v>
      </c>
      <c r="AG80">
        <v>6.2424600000000003</v>
      </c>
      <c r="AH80">
        <v>6.4073310000000001</v>
      </c>
      <c r="AI80">
        <v>6.5878209999999999</v>
      </c>
      <c r="AJ80">
        <v>6.7672610000000004</v>
      </c>
      <c r="AK80">
        <v>6.9583849999999998</v>
      </c>
      <c r="AL80">
        <v>7.1578970000000002</v>
      </c>
      <c r="AM80">
        <v>7.362311</v>
      </c>
      <c r="AN80">
        <v>7.5803529999999997</v>
      </c>
      <c r="AO80" s="4">
        <v>2.5999999999999999E-2</v>
      </c>
    </row>
    <row r="81" spans="1:41" x14ac:dyDescent="0.3">
      <c r="A81" t="s">
        <v>306</v>
      </c>
      <c r="B81" t="s">
        <v>431</v>
      </c>
      <c r="C81" t="s">
        <v>432</v>
      </c>
      <c r="D81" t="s">
        <v>400</v>
      </c>
      <c r="F81">
        <v>0</v>
      </c>
      <c r="G81">
        <v>0</v>
      </c>
      <c r="H81">
        <v>0</v>
      </c>
      <c r="I81">
        <v>0</v>
      </c>
      <c r="J81">
        <v>0</v>
      </c>
      <c r="K81">
        <v>0</v>
      </c>
      <c r="L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c r="AL81">
        <v>0</v>
      </c>
      <c r="AM81">
        <v>0</v>
      </c>
      <c r="AN81">
        <v>0</v>
      </c>
      <c r="AO81" t="s">
        <v>309</v>
      </c>
    </row>
    <row r="82" spans="1:41" x14ac:dyDescent="0.3">
      <c r="A82" t="s">
        <v>274</v>
      </c>
      <c r="B82" t="s">
        <v>433</v>
      </c>
      <c r="C82" t="s">
        <v>434</v>
      </c>
      <c r="D82" t="s">
        <v>400</v>
      </c>
      <c r="F82">
        <v>19.856387999999999</v>
      </c>
      <c r="G82">
        <v>21.383452999999999</v>
      </c>
      <c r="H82">
        <v>21.938824</v>
      </c>
      <c r="I82">
        <v>22.136761</v>
      </c>
      <c r="J82">
        <v>23.100753999999998</v>
      </c>
      <c r="K82">
        <v>23.602851999999999</v>
      </c>
      <c r="L82">
        <v>24.235529</v>
      </c>
      <c r="M82">
        <v>24.790593999999999</v>
      </c>
      <c r="N82">
        <v>25.434694</v>
      </c>
      <c r="O82">
        <v>26.362013000000001</v>
      </c>
      <c r="P82">
        <v>27.018034</v>
      </c>
      <c r="Q82">
        <v>27.640381000000001</v>
      </c>
      <c r="R82">
        <v>28.249027000000002</v>
      </c>
      <c r="S82">
        <v>28.869554999999998</v>
      </c>
      <c r="T82">
        <v>29.523486999999999</v>
      </c>
      <c r="U82">
        <v>30.24736</v>
      </c>
      <c r="V82">
        <v>30.874832000000001</v>
      </c>
      <c r="W82">
        <v>31.485855000000001</v>
      </c>
      <c r="X82">
        <v>32.130989</v>
      </c>
      <c r="Y82">
        <v>32.789741999999997</v>
      </c>
      <c r="Z82">
        <v>33.528171999999998</v>
      </c>
      <c r="AA82">
        <v>34.249454</v>
      </c>
      <c r="AB82">
        <v>35.026676000000002</v>
      </c>
      <c r="AC82">
        <v>35.819941999999998</v>
      </c>
      <c r="AD82">
        <v>36.584671</v>
      </c>
      <c r="AE82">
        <v>37.374881999999999</v>
      </c>
      <c r="AF82">
        <v>38.184314999999998</v>
      </c>
      <c r="AG82">
        <v>39.004162000000001</v>
      </c>
      <c r="AH82">
        <v>39.895336</v>
      </c>
      <c r="AI82">
        <v>40.808098000000001</v>
      </c>
      <c r="AJ82">
        <v>41.683418000000003</v>
      </c>
      <c r="AK82">
        <v>42.633361999999998</v>
      </c>
      <c r="AL82">
        <v>43.784916000000003</v>
      </c>
      <c r="AM82">
        <v>44.892924999999998</v>
      </c>
      <c r="AN82">
        <v>45.862717000000004</v>
      </c>
      <c r="AO82" s="4">
        <v>2.3E-2</v>
      </c>
    </row>
    <row r="83" spans="1:41" x14ac:dyDescent="0.3">
      <c r="A83" t="s">
        <v>312</v>
      </c>
      <c r="C83" t="s">
        <v>435</v>
      </c>
    </row>
    <row r="84" spans="1:41" x14ac:dyDescent="0.3">
      <c r="A84" t="s">
        <v>264</v>
      </c>
      <c r="B84" t="s">
        <v>436</v>
      </c>
      <c r="C84" t="s">
        <v>437</v>
      </c>
      <c r="D84" t="s">
        <v>400</v>
      </c>
      <c r="F84">
        <v>17.435032</v>
      </c>
      <c r="G84">
        <v>18.474964</v>
      </c>
      <c r="H84">
        <v>17.948162</v>
      </c>
      <c r="I84">
        <v>18.498114000000001</v>
      </c>
      <c r="J84">
        <v>19.864547999999999</v>
      </c>
      <c r="K84">
        <v>20.691095000000001</v>
      </c>
      <c r="L84">
        <v>21.501729999999998</v>
      </c>
      <c r="M84">
        <v>22.297015999999999</v>
      </c>
      <c r="N84">
        <v>23.633194</v>
      </c>
      <c r="O84">
        <v>24.265637999999999</v>
      </c>
      <c r="P84">
        <v>24.888335999999999</v>
      </c>
      <c r="Q84">
        <v>25.490755</v>
      </c>
      <c r="R84">
        <v>26.144793</v>
      </c>
      <c r="S84">
        <v>27.101455999999999</v>
      </c>
      <c r="T84">
        <v>27.802637000000001</v>
      </c>
      <c r="U84">
        <v>28.670828</v>
      </c>
      <c r="V84">
        <v>29.652494000000001</v>
      </c>
      <c r="W84">
        <v>30.628349</v>
      </c>
      <c r="X84">
        <v>31.560245999999999</v>
      </c>
      <c r="Y84">
        <v>32.595219</v>
      </c>
      <c r="Z84">
        <v>33.693600000000004</v>
      </c>
      <c r="AA84">
        <v>34.603214000000001</v>
      </c>
      <c r="AB84">
        <v>35.943644999999997</v>
      </c>
      <c r="AC84">
        <v>37.005405000000003</v>
      </c>
      <c r="AD84">
        <v>38.052363999999997</v>
      </c>
      <c r="AE84">
        <v>39.243343000000003</v>
      </c>
      <c r="AF84">
        <v>40.412799999999997</v>
      </c>
      <c r="AG84">
        <v>41.708832000000001</v>
      </c>
      <c r="AH84">
        <v>42.966994999999997</v>
      </c>
      <c r="AI84">
        <v>44.393261000000003</v>
      </c>
      <c r="AJ84">
        <v>45.725960000000001</v>
      </c>
      <c r="AK84">
        <v>47.169635999999997</v>
      </c>
      <c r="AL84">
        <v>48.779578999999998</v>
      </c>
      <c r="AM84">
        <v>50.410583000000003</v>
      </c>
      <c r="AN84">
        <v>51.954692999999999</v>
      </c>
      <c r="AO84" s="4">
        <v>3.2000000000000001E-2</v>
      </c>
    </row>
    <row r="85" spans="1:41" ht="15" thickBot="1" x14ac:dyDescent="0.35">
      <c r="A85" t="s">
        <v>316</v>
      </c>
      <c r="B85" t="s">
        <v>438</v>
      </c>
      <c r="C85" t="s">
        <v>439</v>
      </c>
      <c r="D85" t="s">
        <v>400</v>
      </c>
      <c r="F85">
        <v>20.452584999999999</v>
      </c>
      <c r="G85">
        <v>22.286798000000001</v>
      </c>
      <c r="H85">
        <v>29.754711</v>
      </c>
      <c r="I85">
        <v>30.055136000000001</v>
      </c>
      <c r="J85">
        <v>33.950206999999999</v>
      </c>
      <c r="K85">
        <v>36.169677999999998</v>
      </c>
      <c r="L85">
        <v>35.618385000000004</v>
      </c>
      <c r="M85">
        <v>33.956257000000001</v>
      </c>
      <c r="N85">
        <v>33.440959999999997</v>
      </c>
      <c r="O85">
        <v>31.474222000000001</v>
      </c>
      <c r="P85">
        <v>31.479154999999999</v>
      </c>
      <c r="Q85">
        <v>31.136590999999999</v>
      </c>
      <c r="R85">
        <v>31.524847000000001</v>
      </c>
      <c r="S85">
        <v>32.253368000000002</v>
      </c>
      <c r="T85">
        <v>32.640315999999999</v>
      </c>
      <c r="U85">
        <v>34.448977999999997</v>
      </c>
      <c r="V85">
        <v>35.354464999999998</v>
      </c>
      <c r="W85">
        <v>35.678145999999998</v>
      </c>
      <c r="X85">
        <v>36.214618999999999</v>
      </c>
      <c r="Y85">
        <v>36.641575000000003</v>
      </c>
      <c r="Z85">
        <v>37.415844</v>
      </c>
      <c r="AA85">
        <v>38.914169000000001</v>
      </c>
      <c r="AB85">
        <v>40.058880000000002</v>
      </c>
      <c r="AC85">
        <v>41.608806999999999</v>
      </c>
      <c r="AD85">
        <v>43.508465000000001</v>
      </c>
      <c r="AE85">
        <v>45.528179000000002</v>
      </c>
      <c r="AF85">
        <v>47.657103999999997</v>
      </c>
      <c r="AG85">
        <v>49.805889000000001</v>
      </c>
      <c r="AH85">
        <v>52.622687999999997</v>
      </c>
      <c r="AI85">
        <v>54.023384</v>
      </c>
      <c r="AJ85">
        <v>55.240360000000003</v>
      </c>
      <c r="AK85">
        <v>57.795535999999998</v>
      </c>
      <c r="AL85">
        <v>62.693905000000001</v>
      </c>
      <c r="AM85">
        <v>68.388535000000005</v>
      </c>
      <c r="AN85">
        <v>71.409492</v>
      </c>
      <c r="AO85" s="4">
        <v>3.5999999999999997E-2</v>
      </c>
    </row>
    <row r="86" spans="1:41" ht="15" thickBot="1" x14ac:dyDescent="0.35">
      <c r="A86" s="243" t="s">
        <v>319</v>
      </c>
      <c r="B86" s="243" t="s">
        <v>440</v>
      </c>
      <c r="C86" s="243" t="s">
        <v>441</v>
      </c>
      <c r="D86" s="243" t="s">
        <v>400</v>
      </c>
      <c r="E86" s="243"/>
      <c r="F86" s="244">
        <v>18.793102000000001</v>
      </c>
      <c r="G86" s="245">
        <v>20.800454999999999</v>
      </c>
      <c r="H86" s="245">
        <v>20.956721999999999</v>
      </c>
      <c r="I86" s="245">
        <v>22.001801</v>
      </c>
      <c r="J86" s="245">
        <v>25.704908</v>
      </c>
      <c r="K86" s="245">
        <v>27.916779999999999</v>
      </c>
      <c r="L86" s="245">
        <v>29.296676999999999</v>
      </c>
      <c r="M86" s="245">
        <v>30.566793000000001</v>
      </c>
      <c r="N86" s="245">
        <v>31.977440000000001</v>
      </c>
      <c r="O86" s="245">
        <v>32.680824000000001</v>
      </c>
      <c r="P86" s="245">
        <v>33.422255999999997</v>
      </c>
      <c r="Q86" s="245">
        <v>34.388832000000001</v>
      </c>
      <c r="R86" s="245">
        <v>35.431190000000001</v>
      </c>
      <c r="S86" s="245">
        <v>36.569595</v>
      </c>
      <c r="T86" s="245">
        <v>37.501862000000003</v>
      </c>
      <c r="U86" s="245">
        <v>38.812041999999998</v>
      </c>
      <c r="V86" s="245">
        <v>39.828747</v>
      </c>
      <c r="W86" s="245">
        <v>40.922770999999997</v>
      </c>
      <c r="X86" s="245">
        <v>42.205855999999997</v>
      </c>
      <c r="Y86" s="245">
        <v>43.332023999999997</v>
      </c>
      <c r="Z86" s="245">
        <v>44.422356000000001</v>
      </c>
      <c r="AA86" s="245">
        <v>46.125988</v>
      </c>
      <c r="AB86" s="245">
        <v>47.367531</v>
      </c>
      <c r="AC86" s="245">
        <v>48.741444000000001</v>
      </c>
      <c r="AD86" s="245">
        <v>50.219867999999998</v>
      </c>
      <c r="AE86" s="245">
        <v>51.676315000000002</v>
      </c>
      <c r="AF86" s="245">
        <v>53.130530999999998</v>
      </c>
      <c r="AG86" s="245">
        <v>54.544102000000002</v>
      </c>
      <c r="AH86" s="245">
        <v>56.011538999999999</v>
      </c>
      <c r="AI86" s="245">
        <v>57.542633000000002</v>
      </c>
      <c r="AJ86" s="245">
        <v>58.776085000000002</v>
      </c>
      <c r="AK86" s="245">
        <v>60.566814000000001</v>
      </c>
      <c r="AL86" s="245">
        <v>62.467503000000001</v>
      </c>
      <c r="AM86" s="245">
        <v>64.184471000000002</v>
      </c>
      <c r="AN86" s="245">
        <v>66.018187999999995</v>
      </c>
      <c r="AO86" s="249">
        <v>3.5999999999999997E-2</v>
      </c>
    </row>
    <row r="87" spans="1:41" x14ac:dyDescent="0.3">
      <c r="A87" t="s">
        <v>322</v>
      </c>
      <c r="B87" t="s">
        <v>442</v>
      </c>
      <c r="C87" t="s">
        <v>443</v>
      </c>
      <c r="D87" t="s">
        <v>400</v>
      </c>
      <c r="F87">
        <v>9.8084410000000002</v>
      </c>
      <c r="G87">
        <v>11.947901999999999</v>
      </c>
      <c r="H87">
        <v>12.530483</v>
      </c>
      <c r="I87">
        <v>13.678243</v>
      </c>
      <c r="J87">
        <v>17.546206000000002</v>
      </c>
      <c r="K87">
        <v>19.490535999999999</v>
      </c>
      <c r="L87">
        <v>20.513179999999998</v>
      </c>
      <c r="M87">
        <v>21.417524</v>
      </c>
      <c r="N87">
        <v>22.311513999999999</v>
      </c>
      <c r="O87">
        <v>22.994479999999999</v>
      </c>
      <c r="P87">
        <v>23.615627</v>
      </c>
      <c r="Q87">
        <v>24.483553000000001</v>
      </c>
      <c r="R87">
        <v>25.376106</v>
      </c>
      <c r="S87">
        <v>26.510223</v>
      </c>
      <c r="T87">
        <v>27.400686</v>
      </c>
      <c r="U87">
        <v>28.580666999999998</v>
      </c>
      <c r="V87">
        <v>29.538661999999999</v>
      </c>
      <c r="W87">
        <v>30.659116999999998</v>
      </c>
      <c r="X87">
        <v>31.762089</v>
      </c>
      <c r="Y87">
        <v>32.719203999999998</v>
      </c>
      <c r="Z87">
        <v>33.726520999999998</v>
      </c>
      <c r="AA87">
        <v>35.371879999999997</v>
      </c>
      <c r="AB87">
        <v>36.498936</v>
      </c>
      <c r="AC87">
        <v>37.722484999999999</v>
      </c>
      <c r="AD87">
        <v>38.978805999999999</v>
      </c>
      <c r="AE87">
        <v>40.336475</v>
      </c>
      <c r="AF87">
        <v>41.436892999999998</v>
      </c>
      <c r="AG87">
        <v>42.670250000000003</v>
      </c>
      <c r="AH87">
        <v>43.900986000000003</v>
      </c>
      <c r="AI87">
        <v>45.154170999999998</v>
      </c>
      <c r="AJ87">
        <v>46.21331</v>
      </c>
      <c r="AK87">
        <v>47.717182000000001</v>
      </c>
      <c r="AL87">
        <v>49.449630999999997</v>
      </c>
      <c r="AM87">
        <v>50.930728999999999</v>
      </c>
      <c r="AN87">
        <v>52.459682000000001</v>
      </c>
      <c r="AO87" s="4">
        <v>4.5999999999999999E-2</v>
      </c>
    </row>
    <row r="88" spans="1:41" x14ac:dyDescent="0.3">
      <c r="A88" t="s">
        <v>325</v>
      </c>
      <c r="B88" t="s">
        <v>444</v>
      </c>
      <c r="C88" t="s">
        <v>445</v>
      </c>
      <c r="D88" t="s">
        <v>400</v>
      </c>
      <c r="F88">
        <v>16.926736999999999</v>
      </c>
      <c r="G88">
        <v>19.293282999999999</v>
      </c>
      <c r="H88">
        <v>20.398465999999999</v>
      </c>
      <c r="I88">
        <v>21.135897</v>
      </c>
      <c r="J88">
        <v>24.632764999999999</v>
      </c>
      <c r="K88">
        <v>26.508137000000001</v>
      </c>
      <c r="L88">
        <v>27.588868999999999</v>
      </c>
      <c r="M88">
        <v>28.717044999999999</v>
      </c>
      <c r="N88">
        <v>30.189125000000001</v>
      </c>
      <c r="O88">
        <v>31.254307000000001</v>
      </c>
      <c r="P88">
        <v>32.095905000000002</v>
      </c>
      <c r="Q88">
        <v>33.192867</v>
      </c>
      <c r="R88">
        <v>34.322257999999998</v>
      </c>
      <c r="S88">
        <v>35.549827999999998</v>
      </c>
      <c r="T88">
        <v>36.616680000000002</v>
      </c>
      <c r="U88">
        <v>37.925944999999999</v>
      </c>
      <c r="V88">
        <v>38.922348</v>
      </c>
      <c r="W88">
        <v>40.200527000000001</v>
      </c>
      <c r="X88">
        <v>41.575091999999998</v>
      </c>
      <c r="Y88">
        <v>42.746898999999999</v>
      </c>
      <c r="Z88">
        <v>43.914265</v>
      </c>
      <c r="AA88">
        <v>45.671436</v>
      </c>
      <c r="AB88">
        <v>46.953938000000001</v>
      </c>
      <c r="AC88">
        <v>48.350825999999998</v>
      </c>
      <c r="AD88">
        <v>49.765605999999998</v>
      </c>
      <c r="AE88">
        <v>51.253677000000003</v>
      </c>
      <c r="AF88">
        <v>52.469718999999998</v>
      </c>
      <c r="AG88">
        <v>53.786892000000002</v>
      </c>
      <c r="AH88">
        <v>55.071182</v>
      </c>
      <c r="AI88">
        <v>56.537368999999998</v>
      </c>
      <c r="AJ88">
        <v>57.753391000000001</v>
      </c>
      <c r="AK88">
        <v>59.373756</v>
      </c>
      <c r="AL88">
        <v>61.013103000000001</v>
      </c>
      <c r="AM88">
        <v>62.203792999999997</v>
      </c>
      <c r="AN88">
        <v>63.892310999999999</v>
      </c>
      <c r="AO88" s="4">
        <v>3.6999999999999998E-2</v>
      </c>
    </row>
    <row r="89" spans="1:41" x14ac:dyDescent="0.3">
      <c r="A89" t="s">
        <v>283</v>
      </c>
      <c r="B89" t="s">
        <v>446</v>
      </c>
      <c r="C89" t="s">
        <v>447</v>
      </c>
      <c r="D89" t="s">
        <v>400</v>
      </c>
      <c r="F89">
        <v>6.149019</v>
      </c>
      <c r="G89">
        <v>8.3608089999999997</v>
      </c>
      <c r="H89">
        <v>8.4536420000000003</v>
      </c>
      <c r="I89">
        <v>9.6441970000000001</v>
      </c>
      <c r="J89">
        <v>9.9871440000000007</v>
      </c>
      <c r="K89">
        <v>12.033353999999999</v>
      </c>
      <c r="L89">
        <v>14.263935</v>
      </c>
      <c r="M89">
        <v>15.08301</v>
      </c>
      <c r="N89">
        <v>15.413912</v>
      </c>
      <c r="O89">
        <v>15.807104000000001</v>
      </c>
      <c r="P89">
        <v>16.676577000000002</v>
      </c>
      <c r="Q89">
        <v>17.243300999999999</v>
      </c>
      <c r="R89">
        <v>17.833822000000001</v>
      </c>
      <c r="S89">
        <v>18.570684</v>
      </c>
      <c r="T89">
        <v>19.195906000000001</v>
      </c>
      <c r="U89">
        <v>19.977523999999999</v>
      </c>
      <c r="V89">
        <v>20.643243999999999</v>
      </c>
      <c r="W89">
        <v>21.369748999999999</v>
      </c>
      <c r="X89">
        <v>22.10894</v>
      </c>
      <c r="Y89">
        <v>22.830366000000001</v>
      </c>
      <c r="Z89">
        <v>23.475394999999999</v>
      </c>
      <c r="AA89">
        <v>24.591511000000001</v>
      </c>
      <c r="AB89">
        <v>25.343278999999999</v>
      </c>
      <c r="AC89">
        <v>26.177595</v>
      </c>
      <c r="AD89">
        <v>27.025283999999999</v>
      </c>
      <c r="AE89">
        <v>27.961887000000001</v>
      </c>
      <c r="AF89">
        <v>28.72541</v>
      </c>
      <c r="AG89">
        <v>29.527391000000001</v>
      </c>
      <c r="AH89">
        <v>30.274708</v>
      </c>
      <c r="AI89">
        <v>31.092445000000001</v>
      </c>
      <c r="AJ89">
        <v>31.702559999999998</v>
      </c>
      <c r="AK89">
        <v>32.672500999999997</v>
      </c>
      <c r="AL89">
        <v>33.755485999999998</v>
      </c>
      <c r="AM89">
        <v>34.654910999999998</v>
      </c>
      <c r="AN89">
        <v>35.784484999999997</v>
      </c>
      <c r="AO89" s="4">
        <v>4.4999999999999998E-2</v>
      </c>
    </row>
    <row r="90" spans="1:41" x14ac:dyDescent="0.3">
      <c r="A90" t="s">
        <v>271</v>
      </c>
      <c r="B90" t="s">
        <v>448</v>
      </c>
      <c r="C90" t="s">
        <v>449</v>
      </c>
      <c r="D90" t="s">
        <v>400</v>
      </c>
      <c r="F90">
        <v>14.032143</v>
      </c>
      <c r="G90">
        <v>14.452373</v>
      </c>
      <c r="H90">
        <v>14.465629</v>
      </c>
      <c r="I90">
        <v>14.747876</v>
      </c>
      <c r="J90">
        <v>15.159941</v>
      </c>
      <c r="K90">
        <v>14.844626</v>
      </c>
      <c r="L90">
        <v>14.997445000000001</v>
      </c>
      <c r="M90">
        <v>15.321368</v>
      </c>
      <c r="N90">
        <v>16.432290999999999</v>
      </c>
      <c r="O90">
        <v>16.717911000000001</v>
      </c>
      <c r="P90">
        <v>16.857735000000002</v>
      </c>
      <c r="Q90">
        <v>17.050592000000002</v>
      </c>
      <c r="R90">
        <v>17.199707</v>
      </c>
      <c r="S90">
        <v>17.578780999999999</v>
      </c>
      <c r="T90">
        <v>17.768581000000001</v>
      </c>
      <c r="U90">
        <v>17.998816000000001</v>
      </c>
      <c r="V90">
        <v>18.261303000000002</v>
      </c>
      <c r="W90">
        <v>18.542750999999999</v>
      </c>
      <c r="X90">
        <v>18.855592999999999</v>
      </c>
      <c r="Y90">
        <v>19.175156000000001</v>
      </c>
      <c r="Z90">
        <v>19.648392000000001</v>
      </c>
      <c r="AA90">
        <v>20.054490999999999</v>
      </c>
      <c r="AB90">
        <v>20.516214000000002</v>
      </c>
      <c r="AC90">
        <v>20.991104</v>
      </c>
      <c r="AD90">
        <v>21.450801999999999</v>
      </c>
      <c r="AE90">
        <v>21.962343000000001</v>
      </c>
      <c r="AF90">
        <v>22.545915999999998</v>
      </c>
      <c r="AG90">
        <v>23.096488999999998</v>
      </c>
      <c r="AH90">
        <v>23.697222</v>
      </c>
      <c r="AI90">
        <v>24.345096999999999</v>
      </c>
      <c r="AJ90">
        <v>25.013041999999999</v>
      </c>
      <c r="AK90">
        <v>25.712230999999999</v>
      </c>
      <c r="AL90">
        <v>26.508005000000001</v>
      </c>
      <c r="AM90">
        <v>27.297079</v>
      </c>
      <c r="AN90">
        <v>28.167000000000002</v>
      </c>
      <c r="AO90" s="4">
        <v>0.02</v>
      </c>
    </row>
    <row r="91" spans="1:41" x14ac:dyDescent="0.3">
      <c r="A91" t="s">
        <v>274</v>
      </c>
      <c r="B91" t="s">
        <v>450</v>
      </c>
      <c r="C91" t="s">
        <v>451</v>
      </c>
      <c r="D91" t="s">
        <v>400</v>
      </c>
      <c r="F91">
        <v>28.386109999999999</v>
      </c>
      <c r="G91">
        <v>31.148299999999999</v>
      </c>
      <c r="H91">
        <v>32.740378999999997</v>
      </c>
      <c r="I91">
        <v>34.490948000000003</v>
      </c>
      <c r="J91">
        <v>37.621788000000002</v>
      </c>
      <c r="K91">
        <v>39.551228000000002</v>
      </c>
      <c r="L91">
        <v>41.608035999999998</v>
      </c>
      <c r="M91">
        <v>43.751731999999997</v>
      </c>
      <c r="N91">
        <v>45.577067999999997</v>
      </c>
      <c r="O91">
        <v>47.598098999999998</v>
      </c>
      <c r="P91">
        <v>49.355041999999997</v>
      </c>
      <c r="Q91">
        <v>50.790118999999997</v>
      </c>
      <c r="R91">
        <v>52.094920999999999</v>
      </c>
      <c r="S91">
        <v>53.390213000000003</v>
      </c>
      <c r="T91">
        <v>54.71743</v>
      </c>
      <c r="U91">
        <v>56.099369000000003</v>
      </c>
      <c r="V91">
        <v>57.486663999999998</v>
      </c>
      <c r="W91">
        <v>58.727795</v>
      </c>
      <c r="X91">
        <v>59.803848000000002</v>
      </c>
      <c r="Y91">
        <v>60.866531000000002</v>
      </c>
      <c r="Z91">
        <v>62.037685000000003</v>
      </c>
      <c r="AA91">
        <v>63.218102000000002</v>
      </c>
      <c r="AB91">
        <v>64.396941999999996</v>
      </c>
      <c r="AC91">
        <v>65.612060999999997</v>
      </c>
      <c r="AD91">
        <v>66.800560000000004</v>
      </c>
      <c r="AE91">
        <v>68.052422000000007</v>
      </c>
      <c r="AF91">
        <v>69.325462000000002</v>
      </c>
      <c r="AG91">
        <v>70.499161000000001</v>
      </c>
      <c r="AH91">
        <v>71.782150000000001</v>
      </c>
      <c r="AI91">
        <v>73.316597000000002</v>
      </c>
      <c r="AJ91">
        <v>74.717399999999998</v>
      </c>
      <c r="AK91">
        <v>76.196678000000006</v>
      </c>
      <c r="AL91">
        <v>77.768799000000001</v>
      </c>
      <c r="AM91">
        <v>79.322685000000007</v>
      </c>
      <c r="AN91">
        <v>80.796417000000005</v>
      </c>
      <c r="AO91" s="4">
        <v>2.9000000000000001E-2</v>
      </c>
    </row>
    <row r="92" spans="1:41" x14ac:dyDescent="0.3">
      <c r="A92" t="s">
        <v>334</v>
      </c>
      <c r="C92" t="s">
        <v>452</v>
      </c>
    </row>
    <row r="93" spans="1:41" x14ac:dyDescent="0.3">
      <c r="A93" t="s">
        <v>268</v>
      </c>
      <c r="B93" t="s">
        <v>453</v>
      </c>
      <c r="C93" t="s">
        <v>454</v>
      </c>
      <c r="D93" t="s">
        <v>400</v>
      </c>
      <c r="F93">
        <v>11.941280000000001</v>
      </c>
      <c r="G93">
        <v>14.116877000000001</v>
      </c>
      <c r="H93">
        <v>14.972064</v>
      </c>
      <c r="I93">
        <v>16.103867999999999</v>
      </c>
      <c r="J93">
        <v>19.906488</v>
      </c>
      <c r="K93">
        <v>21.886633</v>
      </c>
      <c r="L93">
        <v>22.936274000000001</v>
      </c>
      <c r="M93">
        <v>23.851006000000002</v>
      </c>
      <c r="N93">
        <v>24.649201999999999</v>
      </c>
      <c r="O93">
        <v>25.334185000000002</v>
      </c>
      <c r="P93">
        <v>25.889821999999999</v>
      </c>
      <c r="Q93">
        <v>26.668469999999999</v>
      </c>
      <c r="R93">
        <v>27.482391</v>
      </c>
      <c r="S93">
        <v>28.487938</v>
      </c>
      <c r="T93">
        <v>29.319538000000001</v>
      </c>
      <c r="U93">
        <v>30.330276000000001</v>
      </c>
      <c r="V93">
        <v>31.290792</v>
      </c>
      <c r="W93">
        <v>32.373119000000003</v>
      </c>
      <c r="X93">
        <v>33.490093000000002</v>
      </c>
      <c r="Y93">
        <v>34.462336999999998</v>
      </c>
      <c r="Z93">
        <v>35.458793999999997</v>
      </c>
      <c r="AA93">
        <v>37.049411999999997</v>
      </c>
      <c r="AB93">
        <v>37.994514000000002</v>
      </c>
      <c r="AC93">
        <v>39.281798999999999</v>
      </c>
      <c r="AD93">
        <v>40.539558</v>
      </c>
      <c r="AE93">
        <v>41.855587</v>
      </c>
      <c r="AF93">
        <v>42.906418000000002</v>
      </c>
      <c r="AG93">
        <v>44.020663999999996</v>
      </c>
      <c r="AH93">
        <v>45.169617000000002</v>
      </c>
      <c r="AI93">
        <v>46.376797000000003</v>
      </c>
      <c r="AJ93">
        <v>47.334938000000001</v>
      </c>
      <c r="AK93">
        <v>48.795017000000001</v>
      </c>
      <c r="AL93">
        <v>50.457301999999999</v>
      </c>
      <c r="AM93">
        <v>51.763435000000001</v>
      </c>
      <c r="AN93">
        <v>53.271903999999999</v>
      </c>
      <c r="AO93" s="4">
        <v>4.1000000000000002E-2</v>
      </c>
    </row>
    <row r="94" spans="1:41" x14ac:dyDescent="0.3">
      <c r="A94" t="s">
        <v>283</v>
      </c>
      <c r="B94" t="s">
        <v>455</v>
      </c>
      <c r="C94" t="s">
        <v>456</v>
      </c>
      <c r="D94" t="s">
        <v>400</v>
      </c>
      <c r="F94">
        <v>8.1673100000000005</v>
      </c>
      <c r="G94">
        <v>10.533640999999999</v>
      </c>
      <c r="H94">
        <v>10.445398000000001</v>
      </c>
      <c r="I94">
        <v>11.992969</v>
      </c>
      <c r="J94">
        <v>14.877025</v>
      </c>
      <c r="K94">
        <v>16.173207999999999</v>
      </c>
      <c r="L94">
        <v>16.734901000000001</v>
      </c>
      <c r="M94">
        <v>17.192774</v>
      </c>
      <c r="N94">
        <v>17.684775999999999</v>
      </c>
      <c r="O94">
        <v>18.209679000000001</v>
      </c>
      <c r="P94">
        <v>18.945705</v>
      </c>
      <c r="Q94">
        <v>19.592435999999999</v>
      </c>
      <c r="R94">
        <v>20.103255999999998</v>
      </c>
      <c r="S94">
        <v>20.882915000000001</v>
      </c>
      <c r="T94">
        <v>21.591456999999998</v>
      </c>
      <c r="U94">
        <v>22.511596999999998</v>
      </c>
      <c r="V94">
        <v>23.165455000000001</v>
      </c>
      <c r="W94">
        <v>23.908968000000002</v>
      </c>
      <c r="X94">
        <v>24.643024</v>
      </c>
      <c r="Y94">
        <v>25.444132</v>
      </c>
      <c r="Z94">
        <v>26.060596</v>
      </c>
      <c r="AA94">
        <v>27.165512</v>
      </c>
      <c r="AB94">
        <v>27.940676</v>
      </c>
      <c r="AC94">
        <v>28.829751999999999</v>
      </c>
      <c r="AD94">
        <v>29.574234000000001</v>
      </c>
      <c r="AE94">
        <v>30.352350000000001</v>
      </c>
      <c r="AF94">
        <v>30.98958</v>
      </c>
      <c r="AG94">
        <v>31.542749000000001</v>
      </c>
      <c r="AH94">
        <v>31.997696000000001</v>
      </c>
      <c r="AI94">
        <v>32.472813000000002</v>
      </c>
      <c r="AJ94">
        <v>33.105553</v>
      </c>
      <c r="AK94">
        <v>33.936183999999997</v>
      </c>
      <c r="AL94">
        <v>34.606662999999998</v>
      </c>
      <c r="AM94">
        <v>36.286903000000002</v>
      </c>
      <c r="AN94">
        <v>37.638911999999998</v>
      </c>
      <c r="AO94" s="4">
        <v>3.9E-2</v>
      </c>
    </row>
    <row r="95" spans="1:41" x14ac:dyDescent="0.3">
      <c r="A95" t="s">
        <v>271</v>
      </c>
      <c r="B95" t="s">
        <v>457</v>
      </c>
      <c r="C95" t="s">
        <v>458</v>
      </c>
      <c r="D95" t="s">
        <v>400</v>
      </c>
      <c r="F95">
        <v>2.88273</v>
      </c>
      <c r="G95">
        <v>3.4661050000000002</v>
      </c>
      <c r="H95">
        <v>3.6518600000000001</v>
      </c>
      <c r="I95">
        <v>4.1022119999999997</v>
      </c>
      <c r="J95">
        <v>4.4627239999999997</v>
      </c>
      <c r="K95">
        <v>4.5066389999999998</v>
      </c>
      <c r="L95">
        <v>4.6594980000000001</v>
      </c>
      <c r="M95">
        <v>4.9095950000000004</v>
      </c>
      <c r="N95">
        <v>5.1487879999999997</v>
      </c>
      <c r="O95">
        <v>5.4206399999999997</v>
      </c>
      <c r="P95">
        <v>5.5886659999999999</v>
      </c>
      <c r="Q95">
        <v>5.7708909999999998</v>
      </c>
      <c r="R95">
        <v>5.9033480000000003</v>
      </c>
      <c r="S95">
        <v>6.1114889999999997</v>
      </c>
      <c r="T95">
        <v>6.2382220000000004</v>
      </c>
      <c r="U95">
        <v>6.3645360000000002</v>
      </c>
      <c r="V95">
        <v>6.5255939999999999</v>
      </c>
      <c r="W95">
        <v>6.6496589999999998</v>
      </c>
      <c r="X95">
        <v>6.8095889999999999</v>
      </c>
      <c r="Y95">
        <v>6.9512890000000001</v>
      </c>
      <c r="Z95">
        <v>7.2731579999999996</v>
      </c>
      <c r="AA95">
        <v>7.4433239999999996</v>
      </c>
      <c r="AB95">
        <v>7.7185870000000003</v>
      </c>
      <c r="AC95">
        <v>7.9749679999999996</v>
      </c>
      <c r="AD95">
        <v>8.2060650000000006</v>
      </c>
      <c r="AE95">
        <v>8.4477150000000005</v>
      </c>
      <c r="AF95">
        <v>8.7467959999999998</v>
      </c>
      <c r="AG95">
        <v>9.0289249999999992</v>
      </c>
      <c r="AH95">
        <v>9.3471989999999998</v>
      </c>
      <c r="AI95">
        <v>9.6437530000000002</v>
      </c>
      <c r="AJ95">
        <v>9.967746</v>
      </c>
      <c r="AK95">
        <v>10.314771</v>
      </c>
      <c r="AL95">
        <v>10.760636</v>
      </c>
      <c r="AM95">
        <v>11.160399</v>
      </c>
      <c r="AN95">
        <v>11.643006</v>
      </c>
      <c r="AO95" s="4">
        <v>3.6999999999999998E-2</v>
      </c>
    </row>
    <row r="96" spans="1:41" x14ac:dyDescent="0.3">
      <c r="A96" t="s">
        <v>342</v>
      </c>
      <c r="B96" t="s">
        <v>459</v>
      </c>
      <c r="C96" t="s">
        <v>460</v>
      </c>
      <c r="D96" t="s">
        <v>400</v>
      </c>
      <c r="F96">
        <v>2.1603129999999999</v>
      </c>
      <c r="G96">
        <v>2.145607</v>
      </c>
      <c r="H96">
        <v>2.2093379999999998</v>
      </c>
      <c r="I96">
        <v>2.3080050000000001</v>
      </c>
      <c r="J96">
        <v>2.3995489999999999</v>
      </c>
      <c r="K96">
        <v>2.464915</v>
      </c>
      <c r="L96">
        <v>2.5127679999999999</v>
      </c>
      <c r="M96">
        <v>2.5845180000000001</v>
      </c>
      <c r="N96">
        <v>2.676107</v>
      </c>
      <c r="O96">
        <v>2.7577479999999999</v>
      </c>
      <c r="P96">
        <v>2.828668</v>
      </c>
      <c r="Q96">
        <v>2.8983340000000002</v>
      </c>
      <c r="R96">
        <v>2.9624809999999999</v>
      </c>
      <c r="S96">
        <v>3.035021</v>
      </c>
      <c r="T96">
        <v>3.1126670000000001</v>
      </c>
      <c r="U96">
        <v>3.1852109999999998</v>
      </c>
      <c r="V96">
        <v>3.2602199999999999</v>
      </c>
      <c r="W96">
        <v>3.348754</v>
      </c>
      <c r="X96">
        <v>3.4370229999999999</v>
      </c>
      <c r="Y96">
        <v>3.5375350000000001</v>
      </c>
      <c r="Z96">
        <v>3.6356839999999999</v>
      </c>
      <c r="AA96">
        <v>3.7433489999999998</v>
      </c>
      <c r="AB96">
        <v>3.8473999999999999</v>
      </c>
      <c r="AC96">
        <v>3.9627150000000002</v>
      </c>
      <c r="AD96">
        <v>4.0647380000000002</v>
      </c>
      <c r="AE96">
        <v>4.1753090000000004</v>
      </c>
      <c r="AF96">
        <v>4.2865929999999999</v>
      </c>
      <c r="AG96">
        <v>4.3978419999999998</v>
      </c>
      <c r="AH96">
        <v>4.5150230000000002</v>
      </c>
      <c r="AI96">
        <v>4.6320370000000004</v>
      </c>
      <c r="AJ96">
        <v>4.7558680000000004</v>
      </c>
      <c r="AK96">
        <v>4.8799520000000003</v>
      </c>
      <c r="AL96">
        <v>5.00908</v>
      </c>
      <c r="AM96">
        <v>5.1532349999999996</v>
      </c>
      <c r="AN96">
        <v>5.2937419999999999</v>
      </c>
      <c r="AO96" s="4">
        <v>2.8000000000000001E-2</v>
      </c>
    </row>
    <row r="97" spans="1:41" x14ac:dyDescent="0.3">
      <c r="A97" t="s">
        <v>345</v>
      </c>
      <c r="B97" t="s">
        <v>461</v>
      </c>
      <c r="C97" t="s">
        <v>462</v>
      </c>
      <c r="D97" t="s">
        <v>400</v>
      </c>
      <c r="F97">
        <v>0.63483400000000001</v>
      </c>
      <c r="G97">
        <v>0.64700000000000002</v>
      </c>
      <c r="H97">
        <v>0.66344700000000001</v>
      </c>
      <c r="I97">
        <v>0.67998499999999995</v>
      </c>
      <c r="J97">
        <v>0.69991499999999995</v>
      </c>
      <c r="K97">
        <v>0.71831599999999995</v>
      </c>
      <c r="L97">
        <v>0.73676900000000001</v>
      </c>
      <c r="M97">
        <v>0.75726899999999997</v>
      </c>
      <c r="N97">
        <v>0.77683400000000002</v>
      </c>
      <c r="O97">
        <v>0.79780300000000004</v>
      </c>
      <c r="P97">
        <v>0.81733299999999998</v>
      </c>
      <c r="Q97">
        <v>0.83826500000000004</v>
      </c>
      <c r="R97">
        <v>0.85764399999999996</v>
      </c>
      <c r="S97">
        <v>0.87726400000000004</v>
      </c>
      <c r="T97">
        <v>0.89879699999999996</v>
      </c>
      <c r="U97">
        <v>0.91980200000000001</v>
      </c>
      <c r="V97">
        <v>0.94283399999999995</v>
      </c>
      <c r="W97">
        <v>0.966669</v>
      </c>
      <c r="X97">
        <v>0.98981699999999995</v>
      </c>
      <c r="Y97">
        <v>1.015239</v>
      </c>
      <c r="Z97">
        <v>1.041569</v>
      </c>
      <c r="AA97">
        <v>1.0670170000000001</v>
      </c>
      <c r="AB97">
        <v>1.0945990000000001</v>
      </c>
      <c r="AC97">
        <v>1.1230370000000001</v>
      </c>
      <c r="AD97">
        <v>1.1524099999999999</v>
      </c>
      <c r="AE97">
        <v>1.1828369999999999</v>
      </c>
      <c r="AF97">
        <v>1.2125379999999999</v>
      </c>
      <c r="AG97">
        <v>1.245228</v>
      </c>
      <c r="AH97">
        <v>1.2790950000000001</v>
      </c>
      <c r="AI97">
        <v>1.314238</v>
      </c>
      <c r="AJ97">
        <v>1.350371</v>
      </c>
      <c r="AK97">
        <v>1.3878630000000001</v>
      </c>
      <c r="AL97">
        <v>1.4269160000000001</v>
      </c>
      <c r="AM97">
        <v>1.4670620000000001</v>
      </c>
      <c r="AN97">
        <v>1.508734</v>
      </c>
      <c r="AO97" s="4">
        <v>2.5999999999999999E-2</v>
      </c>
    </row>
    <row r="98" spans="1:41" x14ac:dyDescent="0.3">
      <c r="A98" t="s">
        <v>348</v>
      </c>
      <c r="C98" t="s">
        <v>463</v>
      </c>
    </row>
    <row r="99" spans="1:41" x14ac:dyDescent="0.3">
      <c r="A99" t="s">
        <v>264</v>
      </c>
      <c r="B99" t="s">
        <v>464</v>
      </c>
      <c r="C99" t="s">
        <v>465</v>
      </c>
      <c r="D99" t="s">
        <v>400</v>
      </c>
      <c r="F99">
        <v>14.047264999999999</v>
      </c>
      <c r="G99">
        <v>15.195361999999999</v>
      </c>
      <c r="H99">
        <v>14.374302</v>
      </c>
      <c r="I99">
        <v>15.62635</v>
      </c>
      <c r="J99">
        <v>16.892534000000001</v>
      </c>
      <c r="K99">
        <v>17.620381999999999</v>
      </c>
      <c r="L99">
        <v>18.327718999999998</v>
      </c>
      <c r="M99">
        <v>19.021856</v>
      </c>
      <c r="N99">
        <v>19.781428999999999</v>
      </c>
      <c r="O99">
        <v>20.309775999999999</v>
      </c>
      <c r="P99">
        <v>20.825869000000001</v>
      </c>
      <c r="Q99">
        <v>21.328168999999999</v>
      </c>
      <c r="R99">
        <v>21.882546999999999</v>
      </c>
      <c r="S99">
        <v>22.663402999999999</v>
      </c>
      <c r="T99">
        <v>23.259008000000001</v>
      </c>
      <c r="U99">
        <v>24.013446999999999</v>
      </c>
      <c r="V99">
        <v>24.873051</v>
      </c>
      <c r="W99">
        <v>25.729068999999999</v>
      </c>
      <c r="X99">
        <v>26.537289000000001</v>
      </c>
      <c r="Y99">
        <v>27.440532999999999</v>
      </c>
      <c r="Z99">
        <v>28.394815000000001</v>
      </c>
      <c r="AA99">
        <v>29.169644999999999</v>
      </c>
      <c r="AB99">
        <v>30.352922</v>
      </c>
      <c r="AC99">
        <v>31.265446000000001</v>
      </c>
      <c r="AD99">
        <v>32.161625000000001</v>
      </c>
      <c r="AE99">
        <v>33.193874000000001</v>
      </c>
      <c r="AF99">
        <v>34.202877000000001</v>
      </c>
      <c r="AG99">
        <v>35.328564</v>
      </c>
      <c r="AH99">
        <v>36.413547999999999</v>
      </c>
      <c r="AI99">
        <v>37.658264000000003</v>
      </c>
      <c r="AJ99">
        <v>38.807006999999999</v>
      </c>
      <c r="AK99">
        <v>40.062812999999998</v>
      </c>
      <c r="AL99">
        <v>41.475425999999999</v>
      </c>
      <c r="AM99">
        <v>42.904598</v>
      </c>
      <c r="AN99">
        <v>44.243606999999997</v>
      </c>
      <c r="AO99" s="4">
        <v>3.3000000000000002E-2</v>
      </c>
    </row>
    <row r="100" spans="1:41" x14ac:dyDescent="0.3">
      <c r="A100" t="s">
        <v>316</v>
      </c>
      <c r="B100" t="s">
        <v>466</v>
      </c>
      <c r="C100" t="s">
        <v>467</v>
      </c>
      <c r="D100" t="s">
        <v>400</v>
      </c>
      <c r="F100">
        <v>20.452584999999999</v>
      </c>
      <c r="G100">
        <v>22.286798000000001</v>
      </c>
      <c r="H100">
        <v>29.754711</v>
      </c>
      <c r="I100">
        <v>30.055136000000001</v>
      </c>
      <c r="J100">
        <v>33.950206999999999</v>
      </c>
      <c r="K100">
        <v>36.169677999999998</v>
      </c>
      <c r="L100">
        <v>35.618385000000004</v>
      </c>
      <c r="M100">
        <v>33.956257000000001</v>
      </c>
      <c r="N100">
        <v>33.440959999999997</v>
      </c>
      <c r="O100">
        <v>31.474222000000001</v>
      </c>
      <c r="P100">
        <v>31.479154999999999</v>
      </c>
      <c r="Q100">
        <v>31.136590999999999</v>
      </c>
      <c r="R100">
        <v>31.524847000000001</v>
      </c>
      <c r="S100">
        <v>32.253368000000002</v>
      </c>
      <c r="T100">
        <v>32.640315999999999</v>
      </c>
      <c r="U100">
        <v>34.448977999999997</v>
      </c>
      <c r="V100">
        <v>35.354464999999998</v>
      </c>
      <c r="W100">
        <v>35.678145999999998</v>
      </c>
      <c r="X100">
        <v>36.214618999999999</v>
      </c>
      <c r="Y100">
        <v>36.641575000000003</v>
      </c>
      <c r="Z100">
        <v>37.415844</v>
      </c>
      <c r="AA100">
        <v>38.914169000000001</v>
      </c>
      <c r="AB100">
        <v>40.058880000000002</v>
      </c>
      <c r="AC100">
        <v>41.608806999999999</v>
      </c>
      <c r="AD100">
        <v>43.508465000000001</v>
      </c>
      <c r="AE100">
        <v>45.528179000000002</v>
      </c>
      <c r="AF100">
        <v>47.657103999999997</v>
      </c>
      <c r="AG100">
        <v>49.805889000000001</v>
      </c>
      <c r="AH100">
        <v>52.622687999999997</v>
      </c>
      <c r="AI100">
        <v>54.023384</v>
      </c>
      <c r="AJ100">
        <v>55.240360000000003</v>
      </c>
      <c r="AK100">
        <v>57.795535999999998</v>
      </c>
      <c r="AL100">
        <v>62.693905000000001</v>
      </c>
      <c r="AM100">
        <v>68.388535000000005</v>
      </c>
      <c r="AN100">
        <v>71.409492</v>
      </c>
      <c r="AO100" s="4">
        <v>3.5999999999999997E-2</v>
      </c>
    </row>
    <row r="101" spans="1:41" x14ac:dyDescent="0.3">
      <c r="A101" t="s">
        <v>319</v>
      </c>
      <c r="B101" t="s">
        <v>468</v>
      </c>
      <c r="C101" t="s">
        <v>469</v>
      </c>
      <c r="D101" t="s">
        <v>400</v>
      </c>
      <c r="F101">
        <v>18.781262999999999</v>
      </c>
      <c r="G101">
        <v>20.777381999999999</v>
      </c>
      <c r="H101">
        <v>20.932639999999999</v>
      </c>
      <c r="I101">
        <v>21.983906000000001</v>
      </c>
      <c r="J101">
        <v>25.692323999999999</v>
      </c>
      <c r="K101">
        <v>27.909448999999999</v>
      </c>
      <c r="L101">
        <v>29.294436000000001</v>
      </c>
      <c r="M101">
        <v>30.570122000000001</v>
      </c>
      <c r="N101">
        <v>31.976500999999999</v>
      </c>
      <c r="O101">
        <v>32.681266999999998</v>
      </c>
      <c r="P101">
        <v>33.423492000000003</v>
      </c>
      <c r="Q101">
        <v>34.390639999999998</v>
      </c>
      <c r="R101">
        <v>35.433624000000002</v>
      </c>
      <c r="S101">
        <v>36.571773999999998</v>
      </c>
      <c r="T101">
        <v>37.504814000000003</v>
      </c>
      <c r="U101">
        <v>38.815612999999999</v>
      </c>
      <c r="V101">
        <v>39.833053999999997</v>
      </c>
      <c r="W101">
        <v>40.927672999999999</v>
      </c>
      <c r="X101">
        <v>42.211399</v>
      </c>
      <c r="Y101">
        <v>43.338577000000001</v>
      </c>
      <c r="Z101">
        <v>44.429070000000003</v>
      </c>
      <c r="AA101">
        <v>46.132629000000001</v>
      </c>
      <c r="AB101">
        <v>47.374352000000002</v>
      </c>
      <c r="AC101">
        <v>48.748286999999998</v>
      </c>
      <c r="AD101">
        <v>50.226962999999998</v>
      </c>
      <c r="AE101">
        <v>51.683556000000003</v>
      </c>
      <c r="AF101">
        <v>53.137939000000003</v>
      </c>
      <c r="AG101">
        <v>54.551704000000001</v>
      </c>
      <c r="AH101">
        <v>56.019435999999999</v>
      </c>
      <c r="AI101">
        <v>57.550941000000002</v>
      </c>
      <c r="AJ101">
        <v>58.784785999999997</v>
      </c>
      <c r="AK101">
        <v>60.575488999999997</v>
      </c>
      <c r="AL101">
        <v>62.476115999999998</v>
      </c>
      <c r="AM101">
        <v>64.192886000000001</v>
      </c>
      <c r="AN101">
        <v>66.026664999999994</v>
      </c>
      <c r="AO101" s="4">
        <v>3.5999999999999997E-2</v>
      </c>
    </row>
    <row r="102" spans="1:41" x14ac:dyDescent="0.3">
      <c r="A102" t="s">
        <v>322</v>
      </c>
      <c r="B102" t="s">
        <v>470</v>
      </c>
      <c r="C102" t="s">
        <v>471</v>
      </c>
      <c r="D102" t="s">
        <v>400</v>
      </c>
      <c r="F102">
        <v>9.8084410000000002</v>
      </c>
      <c r="G102">
        <v>11.947901999999999</v>
      </c>
      <c r="H102">
        <v>12.530483</v>
      </c>
      <c r="I102">
        <v>13.678243</v>
      </c>
      <c r="J102">
        <v>17.546206000000002</v>
      </c>
      <c r="K102">
        <v>19.490535999999999</v>
      </c>
      <c r="L102">
        <v>20.513179999999998</v>
      </c>
      <c r="M102">
        <v>21.417524</v>
      </c>
      <c r="N102">
        <v>22.311513999999999</v>
      </c>
      <c r="O102">
        <v>22.994479999999999</v>
      </c>
      <c r="P102">
        <v>23.615627</v>
      </c>
      <c r="Q102">
        <v>24.483553000000001</v>
      </c>
      <c r="R102">
        <v>25.376106</v>
      </c>
      <c r="S102">
        <v>26.510223</v>
      </c>
      <c r="T102">
        <v>27.400686</v>
      </c>
      <c r="U102">
        <v>28.580666999999998</v>
      </c>
      <c r="V102">
        <v>29.538661999999999</v>
      </c>
      <c r="W102">
        <v>30.659116999999998</v>
      </c>
      <c r="X102">
        <v>31.762089</v>
      </c>
      <c r="Y102">
        <v>32.719203999999998</v>
      </c>
      <c r="Z102">
        <v>33.726520999999998</v>
      </c>
      <c r="AA102">
        <v>35.371879999999997</v>
      </c>
      <c r="AB102">
        <v>36.498936</v>
      </c>
      <c r="AC102">
        <v>37.722484999999999</v>
      </c>
      <c r="AD102">
        <v>38.978805999999999</v>
      </c>
      <c r="AE102">
        <v>40.336475</v>
      </c>
      <c r="AF102">
        <v>41.436892999999998</v>
      </c>
      <c r="AG102">
        <v>42.670250000000003</v>
      </c>
      <c r="AH102">
        <v>43.900986000000003</v>
      </c>
      <c r="AI102">
        <v>45.154170999999998</v>
      </c>
      <c r="AJ102">
        <v>46.21331</v>
      </c>
      <c r="AK102">
        <v>47.717182000000001</v>
      </c>
      <c r="AL102">
        <v>49.449630999999997</v>
      </c>
      <c r="AM102">
        <v>50.930728999999999</v>
      </c>
      <c r="AN102">
        <v>52.459682000000001</v>
      </c>
      <c r="AO102" s="4">
        <v>4.5999999999999999E-2</v>
      </c>
    </row>
    <row r="103" spans="1:41" x14ac:dyDescent="0.3">
      <c r="A103" t="s">
        <v>268</v>
      </c>
      <c r="B103" t="s">
        <v>472</v>
      </c>
      <c r="C103" t="s">
        <v>473</v>
      </c>
      <c r="D103" t="s">
        <v>400</v>
      </c>
      <c r="F103">
        <v>16.170988000000001</v>
      </c>
      <c r="G103">
        <v>18.564427999999999</v>
      </c>
      <c r="H103">
        <v>19.638401000000002</v>
      </c>
      <c r="I103">
        <v>20.395716</v>
      </c>
      <c r="J103">
        <v>23.908280999999999</v>
      </c>
      <c r="K103">
        <v>25.767336</v>
      </c>
      <c r="L103">
        <v>26.832277000000001</v>
      </c>
      <c r="M103">
        <v>27.903335999999999</v>
      </c>
      <c r="N103">
        <v>29.256588000000001</v>
      </c>
      <c r="O103">
        <v>30.282007</v>
      </c>
      <c r="P103">
        <v>31.078699</v>
      </c>
      <c r="Q103">
        <v>32.139763000000002</v>
      </c>
      <c r="R103">
        <v>33.224781</v>
      </c>
      <c r="S103">
        <v>34.442008999999999</v>
      </c>
      <c r="T103">
        <v>35.478813000000002</v>
      </c>
      <c r="U103">
        <v>36.714382000000001</v>
      </c>
      <c r="V103">
        <v>37.727898000000003</v>
      </c>
      <c r="W103">
        <v>38.944633000000003</v>
      </c>
      <c r="X103">
        <v>40.251914999999997</v>
      </c>
      <c r="Y103">
        <v>41.399360999999999</v>
      </c>
      <c r="Z103">
        <v>42.544285000000002</v>
      </c>
      <c r="AA103">
        <v>44.263500000000001</v>
      </c>
      <c r="AB103">
        <v>45.491160999999998</v>
      </c>
      <c r="AC103">
        <v>46.867012000000003</v>
      </c>
      <c r="AD103">
        <v>48.239685000000001</v>
      </c>
      <c r="AE103">
        <v>49.691547</v>
      </c>
      <c r="AF103">
        <v>50.883491999999997</v>
      </c>
      <c r="AG103">
        <v>52.160069</v>
      </c>
      <c r="AH103">
        <v>53.396908000000003</v>
      </c>
      <c r="AI103">
        <v>54.820709000000001</v>
      </c>
      <c r="AJ103">
        <v>55.995804</v>
      </c>
      <c r="AK103">
        <v>57.565544000000003</v>
      </c>
      <c r="AL103">
        <v>59.161715999999998</v>
      </c>
      <c r="AM103">
        <v>60.342669999999998</v>
      </c>
      <c r="AN103">
        <v>61.983932000000003</v>
      </c>
      <c r="AO103" s="4">
        <v>3.6999999999999998E-2</v>
      </c>
    </row>
    <row r="104" spans="1:41" x14ac:dyDescent="0.3">
      <c r="A104" t="s">
        <v>283</v>
      </c>
      <c r="B104" t="s">
        <v>474</v>
      </c>
      <c r="C104" t="s">
        <v>475</v>
      </c>
      <c r="D104" t="s">
        <v>400</v>
      </c>
      <c r="F104">
        <v>6.493722</v>
      </c>
      <c r="G104">
        <v>8.5006430000000002</v>
      </c>
      <c r="H104">
        <v>8.5070800000000002</v>
      </c>
      <c r="I104">
        <v>9.6023320000000005</v>
      </c>
      <c r="J104">
        <v>10.519138</v>
      </c>
      <c r="K104">
        <v>12.330864999999999</v>
      </c>
      <c r="L104">
        <v>14.329388</v>
      </c>
      <c r="M104">
        <v>15.114227</v>
      </c>
      <c r="N104">
        <v>15.461225000000001</v>
      </c>
      <c r="O104">
        <v>15.850011</v>
      </c>
      <c r="P104">
        <v>16.685452000000002</v>
      </c>
      <c r="Q104">
        <v>17.259077000000001</v>
      </c>
      <c r="R104">
        <v>17.842881999999999</v>
      </c>
      <c r="S104">
        <v>18.584510999999999</v>
      </c>
      <c r="T104">
        <v>19.209427000000002</v>
      </c>
      <c r="U104">
        <v>19.994471000000001</v>
      </c>
      <c r="V104">
        <v>20.652377999999999</v>
      </c>
      <c r="W104">
        <v>21.379522000000001</v>
      </c>
      <c r="X104">
        <v>22.114432999999998</v>
      </c>
      <c r="Y104">
        <v>22.843081000000002</v>
      </c>
      <c r="Z104">
        <v>23.476875</v>
      </c>
      <c r="AA104">
        <v>24.592583000000001</v>
      </c>
      <c r="AB104">
        <v>25.342886</v>
      </c>
      <c r="AC104">
        <v>26.180695</v>
      </c>
      <c r="AD104">
        <v>27.024225000000001</v>
      </c>
      <c r="AE104">
        <v>27.937802999999999</v>
      </c>
      <c r="AF104">
        <v>28.687740000000002</v>
      </c>
      <c r="AG104">
        <v>29.467037000000001</v>
      </c>
      <c r="AH104">
        <v>30.186337000000002</v>
      </c>
      <c r="AI104">
        <v>30.978217999999998</v>
      </c>
      <c r="AJ104">
        <v>31.594549000000001</v>
      </c>
      <c r="AK104">
        <v>32.539406</v>
      </c>
      <c r="AL104">
        <v>33.595878999999996</v>
      </c>
      <c r="AM104">
        <v>34.532229999999998</v>
      </c>
      <c r="AN104">
        <v>35.680294000000004</v>
      </c>
      <c r="AO104" s="4">
        <v>4.3999999999999997E-2</v>
      </c>
    </row>
    <row r="105" spans="1:41" x14ac:dyDescent="0.3">
      <c r="A105" t="s">
        <v>271</v>
      </c>
      <c r="B105" t="s">
        <v>476</v>
      </c>
      <c r="C105" t="s">
        <v>477</v>
      </c>
      <c r="D105" t="s">
        <v>400</v>
      </c>
      <c r="F105">
        <v>4.7835419999999997</v>
      </c>
      <c r="G105">
        <v>5.5330589999999997</v>
      </c>
      <c r="H105">
        <v>5.6611570000000002</v>
      </c>
      <c r="I105">
        <v>6.0753839999999997</v>
      </c>
      <c r="J105">
        <v>6.5250620000000001</v>
      </c>
      <c r="K105">
        <v>6.6985599999999996</v>
      </c>
      <c r="L105">
        <v>6.9175409999999999</v>
      </c>
      <c r="M105">
        <v>7.2658699999999996</v>
      </c>
      <c r="N105">
        <v>7.6481469999999998</v>
      </c>
      <c r="O105">
        <v>7.9790210000000004</v>
      </c>
      <c r="P105">
        <v>8.2054329999999993</v>
      </c>
      <c r="Q105">
        <v>8.44468</v>
      </c>
      <c r="R105">
        <v>8.6113689999999998</v>
      </c>
      <c r="S105">
        <v>8.9014779999999991</v>
      </c>
      <c r="T105">
        <v>9.0867430000000002</v>
      </c>
      <c r="U105">
        <v>9.289498</v>
      </c>
      <c r="V105">
        <v>9.5220660000000006</v>
      </c>
      <c r="W105">
        <v>9.7373340000000006</v>
      </c>
      <c r="X105">
        <v>9.9638069999999992</v>
      </c>
      <c r="Y105">
        <v>10.192793999999999</v>
      </c>
      <c r="Z105">
        <v>10.569502</v>
      </c>
      <c r="AA105">
        <v>10.830522999999999</v>
      </c>
      <c r="AB105">
        <v>11.171476</v>
      </c>
      <c r="AC105">
        <v>11.493577</v>
      </c>
      <c r="AD105">
        <v>11.793896</v>
      </c>
      <c r="AE105">
        <v>12.129089</v>
      </c>
      <c r="AF105">
        <v>12.523483000000001</v>
      </c>
      <c r="AG105">
        <v>12.880875</v>
      </c>
      <c r="AH105">
        <v>13.296405999999999</v>
      </c>
      <c r="AI105">
        <v>13.727503</v>
      </c>
      <c r="AJ105">
        <v>14.163859</v>
      </c>
      <c r="AK105">
        <v>14.619954999999999</v>
      </c>
      <c r="AL105">
        <v>15.144567</v>
      </c>
      <c r="AM105">
        <v>15.67942</v>
      </c>
      <c r="AN105">
        <v>16.245491000000001</v>
      </c>
      <c r="AO105" s="4">
        <v>3.3000000000000002E-2</v>
      </c>
    </row>
    <row r="106" spans="1:41" x14ac:dyDescent="0.3">
      <c r="A106" t="s">
        <v>300</v>
      </c>
      <c r="B106" t="s">
        <v>478</v>
      </c>
      <c r="C106" t="s">
        <v>479</v>
      </c>
      <c r="D106" t="s">
        <v>400</v>
      </c>
      <c r="F106">
        <v>4.2285810000000001</v>
      </c>
      <c r="G106">
        <v>4.2371480000000004</v>
      </c>
      <c r="H106">
        <v>4.2631420000000002</v>
      </c>
      <c r="I106">
        <v>4.4284270000000001</v>
      </c>
      <c r="J106">
        <v>4.6260089999999998</v>
      </c>
      <c r="K106">
        <v>4.7798280000000002</v>
      </c>
      <c r="L106">
        <v>4.9564459999999997</v>
      </c>
      <c r="M106">
        <v>5.1525650000000001</v>
      </c>
      <c r="N106">
        <v>5.3418559999999999</v>
      </c>
      <c r="O106">
        <v>5.5300320000000003</v>
      </c>
      <c r="P106">
        <v>5.6955900000000002</v>
      </c>
      <c r="Q106">
        <v>5.8425079999999996</v>
      </c>
      <c r="R106">
        <v>5.9781399999999998</v>
      </c>
      <c r="S106">
        <v>6.1222269999999996</v>
      </c>
      <c r="T106">
        <v>6.2776100000000001</v>
      </c>
      <c r="U106">
        <v>6.4405390000000002</v>
      </c>
      <c r="V106">
        <v>6.6078640000000002</v>
      </c>
      <c r="W106">
        <v>6.7850970000000004</v>
      </c>
      <c r="X106">
        <v>6.9551420000000004</v>
      </c>
      <c r="Y106">
        <v>7.1498970000000002</v>
      </c>
      <c r="Z106">
        <v>7.3407489999999997</v>
      </c>
      <c r="AA106">
        <v>7.5377039999999997</v>
      </c>
      <c r="AB106">
        <v>7.7379939999999996</v>
      </c>
      <c r="AC106">
        <v>7.9342240000000004</v>
      </c>
      <c r="AD106">
        <v>8.1494420000000005</v>
      </c>
      <c r="AE106">
        <v>8.3779990000000009</v>
      </c>
      <c r="AF106">
        <v>8.5975610000000007</v>
      </c>
      <c r="AG106">
        <v>8.8418550000000007</v>
      </c>
      <c r="AH106">
        <v>9.1017019999999995</v>
      </c>
      <c r="AI106">
        <v>9.3854570000000006</v>
      </c>
      <c r="AJ106">
        <v>9.6790889999999994</v>
      </c>
      <c r="AK106">
        <v>9.9918250000000004</v>
      </c>
      <c r="AL106">
        <v>10.329154000000001</v>
      </c>
      <c r="AM106">
        <v>10.667631</v>
      </c>
      <c r="AN106">
        <v>11.028432</v>
      </c>
      <c r="AO106" s="4">
        <v>2.9000000000000001E-2</v>
      </c>
    </row>
    <row r="107" spans="1:41" x14ac:dyDescent="0.3">
      <c r="A107" t="s">
        <v>366</v>
      </c>
      <c r="B107" t="s">
        <v>480</v>
      </c>
      <c r="C107" t="s">
        <v>481</v>
      </c>
      <c r="D107" t="s">
        <v>400</v>
      </c>
      <c r="F107">
        <v>2.222153</v>
      </c>
      <c r="G107">
        <v>2.204637</v>
      </c>
      <c r="H107">
        <v>2.272386</v>
      </c>
      <c r="I107">
        <v>2.379203</v>
      </c>
      <c r="J107">
        <v>2.4761820000000001</v>
      </c>
      <c r="K107">
        <v>2.5478830000000001</v>
      </c>
      <c r="L107">
        <v>2.6025390000000002</v>
      </c>
      <c r="M107">
        <v>2.6759930000000001</v>
      </c>
      <c r="N107">
        <v>2.76607</v>
      </c>
      <c r="O107">
        <v>2.848487</v>
      </c>
      <c r="P107">
        <v>2.9200560000000002</v>
      </c>
      <c r="Q107">
        <v>2.9905349999999999</v>
      </c>
      <c r="R107">
        <v>3.0558779999999999</v>
      </c>
      <c r="S107">
        <v>3.1274389999999999</v>
      </c>
      <c r="T107">
        <v>3.2065760000000001</v>
      </c>
      <c r="U107">
        <v>3.2809560000000002</v>
      </c>
      <c r="V107">
        <v>3.3568560000000001</v>
      </c>
      <c r="W107">
        <v>3.4459599999999999</v>
      </c>
      <c r="X107">
        <v>3.534538</v>
      </c>
      <c r="Y107">
        <v>3.6354899999999999</v>
      </c>
      <c r="Z107">
        <v>3.7344390000000001</v>
      </c>
      <c r="AA107">
        <v>3.844484</v>
      </c>
      <c r="AB107">
        <v>3.950078</v>
      </c>
      <c r="AC107">
        <v>4.067024</v>
      </c>
      <c r="AD107">
        <v>4.1718140000000004</v>
      </c>
      <c r="AE107">
        <v>4.2855379999999998</v>
      </c>
      <c r="AF107">
        <v>4.4013520000000002</v>
      </c>
      <c r="AG107">
        <v>4.516362</v>
      </c>
      <c r="AH107">
        <v>4.6355500000000003</v>
      </c>
      <c r="AI107">
        <v>4.7565359999999997</v>
      </c>
      <c r="AJ107">
        <v>4.8845919999999996</v>
      </c>
      <c r="AK107">
        <v>5.0130090000000003</v>
      </c>
      <c r="AL107">
        <v>5.1469050000000003</v>
      </c>
      <c r="AM107">
        <v>5.2938919999999996</v>
      </c>
      <c r="AN107">
        <v>5.4388019999999999</v>
      </c>
      <c r="AO107" s="4">
        <v>2.8000000000000001E-2</v>
      </c>
    </row>
    <row r="108" spans="1:41" x14ac:dyDescent="0.3">
      <c r="A108" t="s">
        <v>306</v>
      </c>
      <c r="B108" t="s">
        <v>482</v>
      </c>
      <c r="C108" t="s">
        <v>483</v>
      </c>
      <c r="D108" t="s">
        <v>400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t="s">
        <v>309</v>
      </c>
    </row>
    <row r="109" spans="1:41" x14ac:dyDescent="0.3">
      <c r="A109" t="s">
        <v>274</v>
      </c>
      <c r="B109" t="s">
        <v>484</v>
      </c>
      <c r="C109" t="s">
        <v>485</v>
      </c>
      <c r="D109" t="s">
        <v>400</v>
      </c>
      <c r="F109">
        <v>30.275749000000001</v>
      </c>
      <c r="G109">
        <v>30.930848999999998</v>
      </c>
      <c r="H109">
        <v>31.716187000000001</v>
      </c>
      <c r="I109">
        <v>32.760693000000003</v>
      </c>
      <c r="J109">
        <v>34.356189999999998</v>
      </c>
      <c r="K109">
        <v>35.179671999999997</v>
      </c>
      <c r="L109">
        <v>36.141083000000002</v>
      </c>
      <c r="M109">
        <v>37.114784</v>
      </c>
      <c r="N109">
        <v>38.117435</v>
      </c>
      <c r="O109">
        <v>39.449303</v>
      </c>
      <c r="P109">
        <v>40.483128000000001</v>
      </c>
      <c r="Q109">
        <v>41.475067000000003</v>
      </c>
      <c r="R109">
        <v>42.412128000000003</v>
      </c>
      <c r="S109">
        <v>43.370361000000003</v>
      </c>
      <c r="T109">
        <v>44.402465999999997</v>
      </c>
      <c r="U109">
        <v>45.502791999999999</v>
      </c>
      <c r="V109">
        <v>46.506976999999999</v>
      </c>
      <c r="W109">
        <v>47.513638</v>
      </c>
      <c r="X109">
        <v>48.513710000000003</v>
      </c>
      <c r="Y109">
        <v>49.520924000000001</v>
      </c>
      <c r="Z109">
        <v>50.620361000000003</v>
      </c>
      <c r="AA109">
        <v>51.716335000000001</v>
      </c>
      <c r="AB109">
        <v>52.898254000000001</v>
      </c>
      <c r="AC109">
        <v>54.099957000000003</v>
      </c>
      <c r="AD109">
        <v>55.306522000000001</v>
      </c>
      <c r="AE109">
        <v>56.536124999999998</v>
      </c>
      <c r="AF109">
        <v>57.755676000000001</v>
      </c>
      <c r="AG109">
        <v>59.010829999999999</v>
      </c>
      <c r="AH109">
        <v>60.333236999999997</v>
      </c>
      <c r="AI109">
        <v>61.706145999999997</v>
      </c>
      <c r="AJ109">
        <v>62.999854999999997</v>
      </c>
      <c r="AK109">
        <v>64.498588999999996</v>
      </c>
      <c r="AL109">
        <v>66.231903000000003</v>
      </c>
      <c r="AM109">
        <v>67.822365000000005</v>
      </c>
      <c r="AN109">
        <v>69.142273000000003</v>
      </c>
      <c r="AO109" s="4">
        <v>2.5000000000000001E-2</v>
      </c>
    </row>
    <row r="110" spans="1:41" x14ac:dyDescent="0.3">
      <c r="A110" t="s">
        <v>373</v>
      </c>
      <c r="C110" t="s">
        <v>486</v>
      </c>
    </row>
    <row r="111" spans="1:41" x14ac:dyDescent="0.3">
      <c r="A111" t="s">
        <v>487</v>
      </c>
      <c r="C111" t="s">
        <v>488</v>
      </c>
    </row>
    <row r="112" spans="1:41" x14ac:dyDescent="0.3">
      <c r="A112" t="s">
        <v>262</v>
      </c>
      <c r="B112" t="s">
        <v>489</v>
      </c>
      <c r="C112" t="s">
        <v>490</v>
      </c>
      <c r="D112" t="s">
        <v>491</v>
      </c>
      <c r="F112">
        <v>234.524902</v>
      </c>
      <c r="G112">
        <v>240.07025100000001</v>
      </c>
      <c r="H112">
        <v>251.41345200000001</v>
      </c>
      <c r="I112">
        <v>264.742615</v>
      </c>
      <c r="J112">
        <v>278.13180499999999</v>
      </c>
      <c r="K112">
        <v>285.65414399999997</v>
      </c>
      <c r="L112">
        <v>293.64627100000001</v>
      </c>
      <c r="M112">
        <v>303.25262500000002</v>
      </c>
      <c r="N112">
        <v>313.43472300000002</v>
      </c>
      <c r="O112">
        <v>323.62426799999997</v>
      </c>
      <c r="P112">
        <v>332.54925500000002</v>
      </c>
      <c r="Q112">
        <v>341.75149499999998</v>
      </c>
      <c r="R112">
        <v>350.42746</v>
      </c>
      <c r="S112">
        <v>360.35775799999999</v>
      </c>
      <c r="T112">
        <v>368.969604</v>
      </c>
      <c r="U112">
        <v>378.66461199999998</v>
      </c>
      <c r="V112">
        <v>387.99240099999997</v>
      </c>
      <c r="W112">
        <v>397.72409099999999</v>
      </c>
      <c r="X112">
        <v>407.86935399999999</v>
      </c>
      <c r="Y112">
        <v>418.24566700000003</v>
      </c>
      <c r="Z112">
        <v>429.76327500000002</v>
      </c>
      <c r="AA112">
        <v>441.40057400000001</v>
      </c>
      <c r="AB112">
        <v>453.65432700000002</v>
      </c>
      <c r="AC112">
        <v>466.00335699999999</v>
      </c>
      <c r="AD112">
        <v>478.029358</v>
      </c>
      <c r="AE112">
        <v>490.88287400000002</v>
      </c>
      <c r="AF112">
        <v>504.05593900000002</v>
      </c>
      <c r="AG112">
        <v>517.31555200000003</v>
      </c>
      <c r="AH112">
        <v>531.70361300000002</v>
      </c>
      <c r="AI112">
        <v>547.24176</v>
      </c>
      <c r="AJ112">
        <v>562.28381300000001</v>
      </c>
      <c r="AK112">
        <v>579.14312700000005</v>
      </c>
      <c r="AL112">
        <v>597.25482199999999</v>
      </c>
      <c r="AM112">
        <v>614.49285899999995</v>
      </c>
      <c r="AN112">
        <v>630.26257299999997</v>
      </c>
      <c r="AO112" s="4">
        <v>0.03</v>
      </c>
    </row>
    <row r="113" spans="1:41" x14ac:dyDescent="0.3">
      <c r="A113" t="s">
        <v>277</v>
      </c>
      <c r="B113" t="s">
        <v>492</v>
      </c>
      <c r="C113" t="s">
        <v>493</v>
      </c>
      <c r="D113" t="s">
        <v>491</v>
      </c>
      <c r="F113">
        <v>179.452393</v>
      </c>
      <c r="G113">
        <v>186.12934899999999</v>
      </c>
      <c r="H113">
        <v>194.06448399999999</v>
      </c>
      <c r="I113">
        <v>202.14398199999999</v>
      </c>
      <c r="J113">
        <v>213.76028400000001</v>
      </c>
      <c r="K113">
        <v>219.65557899999999</v>
      </c>
      <c r="L113">
        <v>226.70959500000001</v>
      </c>
      <c r="M113">
        <v>234.775406</v>
      </c>
      <c r="N113">
        <v>242.905609</v>
      </c>
      <c r="O113">
        <v>252.16426100000001</v>
      </c>
      <c r="P113">
        <v>259.05349699999999</v>
      </c>
      <c r="Q113">
        <v>266.51635700000003</v>
      </c>
      <c r="R113">
        <v>273.53530899999998</v>
      </c>
      <c r="S113">
        <v>281.38793900000002</v>
      </c>
      <c r="T113">
        <v>288.51870700000001</v>
      </c>
      <c r="U113">
        <v>296.397919</v>
      </c>
      <c r="V113">
        <v>303.92498799999998</v>
      </c>
      <c r="W113">
        <v>311.79699699999998</v>
      </c>
      <c r="X113">
        <v>319.95730600000002</v>
      </c>
      <c r="Y113">
        <v>328.34991500000001</v>
      </c>
      <c r="Z113">
        <v>337.835419</v>
      </c>
      <c r="AA113">
        <v>347.41336100000001</v>
      </c>
      <c r="AB113">
        <v>357.64901700000001</v>
      </c>
      <c r="AC113">
        <v>368.11200000000002</v>
      </c>
      <c r="AD113">
        <v>378.40115400000002</v>
      </c>
      <c r="AE113">
        <v>389.36785900000001</v>
      </c>
      <c r="AF113">
        <v>400.74652099999997</v>
      </c>
      <c r="AG113">
        <v>412.606628</v>
      </c>
      <c r="AH113">
        <v>425.10119600000002</v>
      </c>
      <c r="AI113">
        <v>438.55660999999998</v>
      </c>
      <c r="AJ113">
        <v>451.93884300000002</v>
      </c>
      <c r="AK113">
        <v>467.31915300000003</v>
      </c>
      <c r="AL113">
        <v>484.35882600000002</v>
      </c>
      <c r="AM113">
        <v>501.18817100000001</v>
      </c>
      <c r="AN113">
        <v>517.40319799999997</v>
      </c>
      <c r="AO113" s="4">
        <v>3.1E-2</v>
      </c>
    </row>
    <row r="114" spans="1:41" x14ac:dyDescent="0.3">
      <c r="A114" t="s">
        <v>290</v>
      </c>
      <c r="B114" t="s">
        <v>494</v>
      </c>
      <c r="C114" t="s">
        <v>495</v>
      </c>
      <c r="D114" t="s">
        <v>491</v>
      </c>
      <c r="F114">
        <v>152.44574</v>
      </c>
      <c r="G114">
        <v>173.36462399999999</v>
      </c>
      <c r="H114">
        <v>182.75610399999999</v>
      </c>
      <c r="I114">
        <v>194.74771100000001</v>
      </c>
      <c r="J114">
        <v>222.662766</v>
      </c>
      <c r="K114">
        <v>238.09345999999999</v>
      </c>
      <c r="L114">
        <v>252.13751199999999</v>
      </c>
      <c r="M114">
        <v>267.02319299999999</v>
      </c>
      <c r="N114">
        <v>283.33865400000002</v>
      </c>
      <c r="O114">
        <v>296.81732199999999</v>
      </c>
      <c r="P114">
        <v>304.52920499999999</v>
      </c>
      <c r="Q114">
        <v>316.79480000000001</v>
      </c>
      <c r="R114">
        <v>329.59420799999998</v>
      </c>
      <c r="S114">
        <v>343.62762500000002</v>
      </c>
      <c r="T114">
        <v>355.73928799999999</v>
      </c>
      <c r="U114">
        <v>369.76223800000002</v>
      </c>
      <c r="V114">
        <v>382.40982100000002</v>
      </c>
      <c r="W114">
        <v>396.13433800000001</v>
      </c>
      <c r="X114">
        <v>409.52645899999999</v>
      </c>
      <c r="Y114">
        <v>422.994843</v>
      </c>
      <c r="Z114">
        <v>438.84182700000002</v>
      </c>
      <c r="AA114">
        <v>456.297821</v>
      </c>
      <c r="AB114">
        <v>476.00836199999998</v>
      </c>
      <c r="AC114">
        <v>492.83099399999998</v>
      </c>
      <c r="AD114">
        <v>509.38894699999997</v>
      </c>
      <c r="AE114">
        <v>528.25341800000001</v>
      </c>
      <c r="AF114">
        <v>545.24987799999997</v>
      </c>
      <c r="AG114">
        <v>562.849243</v>
      </c>
      <c r="AH114">
        <v>580.84442100000001</v>
      </c>
      <c r="AI114">
        <v>600.77288799999997</v>
      </c>
      <c r="AJ114">
        <v>618.72406000000001</v>
      </c>
      <c r="AK114">
        <v>640.27752699999996</v>
      </c>
      <c r="AL114">
        <v>664.44744900000001</v>
      </c>
      <c r="AM114">
        <v>686.93627900000001</v>
      </c>
      <c r="AN114">
        <v>711.235229</v>
      </c>
      <c r="AO114" s="4">
        <v>4.3999999999999997E-2</v>
      </c>
    </row>
    <row r="115" spans="1:41" x14ac:dyDescent="0.3">
      <c r="A115" t="s">
        <v>312</v>
      </c>
      <c r="B115" t="s">
        <v>496</v>
      </c>
      <c r="C115" t="s">
        <v>497</v>
      </c>
      <c r="D115" t="s">
        <v>491</v>
      </c>
      <c r="F115">
        <v>456.33264200000002</v>
      </c>
      <c r="G115">
        <v>516.011169</v>
      </c>
      <c r="H115">
        <v>533.66143799999998</v>
      </c>
      <c r="I115">
        <v>558.79480000000001</v>
      </c>
      <c r="J115">
        <v>649.36541699999998</v>
      </c>
      <c r="K115">
        <v>695.77966300000003</v>
      </c>
      <c r="L115">
        <v>719.14770499999997</v>
      </c>
      <c r="M115">
        <v>736.49926800000003</v>
      </c>
      <c r="N115">
        <v>756.60485800000004</v>
      </c>
      <c r="O115">
        <v>761.573669</v>
      </c>
      <c r="P115">
        <v>769.09692399999994</v>
      </c>
      <c r="Q115">
        <v>782.571777</v>
      </c>
      <c r="R115">
        <v>798.53100600000005</v>
      </c>
      <c r="S115">
        <v>818.23278800000003</v>
      </c>
      <c r="T115">
        <v>833.72699</v>
      </c>
      <c r="U115">
        <v>857.96020499999997</v>
      </c>
      <c r="V115">
        <v>876.41900599999997</v>
      </c>
      <c r="W115">
        <v>897.456909</v>
      </c>
      <c r="X115">
        <v>922.211365</v>
      </c>
      <c r="Y115">
        <v>944.50622599999997</v>
      </c>
      <c r="Z115">
        <v>968.990906</v>
      </c>
      <c r="AA115">
        <v>1006.955872</v>
      </c>
      <c r="AB115">
        <v>1035.600586</v>
      </c>
      <c r="AC115">
        <v>1068.04187</v>
      </c>
      <c r="AD115">
        <v>1103.399414</v>
      </c>
      <c r="AE115">
        <v>1140.9414059999999</v>
      </c>
      <c r="AF115">
        <v>1176.779419</v>
      </c>
      <c r="AG115">
        <v>1214.596436</v>
      </c>
      <c r="AH115">
        <v>1254.8079829999999</v>
      </c>
      <c r="AI115">
        <v>1296.197388</v>
      </c>
      <c r="AJ115">
        <v>1333.0203859999999</v>
      </c>
      <c r="AK115">
        <v>1383.5179439999999</v>
      </c>
      <c r="AL115">
        <v>1440.099121</v>
      </c>
      <c r="AM115">
        <v>1492.2380370000001</v>
      </c>
      <c r="AN115">
        <v>1547.4068600000001</v>
      </c>
      <c r="AO115" s="4">
        <v>3.4000000000000002E-2</v>
      </c>
    </row>
    <row r="116" spans="1:41" x14ac:dyDescent="0.3">
      <c r="A116" t="s">
        <v>386</v>
      </c>
      <c r="B116" t="s">
        <v>498</v>
      </c>
      <c r="C116" t="s">
        <v>499</v>
      </c>
      <c r="D116" t="s">
        <v>491</v>
      </c>
      <c r="F116">
        <v>1022.755676</v>
      </c>
      <c r="G116">
        <v>1115.575439</v>
      </c>
      <c r="H116">
        <v>1161.8955080000001</v>
      </c>
      <c r="I116">
        <v>1220.429077</v>
      </c>
      <c r="J116">
        <v>1363.920288</v>
      </c>
      <c r="K116">
        <v>1439.182861</v>
      </c>
      <c r="L116">
        <v>1491.6411129999999</v>
      </c>
      <c r="M116">
        <v>1541.5505370000001</v>
      </c>
      <c r="N116">
        <v>1596.283813</v>
      </c>
      <c r="O116">
        <v>1634.179443</v>
      </c>
      <c r="P116">
        <v>1665.2288820000001</v>
      </c>
      <c r="Q116">
        <v>1707.6345209999999</v>
      </c>
      <c r="R116">
        <v>1752.0878909999999</v>
      </c>
      <c r="S116">
        <v>1803.6060789999999</v>
      </c>
      <c r="T116">
        <v>1846.954712</v>
      </c>
      <c r="U116">
        <v>1902.785034</v>
      </c>
      <c r="V116">
        <v>1950.7463379999999</v>
      </c>
      <c r="W116">
        <v>2003.112183</v>
      </c>
      <c r="X116">
        <v>2059.564453</v>
      </c>
      <c r="Y116">
        <v>2114.0966800000001</v>
      </c>
      <c r="Z116">
        <v>2175.4313959999999</v>
      </c>
      <c r="AA116">
        <v>2252.0676269999999</v>
      </c>
      <c r="AB116">
        <v>2322.9121089999999</v>
      </c>
      <c r="AC116">
        <v>2394.9880370000001</v>
      </c>
      <c r="AD116">
        <v>2469.2189939999998</v>
      </c>
      <c r="AE116">
        <v>2549.445557</v>
      </c>
      <c r="AF116">
        <v>2626.8317870000001</v>
      </c>
      <c r="AG116">
        <v>2707.3679200000001</v>
      </c>
      <c r="AH116">
        <v>2792.4570309999999</v>
      </c>
      <c r="AI116">
        <v>2882.7685550000001</v>
      </c>
      <c r="AJ116">
        <v>2965.9670409999999</v>
      </c>
      <c r="AK116">
        <v>3070.258057</v>
      </c>
      <c r="AL116">
        <v>3186.1599120000001</v>
      </c>
      <c r="AM116">
        <v>3294.8549800000001</v>
      </c>
      <c r="AN116">
        <v>3406.3078609999998</v>
      </c>
      <c r="AO116" s="4">
        <v>3.4000000000000002E-2</v>
      </c>
    </row>
    <row r="117" spans="1:41" x14ac:dyDescent="0.3">
      <c r="A117" t="s">
        <v>389</v>
      </c>
      <c r="B117" t="s">
        <v>500</v>
      </c>
      <c r="C117" t="s">
        <v>501</v>
      </c>
      <c r="D117" t="s">
        <v>491</v>
      </c>
      <c r="F117">
        <v>0.17177899999999999</v>
      </c>
      <c r="G117">
        <v>0.22597700000000001</v>
      </c>
      <c r="H117">
        <v>1.1626000000000001</v>
      </c>
      <c r="I117">
        <v>1.5324150000000001</v>
      </c>
      <c r="J117">
        <v>2.0605899999999999</v>
      </c>
      <c r="K117">
        <v>2.601963</v>
      </c>
      <c r="L117">
        <v>3.2585459999999999</v>
      </c>
      <c r="M117">
        <v>4.4482179999999998</v>
      </c>
      <c r="N117">
        <v>5.7166699999999997</v>
      </c>
      <c r="O117">
        <v>6.8220070000000002</v>
      </c>
      <c r="P117">
        <v>7.1466830000000003</v>
      </c>
      <c r="Q117">
        <v>7.7874059999999998</v>
      </c>
      <c r="R117">
        <v>8.2027629999999991</v>
      </c>
      <c r="S117">
        <v>8.6171039999999994</v>
      </c>
      <c r="T117">
        <v>8.9656590000000005</v>
      </c>
      <c r="U117">
        <v>9.0318159999999992</v>
      </c>
      <c r="V117">
        <v>9.2402309999999996</v>
      </c>
      <c r="W117">
        <v>9.7317319999999992</v>
      </c>
      <c r="X117">
        <v>10.317613</v>
      </c>
      <c r="Y117">
        <v>10.863383000000001</v>
      </c>
      <c r="Z117">
        <v>11.284810999999999</v>
      </c>
      <c r="AA117">
        <v>11.928769000000001</v>
      </c>
      <c r="AB117">
        <v>12.375463</v>
      </c>
      <c r="AC117">
        <v>12.782006000000001</v>
      </c>
      <c r="AD117">
        <v>13.109090999999999</v>
      </c>
      <c r="AE117">
        <v>13.323460000000001</v>
      </c>
      <c r="AF117">
        <v>13.456027000000001</v>
      </c>
      <c r="AG117">
        <v>13.526736</v>
      </c>
      <c r="AH117">
        <v>13.285348000000001</v>
      </c>
      <c r="AI117">
        <v>13.770208999999999</v>
      </c>
      <c r="AJ117">
        <v>14.119766</v>
      </c>
      <c r="AK117">
        <v>14.244237</v>
      </c>
      <c r="AL117">
        <v>13.247375999999999</v>
      </c>
      <c r="AM117">
        <v>11.723658</v>
      </c>
      <c r="AN117">
        <v>11.580465999999999</v>
      </c>
      <c r="AO117" s="4">
        <v>0.127</v>
      </c>
    </row>
    <row r="118" spans="1:41" x14ac:dyDescent="0.3">
      <c r="A118" t="s">
        <v>392</v>
      </c>
      <c r="B118" t="s">
        <v>502</v>
      </c>
      <c r="C118" t="s">
        <v>503</v>
      </c>
      <c r="D118" t="s">
        <v>491</v>
      </c>
      <c r="F118">
        <v>1022.927429</v>
      </c>
      <c r="G118">
        <v>1115.8013920000001</v>
      </c>
      <c r="H118">
        <v>1163.0581050000001</v>
      </c>
      <c r="I118">
        <v>1221.9614260000001</v>
      </c>
      <c r="J118">
        <v>1365.9808350000001</v>
      </c>
      <c r="K118">
        <v>1441.7847899999999</v>
      </c>
      <c r="L118">
        <v>1494.8995359999999</v>
      </c>
      <c r="M118">
        <v>1545.9989009999999</v>
      </c>
      <c r="N118">
        <v>1602.000366</v>
      </c>
      <c r="O118">
        <v>1641.0014650000001</v>
      </c>
      <c r="P118">
        <v>1672.3756100000001</v>
      </c>
      <c r="Q118">
        <v>1715.4217530000001</v>
      </c>
      <c r="R118">
        <v>1760.290894</v>
      </c>
      <c r="S118">
        <v>1812.2230219999999</v>
      </c>
      <c r="T118">
        <v>1855.920288</v>
      </c>
      <c r="U118">
        <v>1911.81665</v>
      </c>
      <c r="V118">
        <v>1959.986572</v>
      </c>
      <c r="W118">
        <v>2012.8438719999999</v>
      </c>
      <c r="X118">
        <v>2069.8820799999999</v>
      </c>
      <c r="Y118">
        <v>2124.9602049999999</v>
      </c>
      <c r="Z118">
        <v>2186.7160640000002</v>
      </c>
      <c r="AA118">
        <v>2263.9965820000002</v>
      </c>
      <c r="AB118">
        <v>2335.2875979999999</v>
      </c>
      <c r="AC118">
        <v>2407.7700199999999</v>
      </c>
      <c r="AD118">
        <v>2482.328125</v>
      </c>
      <c r="AE118">
        <v>2562.7687989999999</v>
      </c>
      <c r="AF118">
        <v>2640.2878420000002</v>
      </c>
      <c r="AG118">
        <v>2720.8945309999999</v>
      </c>
      <c r="AH118">
        <v>2805.7426759999998</v>
      </c>
      <c r="AI118">
        <v>2896.538818</v>
      </c>
      <c r="AJ118">
        <v>2980.086914</v>
      </c>
      <c r="AK118">
        <v>3084.501953</v>
      </c>
      <c r="AL118">
        <v>3199.407471</v>
      </c>
      <c r="AM118">
        <v>3306.578857</v>
      </c>
      <c r="AN118">
        <v>3417.8884280000002</v>
      </c>
      <c r="AO118" s="4">
        <v>3.5000000000000003E-2</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F810B-267C-4318-95D5-426276D76816}">
  <dimension ref="B3:G32"/>
  <sheetViews>
    <sheetView zoomScale="90" zoomScaleNormal="90" workbookViewId="0">
      <selection activeCell="J30" sqref="J30"/>
    </sheetView>
  </sheetViews>
  <sheetFormatPr defaultRowHeight="14.4" x14ac:dyDescent="0.3"/>
  <cols>
    <col min="2" max="2" width="36" customWidth="1"/>
    <col min="3" max="4" width="19.88671875" customWidth="1"/>
    <col min="5" max="5" width="16.33203125" bestFit="1" customWidth="1"/>
    <col min="6" max="6" width="13" bestFit="1" customWidth="1"/>
    <col min="7" max="7" width="12.6640625" bestFit="1" customWidth="1"/>
    <col min="8" max="8" width="16.109375" bestFit="1" customWidth="1"/>
  </cols>
  <sheetData>
    <row r="3" spans="2:7" ht="15" thickBot="1" x14ac:dyDescent="0.35">
      <c r="C3" t="s">
        <v>593</v>
      </c>
      <c r="D3" t="s">
        <v>594</v>
      </c>
      <c r="E3" t="s">
        <v>595</v>
      </c>
    </row>
    <row r="4" spans="2:7" x14ac:dyDescent="0.3">
      <c r="B4" s="314" t="s">
        <v>196</v>
      </c>
      <c r="C4" s="316">
        <v>69301506.66602926</v>
      </c>
      <c r="D4" s="316">
        <v>58082166.866095111</v>
      </c>
      <c r="E4" s="420">
        <v>52272520.501493044</v>
      </c>
    </row>
    <row r="5" spans="2:7" x14ac:dyDescent="0.3">
      <c r="B5" s="155" t="s">
        <v>199</v>
      </c>
      <c r="C5" s="317">
        <v>2.9556578180091497E-2</v>
      </c>
      <c r="D5" s="317">
        <v>2.7711953146863477E-2</v>
      </c>
      <c r="E5" s="421">
        <v>2.6662373228071967E-2</v>
      </c>
    </row>
    <row r="6" spans="2:7" x14ac:dyDescent="0.3">
      <c r="B6" s="155" t="s">
        <v>533</v>
      </c>
      <c r="C6" s="318">
        <v>-9110188.5912974011</v>
      </c>
      <c r="D6" s="318">
        <v>-9110188.5912974011</v>
      </c>
      <c r="E6" s="422">
        <v>-9110188.5912974011</v>
      </c>
    </row>
    <row r="7" spans="2:7" x14ac:dyDescent="0.3">
      <c r="B7" s="155" t="s">
        <v>542</v>
      </c>
      <c r="C7" s="318">
        <v>1063451.3396166449</v>
      </c>
      <c r="D7" s="318">
        <v>1063451.3396166449</v>
      </c>
      <c r="E7" s="422">
        <v>1063451.3396166449</v>
      </c>
    </row>
    <row r="8" spans="2:7" x14ac:dyDescent="0.3">
      <c r="B8" s="155" t="s">
        <v>543</v>
      </c>
      <c r="C8" s="319">
        <v>2.0736690894148986E-2</v>
      </c>
      <c r="D8" s="319">
        <v>2.0736690894148986E-2</v>
      </c>
      <c r="E8" s="423">
        <v>2.0736690894148986E-2</v>
      </c>
    </row>
    <row r="9" spans="2:7" x14ac:dyDescent="0.3">
      <c r="B9" s="155" t="s">
        <v>541</v>
      </c>
      <c r="C9" s="318">
        <v>-12738684.562069394</v>
      </c>
      <c r="D9" s="318">
        <v>-12738684.562069394</v>
      </c>
      <c r="E9" s="422">
        <v>-12738684.562069394</v>
      </c>
    </row>
    <row r="10" spans="2:7" x14ac:dyDescent="0.3">
      <c r="B10" s="155" t="s">
        <v>530</v>
      </c>
      <c r="C10" s="318">
        <v>14643862986.566124</v>
      </c>
      <c r="D10" s="318">
        <v>14643862986.566124</v>
      </c>
      <c r="E10" s="422">
        <v>14643862986.566124</v>
      </c>
    </row>
    <row r="11" spans="2:7" ht="15" thickBot="1" x14ac:dyDescent="0.35">
      <c r="B11" s="168" t="s">
        <v>531</v>
      </c>
      <c r="C11" s="320">
        <v>6644220.955792252</v>
      </c>
      <c r="D11" s="320">
        <v>6644220.955792252</v>
      </c>
      <c r="E11" s="424">
        <v>6644220.955792252</v>
      </c>
    </row>
    <row r="13" spans="2:7" x14ac:dyDescent="0.3">
      <c r="B13" s="156" t="s">
        <v>597</v>
      </c>
      <c r="C13" s="411"/>
      <c r="D13" s="411"/>
      <c r="E13" s="411"/>
      <c r="F13" s="411"/>
      <c r="G13" s="411"/>
    </row>
    <row r="14" spans="2:7" s="29" customFormat="1" x14ac:dyDescent="0.3"/>
    <row r="20" spans="2:7" ht="15" thickBot="1" x14ac:dyDescent="0.35"/>
    <row r="21" spans="2:7" ht="29.4" thickBot="1" x14ac:dyDescent="0.35">
      <c r="B21" s="377"/>
      <c r="C21" s="389" t="s">
        <v>606</v>
      </c>
      <c r="D21" s="378" t="s">
        <v>607</v>
      </c>
      <c r="E21" s="413" t="s">
        <v>624</v>
      </c>
      <c r="F21" s="418" t="s">
        <v>625</v>
      </c>
      <c r="G21" s="419" t="s">
        <v>626</v>
      </c>
    </row>
    <row r="22" spans="2:7" x14ac:dyDescent="0.3">
      <c r="B22" s="379" t="s">
        <v>598</v>
      </c>
      <c r="C22" s="390" t="s">
        <v>596</v>
      </c>
      <c r="D22" s="380" t="s">
        <v>585</v>
      </c>
      <c r="E22" s="398" t="s">
        <v>85</v>
      </c>
      <c r="F22" s="207"/>
      <c r="G22" s="290"/>
    </row>
    <row r="23" spans="2:7" x14ac:dyDescent="0.3">
      <c r="B23" s="379" t="s">
        <v>599</v>
      </c>
      <c r="C23" s="391" t="s">
        <v>596</v>
      </c>
      <c r="D23" s="380" t="s">
        <v>585</v>
      </c>
      <c r="E23" s="399" t="s">
        <v>88</v>
      </c>
      <c r="F23" s="207"/>
      <c r="G23" s="290"/>
    </row>
    <row r="24" spans="2:7" x14ac:dyDescent="0.3">
      <c r="B24" s="379" t="s">
        <v>600</v>
      </c>
      <c r="C24" s="392">
        <v>0.9</v>
      </c>
      <c r="D24" s="380" t="s">
        <v>602</v>
      </c>
      <c r="E24" s="400">
        <v>0.5</v>
      </c>
      <c r="F24" s="207"/>
      <c r="G24" s="290"/>
    </row>
    <row r="25" spans="2:7" x14ac:dyDescent="0.3">
      <c r="B25" s="379" t="s">
        <v>601</v>
      </c>
      <c r="C25" s="393" t="s">
        <v>585</v>
      </c>
      <c r="D25" s="380" t="s">
        <v>596</v>
      </c>
      <c r="E25" s="401" t="s">
        <v>585</v>
      </c>
      <c r="F25" s="207"/>
      <c r="G25" s="290"/>
    </row>
    <row r="26" spans="2:7" ht="4.5" customHeight="1" x14ac:dyDescent="0.3">
      <c r="B26" s="379"/>
      <c r="C26" s="393"/>
      <c r="D26" s="380"/>
      <c r="E26" s="401"/>
      <c r="F26" s="207"/>
      <c r="G26" s="290"/>
    </row>
    <row r="27" spans="2:7" x14ac:dyDescent="0.3">
      <c r="B27" s="381" t="s">
        <v>603</v>
      </c>
      <c r="C27" s="394">
        <f t="shared" ref="C27:D29" si="0">ROUND(F27,-6)</f>
        <v>136000000</v>
      </c>
      <c r="D27" s="382">
        <f t="shared" si="0"/>
        <v>20000000</v>
      </c>
      <c r="E27" s="402"/>
      <c r="F27" s="415">
        <v>135960156.54684126</v>
      </c>
      <c r="G27" s="376">
        <v>20133821.45338532</v>
      </c>
    </row>
    <row r="28" spans="2:7" x14ac:dyDescent="0.3">
      <c r="B28" s="381" t="s">
        <v>604</v>
      </c>
      <c r="C28" s="394">
        <f t="shared" si="0"/>
        <v>63000000</v>
      </c>
      <c r="D28" s="382">
        <f t="shared" si="0"/>
        <v>48000000</v>
      </c>
      <c r="E28" s="402"/>
      <c r="F28" s="415">
        <v>63482521.302326515</v>
      </c>
      <c r="G28" s="376">
        <v>47987701.654938556</v>
      </c>
    </row>
    <row r="29" spans="2:7" ht="15" thickBot="1" x14ac:dyDescent="0.35">
      <c r="B29" s="383" t="s">
        <v>605</v>
      </c>
      <c r="C29" s="395">
        <f t="shared" si="0"/>
        <v>-25000000</v>
      </c>
      <c r="D29" s="384">
        <f t="shared" si="0"/>
        <v>-58000000</v>
      </c>
      <c r="E29" s="403"/>
      <c r="F29" s="416">
        <v>-25139502.277022257</v>
      </c>
      <c r="G29" s="417">
        <v>-58021429.403559625</v>
      </c>
    </row>
    <row r="30" spans="2:7" x14ac:dyDescent="0.3">
      <c r="B30" s="385" t="s">
        <v>196</v>
      </c>
      <c r="C30" s="396">
        <f>ROUND(F30,-6)</f>
        <v>174000000</v>
      </c>
      <c r="D30" s="386">
        <f>ROUND(G30,-6)</f>
        <v>10000000</v>
      </c>
      <c r="E30" s="404">
        <v>78839081.782995731</v>
      </c>
      <c r="F30" s="412">
        <f>SUM(F27:F29)</f>
        <v>174303175.57214552</v>
      </c>
      <c r="G30" s="412">
        <f t="shared" ref="G30" si="1">SUM(G27:G29)</f>
        <v>10100093.704764247</v>
      </c>
    </row>
    <row r="31" spans="2:7" ht="15" thickBot="1" x14ac:dyDescent="0.35">
      <c r="B31" s="387" t="s">
        <v>199</v>
      </c>
      <c r="C31" s="397">
        <v>4.9190101722447643E-2</v>
      </c>
      <c r="D31" s="388">
        <v>6.3471120400810932E-3</v>
      </c>
      <c r="E31" s="405">
        <v>3.1399999999999997E-2</v>
      </c>
    </row>
    <row r="32" spans="2:7" x14ac:dyDescent="0.3">
      <c r="B32" s="234"/>
      <c r="C32" s="234"/>
      <c r="D32" s="234"/>
    </row>
  </sheetData>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9"/>
  <sheetViews>
    <sheetView zoomScale="80" zoomScaleNormal="80" workbookViewId="0">
      <selection activeCell="D48" sqref="D48"/>
    </sheetView>
  </sheetViews>
  <sheetFormatPr defaultRowHeight="14.4" x14ac:dyDescent="0.3"/>
  <cols>
    <col min="1" max="1" width="13.5546875" style="331" customWidth="1"/>
    <col min="2" max="2" width="43.5546875" bestFit="1" customWidth="1"/>
    <col min="3" max="3" width="1.6640625" customWidth="1"/>
    <col min="4" max="4" width="10.6640625" style="1" bestFit="1" customWidth="1"/>
    <col min="5" max="5" width="8.88671875" bestFit="1" customWidth="1"/>
    <col min="6" max="6" width="68.6640625" bestFit="1" customWidth="1"/>
    <col min="7" max="7" width="2.109375" hidden="1" customWidth="1"/>
    <col min="8" max="8" width="10.6640625" style="1" bestFit="1" customWidth="1"/>
    <col min="9" max="10" width="13.44140625" style="1" bestFit="1" customWidth="1"/>
    <col min="11" max="11" width="60.5546875" style="429" customWidth="1"/>
  </cols>
  <sheetData>
    <row r="1" spans="1:11" ht="28.8" x14ac:dyDescent="0.3">
      <c r="D1" s="227" t="s">
        <v>620</v>
      </c>
      <c r="H1" s="227" t="s">
        <v>620</v>
      </c>
      <c r="I1" s="227" t="s">
        <v>621</v>
      </c>
      <c r="J1" s="227" t="s">
        <v>622</v>
      </c>
      <c r="K1" s="428"/>
    </row>
    <row r="2" spans="1:11" ht="56.4" customHeight="1" x14ac:dyDescent="0.3">
      <c r="A2" s="330" t="s">
        <v>556</v>
      </c>
      <c r="B2" s="194" t="s">
        <v>214</v>
      </c>
    </row>
    <row r="3" spans="1:11" ht="4.2" customHeight="1" x14ac:dyDescent="0.3">
      <c r="B3" s="20"/>
    </row>
    <row r="4" spans="1:11" x14ac:dyDescent="0.3">
      <c r="B4" s="19" t="s">
        <v>172</v>
      </c>
      <c r="D4" s="1">
        <v>2018</v>
      </c>
      <c r="H4" s="1">
        <v>2018</v>
      </c>
      <c r="I4" s="1">
        <v>2018</v>
      </c>
      <c r="J4" s="1">
        <v>2018</v>
      </c>
    </row>
    <row r="5" spans="1:11" x14ac:dyDescent="0.3">
      <c r="A5" s="331" t="s">
        <v>35</v>
      </c>
      <c r="B5" s="19" t="s">
        <v>21</v>
      </c>
      <c r="D5" s="186">
        <v>1.9E-2</v>
      </c>
      <c r="H5" s="186">
        <v>1.9E-2</v>
      </c>
      <c r="I5" s="186">
        <v>1.9E-2</v>
      </c>
      <c r="J5" s="186">
        <v>1.9E-2</v>
      </c>
      <c r="K5" s="430"/>
    </row>
    <row r="6" spans="1:11" x14ac:dyDescent="0.3">
      <c r="A6" s="331" t="s">
        <v>35</v>
      </c>
      <c r="B6" s="19" t="s">
        <v>22</v>
      </c>
      <c r="D6" s="187">
        <v>0.06</v>
      </c>
      <c r="H6" s="187">
        <v>0.06</v>
      </c>
      <c r="I6" s="187">
        <v>0.06</v>
      </c>
      <c r="J6" s="187">
        <v>0.06</v>
      </c>
      <c r="K6" s="431"/>
    </row>
    <row r="7" spans="1:11" x14ac:dyDescent="0.3">
      <c r="A7" s="331" t="s">
        <v>35</v>
      </c>
      <c r="B7" s="19" t="s">
        <v>209</v>
      </c>
      <c r="D7" s="187">
        <v>-0.01</v>
      </c>
      <c r="H7" s="187">
        <v>-0.01</v>
      </c>
      <c r="I7" s="187">
        <v>-0.01</v>
      </c>
      <c r="J7" s="187">
        <v>-0.01</v>
      </c>
      <c r="K7" s="431"/>
    </row>
    <row r="8" spans="1:11" x14ac:dyDescent="0.3">
      <c r="B8" s="19"/>
      <c r="D8" s="187"/>
      <c r="H8" s="187"/>
      <c r="I8" s="187"/>
      <c r="J8" s="187"/>
      <c r="K8" s="431"/>
    </row>
    <row r="9" spans="1:11" s="19" customFormat="1" x14ac:dyDescent="0.3">
      <c r="A9" s="332" t="s">
        <v>34</v>
      </c>
      <c r="B9" s="19" t="s">
        <v>33</v>
      </c>
      <c r="D9" s="407" t="s">
        <v>88</v>
      </c>
      <c r="E9" s="25"/>
      <c r="F9" s="25" t="s">
        <v>177</v>
      </c>
      <c r="H9" s="407" t="s">
        <v>88</v>
      </c>
      <c r="I9" s="407" t="s">
        <v>596</v>
      </c>
      <c r="J9" s="407" t="s">
        <v>585</v>
      </c>
      <c r="K9" s="432" t="s">
        <v>177</v>
      </c>
    </row>
    <row r="10" spans="1:11" s="19" customFormat="1" x14ac:dyDescent="0.3">
      <c r="A10" s="332" t="s">
        <v>45</v>
      </c>
      <c r="B10" s="19" t="s">
        <v>197</v>
      </c>
      <c r="D10" s="407" t="s">
        <v>85</v>
      </c>
      <c r="F10" t="s">
        <v>99</v>
      </c>
      <c r="H10" s="407" t="s">
        <v>85</v>
      </c>
      <c r="I10" s="407" t="s">
        <v>596</v>
      </c>
      <c r="J10" s="407" t="s">
        <v>585</v>
      </c>
      <c r="K10" s="432" t="s">
        <v>99</v>
      </c>
    </row>
    <row r="11" spans="1:11" s="19" customFormat="1" x14ac:dyDescent="0.3">
      <c r="A11" s="332"/>
      <c r="D11" s="189"/>
      <c r="F11"/>
      <c r="H11" s="189"/>
      <c r="I11" s="189"/>
      <c r="J11" s="189"/>
      <c r="K11" s="433"/>
    </row>
    <row r="12" spans="1:11" x14ac:dyDescent="0.3">
      <c r="A12" s="331" t="s">
        <v>45</v>
      </c>
      <c r="B12" s="19" t="s">
        <v>23</v>
      </c>
      <c r="D12" s="193">
        <v>179.3</v>
      </c>
      <c r="F12" t="s">
        <v>537</v>
      </c>
      <c r="H12" s="440">
        <v>179.3</v>
      </c>
      <c r="I12" s="440">
        <v>179.3</v>
      </c>
      <c r="J12" s="440">
        <v>179.3</v>
      </c>
      <c r="K12" s="441" t="s">
        <v>537</v>
      </c>
    </row>
    <row r="13" spans="1:11" x14ac:dyDescent="0.3">
      <c r="A13" s="331" t="s">
        <v>45</v>
      </c>
      <c r="B13" s="19" t="s">
        <v>24</v>
      </c>
      <c r="D13" s="196">
        <v>2.1999999999999999E-2</v>
      </c>
      <c r="H13" s="442">
        <v>2.1999999999999999E-2</v>
      </c>
      <c r="I13" s="442">
        <v>2.1999999999999999E-2</v>
      </c>
      <c r="J13" s="442">
        <v>2.1999999999999999E-2</v>
      </c>
      <c r="K13" s="443"/>
    </row>
    <row r="14" spans="1:11" x14ac:dyDescent="0.3">
      <c r="B14" s="19"/>
    </row>
    <row r="15" spans="1:11" s="19" customFormat="1" x14ac:dyDescent="0.3">
      <c r="A15" s="332" t="s">
        <v>34</v>
      </c>
      <c r="B15" s="19" t="s">
        <v>185</v>
      </c>
      <c r="D15" s="407" t="s">
        <v>85</v>
      </c>
      <c r="F15" t="s">
        <v>99</v>
      </c>
      <c r="H15" s="407" t="s">
        <v>85</v>
      </c>
      <c r="I15" s="407" t="s">
        <v>585</v>
      </c>
      <c r="J15" s="407" t="s">
        <v>596</v>
      </c>
      <c r="K15" s="432" t="s">
        <v>99</v>
      </c>
    </row>
    <row r="16" spans="1:11" s="19" customFormat="1" x14ac:dyDescent="0.3">
      <c r="A16" s="332"/>
      <c r="B16" s="19" t="s">
        <v>180</v>
      </c>
      <c r="D16" s="188">
        <v>-0.01</v>
      </c>
      <c r="E16" s="142" t="s">
        <v>34</v>
      </c>
      <c r="H16" s="188">
        <v>-0.01</v>
      </c>
      <c r="I16" s="188">
        <v>-0.01</v>
      </c>
      <c r="J16" s="188">
        <v>-0.01</v>
      </c>
      <c r="K16" s="432"/>
    </row>
    <row r="17" spans="1:11" s="19" customFormat="1" x14ac:dyDescent="0.3">
      <c r="A17" s="332"/>
      <c r="B17" s="19" t="s">
        <v>181</v>
      </c>
      <c r="D17" s="190">
        <v>1.6E-2</v>
      </c>
      <c r="E17" s="142" t="s">
        <v>45</v>
      </c>
      <c r="F17" s="19" t="s">
        <v>183</v>
      </c>
      <c r="H17" s="190">
        <v>1.6E-2</v>
      </c>
      <c r="I17" s="190">
        <v>1.6E-2</v>
      </c>
      <c r="J17" s="190">
        <v>1.6E-2</v>
      </c>
      <c r="K17" s="434" t="s">
        <v>183</v>
      </c>
    </row>
    <row r="18" spans="1:11" s="19" customFormat="1" x14ac:dyDescent="0.3">
      <c r="A18" s="332"/>
      <c r="B18" s="19" t="s">
        <v>182</v>
      </c>
      <c r="D18" s="188">
        <v>0.05</v>
      </c>
      <c r="E18" s="142" t="s">
        <v>35</v>
      </c>
      <c r="F18" s="19" t="s">
        <v>507</v>
      </c>
      <c r="H18" s="188">
        <v>0.05</v>
      </c>
      <c r="I18" s="188">
        <v>0.05</v>
      </c>
      <c r="J18" s="188">
        <v>0.05</v>
      </c>
      <c r="K18" s="432" t="s">
        <v>507</v>
      </c>
    </row>
    <row r="19" spans="1:11" s="19" customFormat="1" x14ac:dyDescent="0.3">
      <c r="A19" s="332"/>
      <c r="D19" s="188"/>
      <c r="E19" s="142"/>
      <c r="H19" s="188"/>
      <c r="I19" s="188"/>
      <c r="J19" s="188"/>
      <c r="K19" s="432"/>
    </row>
    <row r="20" spans="1:11" x14ac:dyDescent="0.3">
      <c r="A20" s="331" t="s">
        <v>45</v>
      </c>
      <c r="B20" s="20" t="s">
        <v>174</v>
      </c>
    </row>
    <row r="21" spans="1:11" x14ac:dyDescent="0.3">
      <c r="B21" t="s">
        <v>6</v>
      </c>
      <c r="D21" s="191">
        <v>0.3</v>
      </c>
      <c r="H21" s="191">
        <v>0.3</v>
      </c>
      <c r="I21" s="191">
        <v>0.3</v>
      </c>
      <c r="J21" s="191">
        <v>0.3</v>
      </c>
      <c r="K21" s="435"/>
    </row>
    <row r="22" spans="1:11" x14ac:dyDescent="0.3">
      <c r="B22" t="s">
        <v>7</v>
      </c>
      <c r="D22" s="191">
        <v>0.35</v>
      </c>
      <c r="H22" s="191">
        <v>0.35</v>
      </c>
      <c r="I22" s="191">
        <v>0.35</v>
      </c>
      <c r="J22" s="191">
        <v>0.35</v>
      </c>
      <c r="K22" s="435"/>
    </row>
    <row r="23" spans="1:11" x14ac:dyDescent="0.3">
      <c r="B23" t="s">
        <v>26</v>
      </c>
      <c r="D23" s="191">
        <v>0.15</v>
      </c>
      <c r="H23" s="191">
        <v>0.15</v>
      </c>
      <c r="I23" s="191">
        <v>0.15</v>
      </c>
      <c r="J23" s="191">
        <v>0.15</v>
      </c>
      <c r="K23" s="435"/>
    </row>
    <row r="24" spans="1:11" x14ac:dyDescent="0.3">
      <c r="B24" t="s">
        <v>25</v>
      </c>
      <c r="D24" s="191">
        <v>0.15</v>
      </c>
      <c r="H24" s="191">
        <v>0.15</v>
      </c>
      <c r="I24" s="191">
        <v>0.15</v>
      </c>
      <c r="J24" s="191">
        <v>0.15</v>
      </c>
      <c r="K24" s="435"/>
    </row>
    <row r="25" spans="1:11" x14ac:dyDescent="0.3">
      <c r="B25" s="21" t="s">
        <v>72</v>
      </c>
      <c r="C25" s="21"/>
      <c r="D25" s="288">
        <v>0.05</v>
      </c>
      <c r="H25" s="288">
        <v>0.05</v>
      </c>
      <c r="I25" s="288">
        <v>0.05</v>
      </c>
      <c r="J25" s="288">
        <v>0.05</v>
      </c>
      <c r="K25" s="436"/>
    </row>
    <row r="26" spans="1:11" x14ac:dyDescent="0.3">
      <c r="B26" s="37" t="s">
        <v>8</v>
      </c>
      <c r="D26" s="191">
        <v>1</v>
      </c>
      <c r="H26" s="191">
        <v>1</v>
      </c>
      <c r="I26" s="191">
        <v>1</v>
      </c>
      <c r="J26" s="191">
        <v>1</v>
      </c>
      <c r="K26" s="435"/>
    </row>
    <row r="27" spans="1:11" s="72" customFormat="1" x14ac:dyDescent="0.3">
      <c r="A27" s="333"/>
      <c r="D27" s="192"/>
      <c r="H27" s="192"/>
      <c r="I27" s="192"/>
      <c r="J27" s="192"/>
      <c r="K27" s="437"/>
    </row>
    <row r="28" spans="1:11" s="72" customFormat="1" x14ac:dyDescent="0.3">
      <c r="A28" s="333"/>
      <c r="B28" s="20" t="s">
        <v>623</v>
      </c>
      <c r="C28"/>
      <c r="D28" s="1"/>
      <c r="E28" s="425" t="s">
        <v>595</v>
      </c>
      <c r="F28" s="425" t="s">
        <v>593</v>
      </c>
      <c r="H28" s="1"/>
      <c r="I28" s="1"/>
      <c r="J28" s="1"/>
      <c r="K28" s="429"/>
    </row>
    <row r="29" spans="1:11" s="72" customFormat="1" x14ac:dyDescent="0.3">
      <c r="A29" s="333"/>
      <c r="B29" t="s">
        <v>6</v>
      </c>
      <c r="C29"/>
      <c r="D29" s="361">
        <v>25</v>
      </c>
      <c r="E29" s="426">
        <f>D29*0.75</f>
        <v>18.75</v>
      </c>
      <c r="F29" s="427">
        <f>D29*1.3</f>
        <v>32.5</v>
      </c>
      <c r="H29" s="361">
        <v>25</v>
      </c>
      <c r="I29" s="361">
        <v>25</v>
      </c>
      <c r="J29" s="361">
        <v>25</v>
      </c>
      <c r="K29" s="438"/>
    </row>
    <row r="30" spans="1:11" s="72" customFormat="1" x14ac:dyDescent="0.3">
      <c r="A30" s="333"/>
      <c r="B30" t="s">
        <v>7</v>
      </c>
      <c r="C30"/>
      <c r="D30" s="361">
        <v>30</v>
      </c>
      <c r="E30" s="426">
        <f t="shared" ref="E30:E32" si="0">D30*0.75</f>
        <v>22.5</v>
      </c>
      <c r="F30" s="427">
        <f t="shared" ref="F30:F32" si="1">D30*1.3</f>
        <v>39</v>
      </c>
      <c r="H30" s="361">
        <v>30</v>
      </c>
      <c r="I30" s="361">
        <v>30</v>
      </c>
      <c r="J30" s="361">
        <v>30</v>
      </c>
      <c r="K30" s="438"/>
    </row>
    <row r="31" spans="1:11" s="72" customFormat="1" x14ac:dyDescent="0.3">
      <c r="A31" s="333"/>
      <c r="B31" t="s">
        <v>26</v>
      </c>
      <c r="C31"/>
      <c r="D31" s="361">
        <v>20</v>
      </c>
      <c r="E31" s="426">
        <f t="shared" si="0"/>
        <v>15</v>
      </c>
      <c r="F31" s="427">
        <f t="shared" si="1"/>
        <v>26</v>
      </c>
      <c r="H31" s="361">
        <v>20</v>
      </c>
      <c r="I31" s="361">
        <v>20</v>
      </c>
      <c r="J31" s="361">
        <v>20</v>
      </c>
      <c r="K31" s="438"/>
    </row>
    <row r="32" spans="1:11" s="72" customFormat="1" x14ac:dyDescent="0.3">
      <c r="A32" s="333"/>
      <c r="B32" t="s">
        <v>25</v>
      </c>
      <c r="C32"/>
      <c r="D32" s="361">
        <v>12</v>
      </c>
      <c r="E32" s="426">
        <f t="shared" si="0"/>
        <v>9</v>
      </c>
      <c r="F32" s="427">
        <f t="shared" si="1"/>
        <v>15.600000000000001</v>
      </c>
      <c r="H32" s="361">
        <v>12</v>
      </c>
      <c r="I32" s="361">
        <v>12</v>
      </c>
      <c r="J32" s="361">
        <v>12</v>
      </c>
      <c r="K32" s="438"/>
    </row>
    <row r="33" spans="1:11" s="72" customFormat="1" x14ac:dyDescent="0.3">
      <c r="A33" s="333"/>
      <c r="B33" s="37"/>
      <c r="C33"/>
      <c r="D33" s="191"/>
      <c r="H33" s="191"/>
      <c r="I33" s="191"/>
      <c r="J33" s="191"/>
      <c r="K33" s="435"/>
    </row>
    <row r="34" spans="1:11" x14ac:dyDescent="0.3">
      <c r="B34" s="20" t="s">
        <v>581</v>
      </c>
    </row>
    <row r="35" spans="1:11" x14ac:dyDescent="0.3">
      <c r="B35" t="s">
        <v>6</v>
      </c>
      <c r="D35" s="191">
        <v>0</v>
      </c>
      <c r="H35" s="191">
        <v>0</v>
      </c>
      <c r="I35" s="191">
        <v>0</v>
      </c>
      <c r="J35" s="191">
        <v>0</v>
      </c>
      <c r="K35" s="435"/>
    </row>
    <row r="36" spans="1:11" x14ac:dyDescent="0.3">
      <c r="B36" t="s">
        <v>7</v>
      </c>
      <c r="D36" s="191">
        <v>0</v>
      </c>
      <c r="H36" s="191">
        <v>0</v>
      </c>
      <c r="I36" s="191">
        <v>0</v>
      </c>
      <c r="J36" s="191">
        <v>0</v>
      </c>
      <c r="K36" s="435"/>
    </row>
    <row r="37" spans="1:11" x14ac:dyDescent="0.3">
      <c r="B37" t="s">
        <v>26</v>
      </c>
      <c r="D37" s="191">
        <v>0</v>
      </c>
      <c r="H37" s="191">
        <v>0</v>
      </c>
      <c r="I37" s="191">
        <v>0</v>
      </c>
      <c r="J37" s="191">
        <v>0</v>
      </c>
      <c r="K37" s="435"/>
    </row>
    <row r="38" spans="1:11" x14ac:dyDescent="0.3">
      <c r="B38" t="s">
        <v>25</v>
      </c>
      <c r="D38" s="191">
        <v>0.15</v>
      </c>
      <c r="H38" s="191">
        <v>0.15</v>
      </c>
      <c r="I38" s="191">
        <v>0.15</v>
      </c>
      <c r="J38" s="191">
        <v>0.15</v>
      </c>
      <c r="K38" s="435"/>
    </row>
    <row r="39" spans="1:11" x14ac:dyDescent="0.3">
      <c r="B39" s="21" t="s">
        <v>72</v>
      </c>
      <c r="C39" s="21"/>
      <c r="D39" s="288">
        <v>0</v>
      </c>
      <c r="H39" s="288">
        <v>0</v>
      </c>
      <c r="I39" s="288">
        <v>0</v>
      </c>
      <c r="J39" s="288">
        <v>0</v>
      </c>
      <c r="K39" s="436"/>
    </row>
    <row r="40" spans="1:11" x14ac:dyDescent="0.3">
      <c r="A40"/>
      <c r="D40"/>
      <c r="H40"/>
      <c r="I40"/>
      <c r="J40"/>
    </row>
    <row r="41" spans="1:11" x14ac:dyDescent="0.3">
      <c r="B41" t="s">
        <v>163</v>
      </c>
      <c r="D41" s="1">
        <v>1.05</v>
      </c>
      <c r="H41" s="1">
        <v>1.05</v>
      </c>
      <c r="I41" s="1">
        <v>1.05</v>
      </c>
      <c r="J41" s="1">
        <v>1.05</v>
      </c>
    </row>
    <row r="42" spans="1:11" x14ac:dyDescent="0.3">
      <c r="B42" t="s">
        <v>164</v>
      </c>
      <c r="D42" s="1">
        <v>0.97</v>
      </c>
      <c r="H42" s="1">
        <v>0.97</v>
      </c>
      <c r="I42" s="1">
        <v>0.97</v>
      </c>
      <c r="J42" s="1">
        <v>0.97</v>
      </c>
    </row>
    <row r="43" spans="1:11" x14ac:dyDescent="0.3">
      <c r="B43" t="s">
        <v>165</v>
      </c>
      <c r="D43" s="1">
        <v>1</v>
      </c>
      <c r="H43" s="1">
        <v>1</v>
      </c>
      <c r="I43" s="1">
        <v>1</v>
      </c>
      <c r="J43" s="1">
        <v>1</v>
      </c>
    </row>
    <row r="44" spans="1:11" x14ac:dyDescent="0.3">
      <c r="B44" t="s">
        <v>166</v>
      </c>
      <c r="D44" s="1">
        <v>1</v>
      </c>
      <c r="H44" s="1">
        <v>1</v>
      </c>
      <c r="I44" s="1">
        <v>1</v>
      </c>
      <c r="J44" s="1">
        <v>1</v>
      </c>
    </row>
    <row r="45" spans="1:11" x14ac:dyDescent="0.3">
      <c r="B45" t="s">
        <v>167</v>
      </c>
      <c r="D45" s="408">
        <v>0.25</v>
      </c>
      <c r="F45" t="s">
        <v>169</v>
      </c>
      <c r="H45" s="408">
        <v>0.25</v>
      </c>
      <c r="I45" s="408">
        <v>0.9</v>
      </c>
      <c r="J45" s="408">
        <v>0</v>
      </c>
    </row>
    <row r="46" spans="1:11" x14ac:dyDescent="0.3">
      <c r="B46" t="s">
        <v>168</v>
      </c>
      <c r="D46" s="408">
        <v>0.25</v>
      </c>
      <c r="F46" t="s">
        <v>169</v>
      </c>
      <c r="H46" s="408">
        <v>0.25</v>
      </c>
      <c r="I46" s="408">
        <v>0.9</v>
      </c>
      <c r="J46" s="408">
        <v>0</v>
      </c>
    </row>
    <row r="48" spans="1:11" x14ac:dyDescent="0.3">
      <c r="B48" t="s">
        <v>579</v>
      </c>
      <c r="D48" s="362">
        <v>200000</v>
      </c>
      <c r="H48" s="362">
        <v>200000</v>
      </c>
      <c r="I48" s="362">
        <v>200000</v>
      </c>
      <c r="J48" s="362">
        <v>200000</v>
      </c>
      <c r="K48" s="439"/>
    </row>
    <row r="49" spans="2:11" x14ac:dyDescent="0.3">
      <c r="B49" t="s">
        <v>580</v>
      </c>
      <c r="D49" s="191">
        <v>0.03</v>
      </c>
      <c r="H49" s="191">
        <v>0.03</v>
      </c>
      <c r="I49" s="191">
        <v>0.03</v>
      </c>
      <c r="J49" s="191">
        <v>0.03</v>
      </c>
      <c r="K49" s="435"/>
    </row>
  </sheetData>
  <conditionalFormatting sqref="H26">
    <cfRule type="cellIs" dxfId="7" priority="23" operator="notEqual">
      <formula>1</formula>
    </cfRule>
    <cfRule type="cellIs" dxfId="6" priority="24" operator="equal">
      <formula>1</formula>
    </cfRule>
  </conditionalFormatting>
  <conditionalFormatting sqref="I26">
    <cfRule type="cellIs" dxfId="5" priority="21" operator="notEqual">
      <formula>1</formula>
    </cfRule>
    <cfRule type="cellIs" dxfId="4" priority="22" operator="equal">
      <formula>1</formula>
    </cfRule>
  </conditionalFormatting>
  <conditionalFormatting sqref="J26">
    <cfRule type="cellIs" dxfId="3" priority="19" operator="notEqual">
      <formula>1</formula>
    </cfRule>
    <cfRule type="cellIs" dxfId="2" priority="20" operator="equal">
      <formula>1</formula>
    </cfRule>
  </conditionalFormatting>
  <conditionalFormatting sqref="D26">
    <cfRule type="cellIs" dxfId="1" priority="1" operator="notEqual">
      <formula>1</formula>
    </cfRule>
    <cfRule type="cellIs" dxfId="0" priority="2" operator="equal">
      <formula>1</formula>
    </cfRule>
  </conditionalFormatting>
  <pageMargins left="0.7" right="0.7" top="0.75" bottom="0.75" header="0.3" footer="0.3"/>
  <pageSetup scale="37" orientation="portrait"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5"/>
  <sheetViews>
    <sheetView zoomScale="90" zoomScaleNormal="90" workbookViewId="0">
      <selection activeCell="N15" sqref="N15"/>
    </sheetView>
  </sheetViews>
  <sheetFormatPr defaultColWidth="9" defaultRowHeight="14.4" x14ac:dyDescent="0.3"/>
  <cols>
    <col min="1" max="1" width="17.109375" style="11" customWidth="1"/>
    <col min="2" max="2" width="21.44140625" style="11" bestFit="1" customWidth="1"/>
    <col min="3" max="3" width="7.44140625" style="11" bestFit="1" customWidth="1"/>
    <col min="4" max="4" width="11.109375" style="11" bestFit="1" customWidth="1"/>
    <col min="5" max="14" width="11.109375" style="11" customWidth="1"/>
    <col min="15" max="15" width="3" style="6" customWidth="1"/>
    <col min="16" max="18" width="11.109375" style="6" customWidth="1"/>
    <col min="19" max="19" width="10.44140625" style="6" customWidth="1"/>
    <col min="20" max="24" width="10.44140625" style="11" customWidth="1"/>
    <col min="25" max="16384" width="9" style="11"/>
  </cols>
  <sheetData>
    <row r="1" spans="1:24" s="6" customFormat="1" x14ac:dyDescent="0.3"/>
    <row r="2" spans="1:24" s="14" customFormat="1" x14ac:dyDescent="0.3">
      <c r="D2" s="15">
        <v>2017</v>
      </c>
      <c r="E2" s="15">
        <v>2018</v>
      </c>
      <c r="F2" s="15">
        <v>2019</v>
      </c>
      <c r="G2" s="15">
        <v>2020</v>
      </c>
      <c r="H2" s="15">
        <v>2021</v>
      </c>
      <c r="I2" s="15">
        <v>2022</v>
      </c>
      <c r="J2" s="15">
        <v>2023</v>
      </c>
      <c r="K2" s="15">
        <v>2024</v>
      </c>
      <c r="L2" s="15">
        <v>2025</v>
      </c>
      <c r="M2" s="15">
        <v>2026</v>
      </c>
      <c r="N2" s="15">
        <v>2027</v>
      </c>
      <c r="O2" s="15"/>
      <c r="P2" s="15" t="s">
        <v>89</v>
      </c>
      <c r="Q2" s="15"/>
      <c r="R2" s="15"/>
      <c r="S2" s="15"/>
      <c r="T2" s="15"/>
      <c r="U2" s="15"/>
      <c r="V2" s="15"/>
      <c r="W2" s="15"/>
      <c r="X2" s="15"/>
    </row>
    <row r="3" spans="1:24" s="14" customFormat="1" x14ac:dyDescent="0.3">
      <c r="A3" s="6" t="s">
        <v>79</v>
      </c>
      <c r="B3" s="11" t="s">
        <v>16</v>
      </c>
      <c r="C3" s="11" t="s">
        <v>1</v>
      </c>
      <c r="D3" s="5">
        <v>5415649.5630000001</v>
      </c>
      <c r="E3" s="46">
        <f t="shared" ref="E3:N3" si="0">D3*(E7/D7)</f>
        <v>5412400.562185538</v>
      </c>
      <c r="F3" s="46">
        <f t="shared" si="0"/>
        <v>5394784.8888897058</v>
      </c>
      <c r="G3" s="46">
        <f t="shared" si="0"/>
        <v>5366611.4030270362</v>
      </c>
      <c r="H3" s="46">
        <f t="shared" si="0"/>
        <v>5336152.5630439641</v>
      </c>
      <c r="I3" s="46">
        <f t="shared" si="0"/>
        <v>5319360.9949134439</v>
      </c>
      <c r="J3" s="46">
        <f t="shared" si="0"/>
        <v>5314065.8363955468</v>
      </c>
      <c r="K3" s="46">
        <f t="shared" si="0"/>
        <v>5307280.8906090511</v>
      </c>
      <c r="L3" s="46">
        <f t="shared" si="0"/>
        <v>5298714.4307432072</v>
      </c>
      <c r="M3" s="46">
        <f t="shared" si="0"/>
        <v>5288510.5245818375</v>
      </c>
      <c r="N3" s="46">
        <f t="shared" si="0"/>
        <v>5286360.9781131195</v>
      </c>
      <c r="O3" s="46"/>
      <c r="P3" s="62">
        <f>(N3/D3)^(1/($N$2-$D$2))-1</f>
        <v>-2.4133557806603756E-3</v>
      </c>
      <c r="Q3" s="46"/>
      <c r="R3" s="46"/>
      <c r="S3" s="15"/>
      <c r="T3" s="15"/>
      <c r="U3" s="15"/>
      <c r="V3" s="15"/>
      <c r="W3" s="15"/>
      <c r="X3" s="15"/>
    </row>
    <row r="4" spans="1:24" s="14" customFormat="1" x14ac:dyDescent="0.3">
      <c r="A4" s="8" t="s">
        <v>207</v>
      </c>
      <c r="B4" s="11" t="s">
        <v>16</v>
      </c>
      <c r="C4" s="11" t="s">
        <v>1</v>
      </c>
      <c r="D4" s="5">
        <f>D3</f>
        <v>5415649.5630000001</v>
      </c>
      <c r="E4" s="17">
        <f>E3-SUM(E19:E21)</f>
        <v>5322640.0816725008</v>
      </c>
      <c r="F4" s="17">
        <f t="shared" ref="F4:N4" si="1">F3-SUM(F19:F21)</f>
        <v>5255480.2793651139</v>
      </c>
      <c r="G4" s="17">
        <f t="shared" si="1"/>
        <v>5192080.5317572961</v>
      </c>
      <c r="H4" s="17">
        <f t="shared" si="1"/>
        <v>5132615.5325408271</v>
      </c>
      <c r="I4" s="17">
        <f t="shared" si="1"/>
        <v>5097206.953843792</v>
      </c>
      <c r="J4" s="17">
        <f t="shared" si="1"/>
        <v>5078854.8601466054</v>
      </c>
      <c r="K4" s="17">
        <f t="shared" si="1"/>
        <v>5067533.8377774768</v>
      </c>
      <c r="L4" s="17">
        <f t="shared" si="1"/>
        <v>5055601.6353011075</v>
      </c>
      <c r="M4" s="17">
        <f t="shared" si="1"/>
        <v>5043490.4591064667</v>
      </c>
      <c r="N4" s="17">
        <f t="shared" si="1"/>
        <v>5038056.2116310317</v>
      </c>
      <c r="O4" s="15"/>
      <c r="P4" s="62">
        <f>(N4/D4)^(1/($N$2-$D$2))-1</f>
        <v>-7.20119564588384E-3</v>
      </c>
      <c r="Q4" s="15"/>
      <c r="R4" s="15"/>
      <c r="S4" s="15"/>
      <c r="T4" s="15"/>
      <c r="U4" s="15"/>
      <c r="V4" s="15"/>
      <c r="W4" s="15"/>
      <c r="X4" s="15"/>
    </row>
    <row r="5" spans="1:24" x14ac:dyDescent="0.3">
      <c r="A5" s="174" t="s">
        <v>208</v>
      </c>
      <c r="B5" s="11" t="s">
        <v>16</v>
      </c>
      <c r="C5" s="11" t="s">
        <v>1</v>
      </c>
      <c r="D5" s="5">
        <f>D3</f>
        <v>5415649.5630000001</v>
      </c>
      <c r="E5" s="17">
        <f>E4+E28</f>
        <v>5341091.5524739269</v>
      </c>
      <c r="F5" s="17">
        <f t="shared" ref="F5:N5" si="2">F4+F28</f>
        <v>5286929.92645464</v>
      </c>
      <c r="G5" s="17">
        <f t="shared" si="2"/>
        <v>5238969.8199460395</v>
      </c>
      <c r="H5" s="17">
        <f t="shared" si="2"/>
        <v>5197354.3321386399</v>
      </c>
      <c r="I5" s="17">
        <f t="shared" si="2"/>
        <v>5182183.1531348005</v>
      </c>
      <c r="J5" s="17">
        <f t="shared" si="2"/>
        <v>5186531.6765560079</v>
      </c>
      <c r="K5" s="17">
        <f t="shared" si="2"/>
        <v>5200454.727385534</v>
      </c>
      <c r="L5" s="17">
        <f t="shared" si="2"/>
        <v>5212855.9367448678</v>
      </c>
      <c r="M5" s="17">
        <f t="shared" si="2"/>
        <v>5226511.9172058338</v>
      </c>
      <c r="N5" s="17">
        <f t="shared" si="2"/>
        <v>5248379.1114497324</v>
      </c>
      <c r="O5" s="50"/>
      <c r="P5" s="62">
        <f>(N5/D5)^(1/($N$2-$D$2))-1</f>
        <v>-3.1324377707815376E-3</v>
      </c>
      <c r="Q5" s="50"/>
      <c r="R5" s="50"/>
      <c r="T5" s="13"/>
    </row>
    <row r="6" spans="1:24" s="14" customFormat="1" x14ac:dyDescent="0.3">
      <c r="D6" s="15"/>
      <c r="E6" s="15"/>
      <c r="F6" s="15"/>
      <c r="G6" s="15"/>
      <c r="H6" s="15"/>
      <c r="I6" s="15"/>
      <c r="J6" s="15"/>
      <c r="K6" s="15"/>
      <c r="L6" s="15"/>
      <c r="M6" s="15"/>
      <c r="N6" s="15"/>
      <c r="O6" s="15"/>
      <c r="P6" s="15"/>
      <c r="Q6" s="15"/>
      <c r="R6" s="15"/>
      <c r="S6" s="15"/>
      <c r="T6" s="15"/>
      <c r="U6" s="15"/>
      <c r="V6" s="15"/>
      <c r="W6" s="15"/>
      <c r="X6" s="15"/>
    </row>
    <row r="7" spans="1:24" s="6" customFormat="1" x14ac:dyDescent="0.3">
      <c r="A7" s="444" t="s">
        <v>32</v>
      </c>
      <c r="B7" s="53" t="s">
        <v>9</v>
      </c>
      <c r="C7" s="53" t="s">
        <v>1</v>
      </c>
      <c r="D7" s="54">
        <v>5976193.1500000004</v>
      </c>
      <c r="E7" s="54">
        <v>5972607.8632886168</v>
      </c>
      <c r="F7" s="54">
        <v>5953168.8902054187</v>
      </c>
      <c r="G7" s="54">
        <v>5922079.3244450307</v>
      </c>
      <c r="H7" s="54">
        <v>5888467.8603452472</v>
      </c>
      <c r="I7" s="54">
        <v>5869938.2909423504</v>
      </c>
      <c r="J7" s="54">
        <v>5864095.0601914134</v>
      </c>
      <c r="K7" s="54">
        <v>5856607.8426267095</v>
      </c>
      <c r="L7" s="54">
        <v>5847154.7164274501</v>
      </c>
      <c r="M7" s="54">
        <v>5835894.6610277351</v>
      </c>
      <c r="N7" s="54">
        <v>5833522.6270302394</v>
      </c>
      <c r="O7" s="7"/>
      <c r="P7" s="62">
        <f>(N7/D7)^(1/($N$2-$D$2))-1</f>
        <v>-2.4133557806603756E-3</v>
      </c>
      <c r="Q7" s="7"/>
      <c r="R7" s="7"/>
      <c r="S7" s="7"/>
      <c r="T7" s="7"/>
      <c r="U7" s="7"/>
      <c r="V7" s="7"/>
      <c r="W7" s="7"/>
      <c r="X7" s="7"/>
    </row>
    <row r="8" spans="1:24" s="6" customFormat="1" x14ac:dyDescent="0.3">
      <c r="A8" s="444"/>
      <c r="B8" s="55" t="s">
        <v>10</v>
      </c>
      <c r="C8" s="53" t="s">
        <v>1</v>
      </c>
      <c r="D8" s="54">
        <v>5940924.7199999997</v>
      </c>
      <c r="E8" s="54">
        <v>5882356.82277558</v>
      </c>
      <c r="F8" s="54">
        <v>5813373.7206808273</v>
      </c>
      <c r="G8" s="54">
        <v>5747057.8931752909</v>
      </c>
      <c r="H8" s="54">
        <v>5684440.2698421106</v>
      </c>
      <c r="I8" s="54">
        <v>5647293.6898726989</v>
      </c>
      <c r="J8" s="54">
        <v>5628393.5239424724</v>
      </c>
      <c r="K8" s="54">
        <v>5616370.2297951356</v>
      </c>
      <c r="L8" s="54">
        <v>5603551.3609853508</v>
      </c>
      <c r="M8" s="54">
        <v>5590384.0355523648</v>
      </c>
      <c r="N8" s="54">
        <v>5584727.3005481521</v>
      </c>
      <c r="O8" s="7"/>
      <c r="P8" s="62">
        <f>(N8/D8)^(1/($N$2-$D$2))-1</f>
        <v>-6.1638444685303551E-3</v>
      </c>
      <c r="Q8" s="7"/>
      <c r="R8" s="7"/>
      <c r="S8" s="7"/>
      <c r="T8" s="7"/>
      <c r="U8" s="7"/>
      <c r="V8" s="7"/>
      <c r="W8" s="7"/>
      <c r="X8" s="7"/>
    </row>
    <row r="9" spans="1:24" s="6" customFormat="1" x14ac:dyDescent="0.3">
      <c r="A9" s="444"/>
      <c r="B9" s="55" t="s">
        <v>11</v>
      </c>
      <c r="C9" s="53" t="s">
        <v>1</v>
      </c>
      <c r="D9" s="54">
        <v>5940924.7199999997</v>
      </c>
      <c r="E9" s="54">
        <v>5890040.6327797519</v>
      </c>
      <c r="F9" s="54">
        <v>5828665.9950619834</v>
      </c>
      <c r="G9" s="54">
        <v>5769936.5539892949</v>
      </c>
      <c r="H9" s="54">
        <v>5714902.6276355116</v>
      </c>
      <c r="I9" s="54">
        <v>5685406.0671922695</v>
      </c>
      <c r="J9" s="54">
        <v>5674223.11703692</v>
      </c>
      <c r="K9" s="54">
        <v>5669978.555364063</v>
      </c>
      <c r="L9" s="54">
        <v>5664937.4168228582</v>
      </c>
      <c r="M9" s="54">
        <v>5659515.776295417</v>
      </c>
      <c r="N9" s="54">
        <v>5661591.8646354573</v>
      </c>
      <c r="O9" s="7"/>
      <c r="P9" s="62">
        <f>(N9/D9)^(1/($N$2-$D$2))-1</f>
        <v>-4.8043915305077123E-3</v>
      </c>
      <c r="Q9" s="7"/>
      <c r="R9" s="7"/>
      <c r="S9" s="7"/>
      <c r="T9" s="7"/>
      <c r="U9" s="7"/>
      <c r="V9" s="7"/>
      <c r="W9" s="7"/>
      <c r="X9" s="7"/>
    </row>
    <row r="10" spans="1:24" s="6" customFormat="1" x14ac:dyDescent="0.3">
      <c r="A10" s="444"/>
      <c r="B10" s="55" t="s">
        <v>12</v>
      </c>
      <c r="C10" s="53" t="s">
        <v>1</v>
      </c>
      <c r="D10" s="54">
        <v>5942187.9100000001</v>
      </c>
      <c r="E10" s="54">
        <v>5893235.5115772989</v>
      </c>
      <c r="F10" s="54">
        <v>5834094.2036533561</v>
      </c>
      <c r="G10" s="54">
        <v>5778236.9204900907</v>
      </c>
      <c r="H10" s="54">
        <v>5726889.5751900962</v>
      </c>
      <c r="I10" s="54">
        <v>5702134.7314954363</v>
      </c>
      <c r="J10" s="54">
        <v>5697104.910002863</v>
      </c>
      <c r="K10" s="54">
        <v>5700860.3121116702</v>
      </c>
      <c r="L10" s="54">
        <v>5705723.0527257966</v>
      </c>
      <c r="M10" s="54">
        <v>5712528.3140879171</v>
      </c>
      <c r="N10" s="54">
        <v>5729696.0621853191</v>
      </c>
      <c r="O10" s="7"/>
      <c r="P10" s="62">
        <f>(N10/D10)^(1/($N$2-$D$2))-1</f>
        <v>-3.6348692608161315E-3</v>
      </c>
      <c r="Q10" s="7"/>
      <c r="R10" s="7"/>
      <c r="S10" s="7"/>
      <c r="T10" s="7"/>
      <c r="U10" s="7"/>
      <c r="V10" s="7"/>
      <c r="W10" s="7"/>
      <c r="X10" s="7"/>
    </row>
    <row r="11" spans="1:24" s="9" customFormat="1" x14ac:dyDescent="0.3">
      <c r="A11" s="444"/>
      <c r="B11" s="53"/>
      <c r="C11" s="53"/>
      <c r="D11" s="53"/>
      <c r="E11" s="53"/>
      <c r="F11" s="53"/>
      <c r="G11" s="53"/>
      <c r="H11" s="53"/>
      <c r="I11" s="53"/>
      <c r="J11" s="53"/>
      <c r="K11" s="53"/>
      <c r="L11" s="53"/>
      <c r="M11" s="53"/>
      <c r="N11" s="53"/>
      <c r="O11" s="10"/>
      <c r="P11" s="10"/>
      <c r="Q11" s="10"/>
      <c r="R11" s="10"/>
      <c r="S11" s="10"/>
      <c r="T11" s="10"/>
    </row>
    <row r="12" spans="1:24" x14ac:dyDescent="0.3">
      <c r="A12" s="444"/>
      <c r="B12" s="56"/>
      <c r="C12" s="56"/>
      <c r="D12" s="56"/>
      <c r="E12" s="56"/>
      <c r="F12" s="56"/>
      <c r="G12" s="56"/>
      <c r="H12" s="56"/>
      <c r="I12" s="56"/>
      <c r="J12" s="56"/>
      <c r="K12" s="56"/>
      <c r="L12" s="56"/>
      <c r="M12" s="56"/>
      <c r="N12" s="56"/>
      <c r="O12" s="10"/>
      <c r="P12" s="10"/>
      <c r="Q12" s="10"/>
      <c r="R12" s="10"/>
      <c r="S12" s="10"/>
      <c r="T12" s="12"/>
    </row>
    <row r="13" spans="1:24" x14ac:dyDescent="0.3">
      <c r="A13" s="444"/>
      <c r="B13" s="53" t="s">
        <v>13</v>
      </c>
      <c r="C13" s="53" t="s">
        <v>1</v>
      </c>
      <c r="D13" s="57">
        <f>D7-D8</f>
        <v>35268.430000000633</v>
      </c>
      <c r="E13" s="57">
        <f>E7-E8</f>
        <v>90251.040513036773</v>
      </c>
      <c r="F13" s="57">
        <f t="shared" ref="F13:N13" si="3">F7-F8</f>
        <v>139795.16952459142</v>
      </c>
      <c r="G13" s="57">
        <f t="shared" si="3"/>
        <v>175021.43126973975</v>
      </c>
      <c r="H13" s="57">
        <f t="shared" si="3"/>
        <v>204027.59050313663</v>
      </c>
      <c r="I13" s="57">
        <f t="shared" si="3"/>
        <v>222644.60106965154</v>
      </c>
      <c r="J13" s="57">
        <f t="shared" si="3"/>
        <v>235701.53624894097</v>
      </c>
      <c r="K13" s="57">
        <f t="shared" si="3"/>
        <v>240237.61283157393</v>
      </c>
      <c r="L13" s="57">
        <f t="shared" si="3"/>
        <v>243603.35544209927</v>
      </c>
      <c r="M13" s="57">
        <f t="shared" si="3"/>
        <v>245510.62547537033</v>
      </c>
      <c r="N13" s="57">
        <f t="shared" si="3"/>
        <v>248795.32648208737</v>
      </c>
      <c r="O13" s="10"/>
      <c r="P13" s="10"/>
      <c r="Q13" s="10"/>
      <c r="R13" s="10"/>
      <c r="S13" s="10"/>
      <c r="T13" s="12"/>
    </row>
    <row r="14" spans="1:24" x14ac:dyDescent="0.3">
      <c r="A14" s="444"/>
      <c r="B14" s="53" t="s">
        <v>14</v>
      </c>
      <c r="C14" s="53" t="s">
        <v>1</v>
      </c>
      <c r="D14" s="57">
        <f>D9-D8</f>
        <v>0</v>
      </c>
      <c r="E14" s="57">
        <f t="shared" ref="E14:N14" si="4">E9-E8</f>
        <v>7683.8100041719154</v>
      </c>
      <c r="F14" s="57">
        <f>F9-F8</f>
        <v>15292.274381156079</v>
      </c>
      <c r="G14" s="57">
        <f t="shared" si="4"/>
        <v>22878.660814004019</v>
      </c>
      <c r="H14" s="57">
        <f t="shared" si="4"/>
        <v>30462.357793400995</v>
      </c>
      <c r="I14" s="57">
        <f t="shared" si="4"/>
        <v>38112.377319570631</v>
      </c>
      <c r="J14" s="57">
        <f t="shared" si="4"/>
        <v>45829.593094447628</v>
      </c>
      <c r="K14" s="57">
        <f t="shared" si="4"/>
        <v>53608.325568927452</v>
      </c>
      <c r="L14" s="57">
        <f t="shared" si="4"/>
        <v>61386.05583750736</v>
      </c>
      <c r="M14" s="57">
        <f t="shared" si="4"/>
        <v>69131.740743052214</v>
      </c>
      <c r="N14" s="57">
        <f t="shared" si="4"/>
        <v>76864.564087305218</v>
      </c>
      <c r="O14" s="10"/>
      <c r="P14" s="10"/>
      <c r="Q14" s="10"/>
      <c r="R14" s="10"/>
      <c r="S14" s="10"/>
      <c r="T14" s="12"/>
    </row>
    <row r="15" spans="1:24" x14ac:dyDescent="0.3">
      <c r="A15" s="444"/>
      <c r="B15" s="53" t="s">
        <v>15</v>
      </c>
      <c r="C15" s="53" t="s">
        <v>1</v>
      </c>
      <c r="D15" s="57">
        <f>D10-D9</f>
        <v>1263.1900000004098</v>
      </c>
      <c r="E15" s="57">
        <f t="shared" ref="E15:N15" si="5">E10-E9</f>
        <v>3194.8787975469604</v>
      </c>
      <c r="F15" s="57">
        <f t="shared" si="5"/>
        <v>5428.208591372706</v>
      </c>
      <c r="G15" s="57">
        <f t="shared" si="5"/>
        <v>8300.3665007958189</v>
      </c>
      <c r="H15" s="57">
        <f t="shared" si="5"/>
        <v>11986.947554584593</v>
      </c>
      <c r="I15" s="57">
        <f t="shared" si="5"/>
        <v>16728.664303166792</v>
      </c>
      <c r="J15" s="57">
        <f t="shared" si="5"/>
        <v>22881.792965942994</v>
      </c>
      <c r="K15" s="57">
        <f t="shared" si="5"/>
        <v>30881.756747607142</v>
      </c>
      <c r="L15" s="57">
        <f t="shared" si="5"/>
        <v>40785.635902938433</v>
      </c>
      <c r="M15" s="57">
        <f t="shared" si="5"/>
        <v>53012.537792500108</v>
      </c>
      <c r="N15" s="57">
        <f t="shared" si="5"/>
        <v>68104.197549861856</v>
      </c>
      <c r="O15" s="10"/>
      <c r="P15" s="10"/>
      <c r="Q15" s="10"/>
      <c r="R15" s="10"/>
      <c r="S15" s="10"/>
      <c r="T15" s="12"/>
    </row>
    <row r="16" spans="1:24" x14ac:dyDescent="0.3">
      <c r="E16" s="24"/>
      <c r="F16" s="24"/>
      <c r="G16" s="24"/>
      <c r="H16" s="24"/>
      <c r="I16" s="24"/>
      <c r="J16" s="24"/>
      <c r="K16" s="24"/>
      <c r="L16" s="24"/>
      <c r="M16" s="24"/>
      <c r="N16" s="24"/>
      <c r="O16" s="51"/>
      <c r="P16" s="51"/>
      <c r="Q16" s="51"/>
      <c r="R16" s="51"/>
      <c r="T16" s="13"/>
    </row>
    <row r="17" spans="1:22" x14ac:dyDescent="0.3">
      <c r="B17" s="11" t="s">
        <v>571</v>
      </c>
      <c r="D17" s="16">
        <f t="shared" ref="D17:N17" si="6">D40*0.14*8760</f>
        <v>105470.40000000001</v>
      </c>
      <c r="E17" s="16">
        <f t="shared" si="6"/>
        <v>105470.40000000001</v>
      </c>
      <c r="F17" s="16">
        <f t="shared" si="6"/>
        <v>105470.40000000001</v>
      </c>
      <c r="G17" s="16">
        <f t="shared" si="6"/>
        <v>105470.40000000001</v>
      </c>
      <c r="H17" s="16">
        <f t="shared" si="6"/>
        <v>105470.40000000001</v>
      </c>
      <c r="I17" s="16">
        <f t="shared" si="6"/>
        <v>105470.40000000001</v>
      </c>
      <c r="J17" s="16">
        <f t="shared" si="6"/>
        <v>105470.40000000001</v>
      </c>
      <c r="K17" s="16">
        <f t="shared" si="6"/>
        <v>105470.40000000001</v>
      </c>
      <c r="L17" s="16">
        <f t="shared" si="6"/>
        <v>105470.40000000001</v>
      </c>
      <c r="M17" s="16">
        <f t="shared" si="6"/>
        <v>105470.40000000001</v>
      </c>
      <c r="N17" s="16">
        <f t="shared" si="6"/>
        <v>105470.40000000001</v>
      </c>
      <c r="O17" s="51"/>
      <c r="P17" s="51"/>
      <c r="Q17" s="51"/>
      <c r="R17" s="51"/>
      <c r="T17" s="13"/>
    </row>
    <row r="18" spans="1:22" x14ac:dyDescent="0.3">
      <c r="B18" s="11" t="s">
        <v>572</v>
      </c>
      <c r="C18" s="11" t="s">
        <v>1</v>
      </c>
      <c r="D18" s="16">
        <f t="shared" ref="D18:N18" si="7">D41*0.14*8760</f>
        <v>76036.800000000017</v>
      </c>
      <c r="E18" s="16">
        <f t="shared" si="7"/>
        <v>76036.800000000017</v>
      </c>
      <c r="F18" s="16">
        <f t="shared" si="7"/>
        <v>76036.800000000017</v>
      </c>
      <c r="G18" s="16">
        <f t="shared" si="7"/>
        <v>76036.800000000017</v>
      </c>
      <c r="H18" s="16">
        <f t="shared" si="7"/>
        <v>76036.800000000017</v>
      </c>
      <c r="I18" s="16">
        <f t="shared" si="7"/>
        <v>76036.800000000017</v>
      </c>
      <c r="J18" s="16">
        <f t="shared" si="7"/>
        <v>76036.800000000017</v>
      </c>
      <c r="K18" s="16">
        <f t="shared" si="7"/>
        <v>76036.800000000017</v>
      </c>
      <c r="L18" s="16">
        <f t="shared" si="7"/>
        <v>76036.800000000017</v>
      </c>
      <c r="M18" s="16">
        <f t="shared" si="7"/>
        <v>76036.800000000017</v>
      </c>
      <c r="N18" s="16">
        <f t="shared" si="7"/>
        <v>76036.800000000017</v>
      </c>
      <c r="O18" s="48"/>
      <c r="P18" s="48"/>
      <c r="Q18" s="48"/>
      <c r="R18" s="48"/>
      <c r="T18" s="13"/>
    </row>
    <row r="19" spans="1:22" x14ac:dyDescent="0.3">
      <c r="B19" s="53" t="s">
        <v>569</v>
      </c>
      <c r="C19" s="53" t="s">
        <v>1</v>
      </c>
      <c r="D19" s="16">
        <f t="shared" ref="D19:N19" si="8">D42*0.14*8760</f>
        <v>39244.800000000003</v>
      </c>
      <c r="E19" s="16">
        <f t="shared" si="8"/>
        <v>51508.80000000001</v>
      </c>
      <c r="F19" s="16">
        <f t="shared" si="8"/>
        <v>51508.80000000001</v>
      </c>
      <c r="G19" s="16">
        <f t="shared" si="8"/>
        <v>51508.80000000001</v>
      </c>
      <c r="H19" s="16">
        <f t="shared" si="8"/>
        <v>51508.80000000001</v>
      </c>
      <c r="I19" s="16">
        <f t="shared" si="8"/>
        <v>51508.80000000001</v>
      </c>
      <c r="J19" s="16">
        <f t="shared" si="8"/>
        <v>51508.80000000001</v>
      </c>
      <c r="K19" s="16">
        <f t="shared" si="8"/>
        <v>51508.80000000001</v>
      </c>
      <c r="L19" s="16">
        <f t="shared" si="8"/>
        <v>51508.80000000001</v>
      </c>
      <c r="M19" s="16">
        <f t="shared" si="8"/>
        <v>51508.80000000001</v>
      </c>
      <c r="N19" s="16">
        <f t="shared" si="8"/>
        <v>51508.80000000001</v>
      </c>
      <c r="O19" s="48"/>
      <c r="P19" s="48"/>
      <c r="Q19" s="48"/>
      <c r="R19" s="48"/>
      <c r="T19" s="13"/>
    </row>
    <row r="20" spans="1:22" x14ac:dyDescent="0.3">
      <c r="B20" s="53" t="s">
        <v>570</v>
      </c>
      <c r="C20" s="11" t="s">
        <v>1</v>
      </c>
      <c r="D20" s="16">
        <f t="shared" ref="D20:N20" si="9">D43*0.14*8760</f>
        <v>12018.720000000003</v>
      </c>
      <c r="E20" s="16">
        <f t="shared" si="9"/>
        <v>28943.040000000005</v>
      </c>
      <c r="F20" s="16">
        <f t="shared" si="9"/>
        <v>28943.040000000005</v>
      </c>
      <c r="G20" s="16">
        <f t="shared" si="9"/>
        <v>28943.040000000005</v>
      </c>
      <c r="H20" s="16">
        <f t="shared" si="9"/>
        <v>28943.040000000005</v>
      </c>
      <c r="I20" s="16">
        <f t="shared" si="9"/>
        <v>28943.040000000005</v>
      </c>
      <c r="J20" s="16">
        <f t="shared" si="9"/>
        <v>28943.040000000005</v>
      </c>
      <c r="K20" s="16">
        <f t="shared" si="9"/>
        <v>28943.040000000005</v>
      </c>
      <c r="L20" s="16">
        <f t="shared" si="9"/>
        <v>28943.040000000005</v>
      </c>
      <c r="M20" s="16">
        <f t="shared" si="9"/>
        <v>28943.040000000005</v>
      </c>
      <c r="N20" s="16">
        <f t="shared" si="9"/>
        <v>28943.040000000005</v>
      </c>
      <c r="O20" s="48"/>
      <c r="P20" s="48"/>
      <c r="Q20" s="48"/>
      <c r="R20" s="48"/>
      <c r="T20" s="13"/>
    </row>
    <row r="21" spans="1:22" x14ac:dyDescent="0.3">
      <c r="A21" s="176" t="str">
        <f>NM_escalation</f>
        <v>VELCO</v>
      </c>
      <c r="B21" s="42" t="s">
        <v>573</v>
      </c>
      <c r="C21" s="42" t="s">
        <v>1</v>
      </c>
      <c r="D21" s="43">
        <f>'Tier II'!D8</f>
        <v>0</v>
      </c>
      <c r="E21" s="43">
        <f>'Tier II'!E8</f>
        <v>9308.6405130367566</v>
      </c>
      <c r="F21" s="43">
        <f>'Tier II'!F8</f>
        <v>58852.769524591407</v>
      </c>
      <c r="G21" s="43">
        <f>'Tier II'!G8</f>
        <v>94079.03126973976</v>
      </c>
      <c r="H21" s="43">
        <f>'Tier II'!H8</f>
        <v>123085.19050313662</v>
      </c>
      <c r="I21" s="43">
        <f>'Tier II'!I8</f>
        <v>141702.20106965155</v>
      </c>
      <c r="J21" s="43">
        <f>'Tier II'!J8</f>
        <v>154759.13624894095</v>
      </c>
      <c r="K21" s="43">
        <f>'Tier II'!K8</f>
        <v>159295.21283157391</v>
      </c>
      <c r="L21" s="43">
        <f>'Tier II'!L8</f>
        <v>162660.95544209925</v>
      </c>
      <c r="M21" s="43">
        <f>'Tier II'!M8</f>
        <v>164568.2254753703</v>
      </c>
      <c r="N21" s="43">
        <f>'Tier II'!N8</f>
        <v>167852.92648208735</v>
      </c>
      <c r="O21" s="48"/>
      <c r="P21" s="62">
        <f>(N21/E21)^(1/($N$2-$E$2))-1</f>
        <v>0.37898739183442531</v>
      </c>
      <c r="Q21" s="48"/>
      <c r="R21" s="48"/>
      <c r="V21" s="11">
        <f>5976193-5940925</f>
        <v>35268</v>
      </c>
    </row>
    <row r="22" spans="1:22" x14ac:dyDescent="0.3">
      <c r="B22" s="11" t="s">
        <v>75</v>
      </c>
      <c r="C22" s="11" t="s">
        <v>1</v>
      </c>
      <c r="D22" s="16">
        <f>SUM(D17:D21)</f>
        <v>232770.72</v>
      </c>
      <c r="E22" s="16">
        <f t="shared" ref="E22:N22" si="10">SUM(E17:E21)</f>
        <v>271267.68051303679</v>
      </c>
      <c r="F22" s="16">
        <f t="shared" si="10"/>
        <v>320811.80952459143</v>
      </c>
      <c r="G22" s="16">
        <f t="shared" si="10"/>
        <v>356038.07126973977</v>
      </c>
      <c r="H22" s="16">
        <f t="shared" si="10"/>
        <v>385044.23050313664</v>
      </c>
      <c r="I22" s="16">
        <f t="shared" si="10"/>
        <v>403661.24106965156</v>
      </c>
      <c r="J22" s="16">
        <f t="shared" si="10"/>
        <v>416718.17624894099</v>
      </c>
      <c r="K22" s="16">
        <f t="shared" si="10"/>
        <v>421254.25283157395</v>
      </c>
      <c r="L22" s="16">
        <f t="shared" si="10"/>
        <v>424619.99544209929</v>
      </c>
      <c r="M22" s="16">
        <f t="shared" si="10"/>
        <v>426527.26547537034</v>
      </c>
      <c r="N22" s="16">
        <f t="shared" si="10"/>
        <v>429811.96648208739</v>
      </c>
      <c r="O22" s="48"/>
      <c r="P22" s="48"/>
      <c r="Q22" s="48"/>
      <c r="R22" s="48"/>
    </row>
    <row r="23" spans="1:22" x14ac:dyDescent="0.3">
      <c r="D23" s="16"/>
      <c r="E23" s="16"/>
      <c r="F23" s="16"/>
      <c r="G23" s="16"/>
      <c r="H23" s="16"/>
      <c r="I23" s="16"/>
      <c r="J23" s="16"/>
      <c r="K23" s="16"/>
      <c r="L23" s="16"/>
      <c r="M23" s="16"/>
      <c r="N23" s="16"/>
      <c r="O23" s="48"/>
      <c r="P23" s="48"/>
      <c r="Q23" s="48"/>
      <c r="R23" s="48"/>
    </row>
    <row r="24" spans="1:22" x14ac:dyDescent="0.3">
      <c r="B24" t="s">
        <v>6</v>
      </c>
      <c r="C24" s="11" t="s">
        <v>1</v>
      </c>
      <c r="D24" s="12">
        <f>'Tier III'!D45</f>
        <v>0</v>
      </c>
      <c r="E24" s="12">
        <f>'Tier III'!E45</f>
        <v>9154.2526636578423</v>
      </c>
      <c r="F24" s="12">
        <f>'Tier III'!F45</f>
        <v>15602.984647605035</v>
      </c>
      <c r="G24" s="12">
        <f>'Tier III'!G45</f>
        <v>23262.990572309409</v>
      </c>
      <c r="H24" s="12">
        <f>'Tier III'!H45</f>
        <v>32118.595587213153</v>
      </c>
      <c r="I24" s="12">
        <f>'Tier III'!I45</f>
        <v>42158.893839893615</v>
      </c>
      <c r="J24" s="12">
        <f>'Tier III'!J45</f>
        <v>53421.258068693358</v>
      </c>
      <c r="K24" s="12">
        <f>'Tier III'!K45</f>
        <v>65945.496749032012</v>
      </c>
      <c r="L24" s="12">
        <f>'Tier III'!L45</f>
        <v>79759.142234149971</v>
      </c>
      <c r="M24" s="12">
        <f>'Tier III'!M45</f>
        <v>94864.508832747204</v>
      </c>
      <c r="N24" s="12">
        <f>'Tier III'!N45</f>
        <v>111271.52470356166</v>
      </c>
      <c r="O24" s="10"/>
      <c r="P24" s="62">
        <f>(N24/E24)^(1/($N$2-$E$2))-1</f>
        <v>0.31986349121139335</v>
      </c>
      <c r="Q24" s="10"/>
      <c r="R24" s="10"/>
    </row>
    <row r="25" spans="1:22" x14ac:dyDescent="0.3">
      <c r="B25" t="s">
        <v>7</v>
      </c>
      <c r="C25" s="11" t="s">
        <v>1</v>
      </c>
      <c r="D25" s="12">
        <f>'Tier III'!D46</f>
        <v>0</v>
      </c>
      <c r="E25" s="12">
        <f>'Tier III'!E46</f>
        <v>8189.0949770308653</v>
      </c>
      <c r="F25" s="12">
        <f>'Tier III'!F46</f>
        <v>13957.919657565608</v>
      </c>
      <c r="G25" s="12">
        <f>'Tier III'!G46</f>
        <v>20810.310382048658</v>
      </c>
      <c r="H25" s="12">
        <f>'Tier III'!H46</f>
        <v>28732.244941930079</v>
      </c>
      <c r="I25" s="12">
        <f>'Tier III'!I46</f>
        <v>37713.967318387149</v>
      </c>
      <c r="J25" s="12">
        <f>'Tier III'!J46</f>
        <v>47788.909940596095</v>
      </c>
      <c r="K25" s="12">
        <f>'Tier III'!K46</f>
        <v>58992.684168443906</v>
      </c>
      <c r="L25" s="12">
        <f>'Tier III'!L46</f>
        <v>67840.307411481976</v>
      </c>
      <c r="M25" s="12">
        <f>'Tier III'!M46</f>
        <v>76673.591396575954</v>
      </c>
      <c r="N25" s="12">
        <f>'Tier III'!N46</f>
        <v>85581.946404248083</v>
      </c>
      <c r="O25" s="10"/>
      <c r="P25" s="62">
        <f>(N25/E25)^(1/($N$2-$E$2))-1</f>
        <v>0.29789175153471636</v>
      </c>
      <c r="Q25" s="10"/>
      <c r="R25" s="10"/>
      <c r="T25" s="13"/>
    </row>
    <row r="26" spans="1:22" x14ac:dyDescent="0.3">
      <c r="B26" t="s">
        <v>26</v>
      </c>
      <c r="C26" s="11" t="s">
        <v>1</v>
      </c>
      <c r="D26" s="12">
        <f>'Tier III'!D47</f>
        <v>0</v>
      </c>
      <c r="E26" s="12">
        <f>'Tier III'!E47</f>
        <v>0</v>
      </c>
      <c r="F26" s="12">
        <f>'Tier III'!F47</f>
        <v>0</v>
      </c>
      <c r="G26" s="12">
        <f>'Tier III'!G47</f>
        <v>0</v>
      </c>
      <c r="H26" s="12">
        <f>'Tier III'!H47</f>
        <v>0</v>
      </c>
      <c r="I26" s="12">
        <f>'Tier III'!I47</f>
        <v>0</v>
      </c>
      <c r="J26" s="12">
        <f>'Tier III'!J47</f>
        <v>0</v>
      </c>
      <c r="K26" s="12">
        <f>'Tier III'!K47</f>
        <v>0</v>
      </c>
      <c r="L26" s="12">
        <f>'Tier III'!L47</f>
        <v>0</v>
      </c>
      <c r="M26" s="12">
        <f>'Tier III'!M47</f>
        <v>0</v>
      </c>
      <c r="N26" s="12">
        <f>'Tier III'!N47</f>
        <v>0</v>
      </c>
      <c r="O26" s="10"/>
      <c r="P26" s="10"/>
      <c r="Q26" s="10"/>
      <c r="R26" s="10"/>
      <c r="T26" s="13"/>
    </row>
    <row r="27" spans="1:22" x14ac:dyDescent="0.3">
      <c r="B27" s="21" t="s">
        <v>25</v>
      </c>
      <c r="C27" s="42" t="s">
        <v>1</v>
      </c>
      <c r="D27" s="84">
        <f>'Tier III'!D48</f>
        <v>0</v>
      </c>
      <c r="E27" s="84">
        <f>'Tier III'!E48</f>
        <v>1108.123160737794</v>
      </c>
      <c r="F27" s="84">
        <f>'Tier III'!F48</f>
        <v>1888.7427843551179</v>
      </c>
      <c r="G27" s="84">
        <f>'Tier III'!G48</f>
        <v>2815.9872343856164</v>
      </c>
      <c r="H27" s="84">
        <f>'Tier III'!H48</f>
        <v>3887.9590686696279</v>
      </c>
      <c r="I27" s="84">
        <f>'Tier III'!I48</f>
        <v>5103.3381327280104</v>
      </c>
      <c r="J27" s="84">
        <f>'Tier III'!J48</f>
        <v>6466.6484001126428</v>
      </c>
      <c r="K27" s="84">
        <f>'Tier III'!K48</f>
        <v>7982.7086905816077</v>
      </c>
      <c r="L27" s="84">
        <f>'Tier III'!L48</f>
        <v>9654.8517981287205</v>
      </c>
      <c r="M27" s="84">
        <f>'Tier III'!M48</f>
        <v>11483.35787004353</v>
      </c>
      <c r="N27" s="84">
        <f>'Tier III'!N48</f>
        <v>13469.428710891103</v>
      </c>
      <c r="O27" s="10"/>
      <c r="P27" s="62">
        <f>(N27/E27)^(1/($N$2-$E$2))-1</f>
        <v>0.31986349121139335</v>
      </c>
      <c r="Q27" s="10"/>
      <c r="R27" s="10"/>
      <c r="T27" s="13">
        <f>N24/D3</f>
        <v>2.0546293368716936E-2</v>
      </c>
    </row>
    <row r="28" spans="1:22" x14ac:dyDescent="0.3">
      <c r="B28" s="11" t="s">
        <v>80</v>
      </c>
      <c r="C28" s="11" t="s">
        <v>1</v>
      </c>
      <c r="D28" s="49">
        <f>SUM(D24:D27)</f>
        <v>0</v>
      </c>
      <c r="E28" s="49">
        <f t="shared" ref="E28:N28" si="11">SUM(E24:E27)</f>
        <v>18451.470801426498</v>
      </c>
      <c r="F28" s="49">
        <f t="shared" si="11"/>
        <v>31449.647089525763</v>
      </c>
      <c r="G28" s="49">
        <f t="shared" si="11"/>
        <v>46889.288188743689</v>
      </c>
      <c r="H28" s="49">
        <f t="shared" si="11"/>
        <v>64738.799597812853</v>
      </c>
      <c r="I28" s="49">
        <f t="shared" si="11"/>
        <v>84976.199291008772</v>
      </c>
      <c r="J28" s="49">
        <f t="shared" si="11"/>
        <v>107676.81640940209</v>
      </c>
      <c r="K28" s="49">
        <f t="shared" si="11"/>
        <v>132920.88960805754</v>
      </c>
      <c r="L28" s="49">
        <f t="shared" si="11"/>
        <v>157254.30144376066</v>
      </c>
      <c r="M28" s="49">
        <f t="shared" si="11"/>
        <v>183021.45809936666</v>
      </c>
      <c r="N28" s="49">
        <f t="shared" si="11"/>
        <v>210322.89981870085</v>
      </c>
      <c r="O28" s="52"/>
      <c r="P28" s="62">
        <f>(N28/E28)^(1/($N$2-$E$2))-1</f>
        <v>0.31047396330313837</v>
      </c>
      <c r="Q28" s="52"/>
      <c r="R28" s="52"/>
      <c r="T28" s="13"/>
    </row>
    <row r="29" spans="1:22" x14ac:dyDescent="0.3">
      <c r="D29" s="26"/>
      <c r="E29" s="26"/>
      <c r="F29" s="26"/>
      <c r="G29" s="26"/>
      <c r="H29" s="26"/>
      <c r="I29" s="26"/>
      <c r="J29" s="26"/>
      <c r="K29" s="26"/>
      <c r="L29" s="26"/>
      <c r="M29" s="26"/>
      <c r="N29" s="26"/>
      <c r="O29" s="52"/>
      <c r="P29" s="52"/>
      <c r="Q29" s="52"/>
      <c r="R29" s="52"/>
      <c r="T29" s="13"/>
    </row>
    <row r="30" spans="1:22" x14ac:dyDescent="0.3">
      <c r="D30" s="26"/>
      <c r="E30" s="24"/>
      <c r="F30" s="24"/>
      <c r="G30" s="24"/>
      <c r="H30" s="24"/>
      <c r="I30" s="24"/>
      <c r="J30" s="24"/>
      <c r="K30" s="24"/>
      <c r="L30" s="24"/>
      <c r="M30" s="24"/>
      <c r="N30" s="24"/>
      <c r="O30" s="51"/>
      <c r="P30" s="51"/>
      <c r="Q30" s="51"/>
      <c r="R30" s="51"/>
      <c r="T30" s="13"/>
    </row>
    <row r="31" spans="1:22" x14ac:dyDescent="0.3">
      <c r="D31" s="26"/>
      <c r="E31" s="24"/>
      <c r="F31" s="24">
        <f>F21/E21-1</f>
        <v>5.3223807431566481</v>
      </c>
      <c r="G31" s="24">
        <f t="shared" ref="G31:N31" si="12">G21/F21-1</f>
        <v>0.59854892182141395</v>
      </c>
      <c r="H31" s="24">
        <f t="shared" si="12"/>
        <v>0.30831694206365201</v>
      </c>
      <c r="I31" s="24">
        <f t="shared" si="12"/>
        <v>0.15125305075626061</v>
      </c>
      <c r="J31" s="24">
        <f t="shared" si="12"/>
        <v>9.2143488814767638E-2</v>
      </c>
      <c r="K31" s="24">
        <f t="shared" si="12"/>
        <v>2.9310557635423562E-2</v>
      </c>
      <c r="L31" s="24">
        <f t="shared" si="12"/>
        <v>2.1128962701999043E-2</v>
      </c>
      <c r="M31" s="24">
        <f t="shared" si="12"/>
        <v>1.1725432376117784E-2</v>
      </c>
      <c r="N31" s="24">
        <f t="shared" si="12"/>
        <v>1.9959509177600365E-2</v>
      </c>
      <c r="O31" s="52"/>
      <c r="P31" s="52"/>
      <c r="Q31" s="52"/>
      <c r="R31" s="52"/>
      <c r="T31" s="13"/>
    </row>
    <row r="39" spans="2:14" x14ac:dyDescent="0.3">
      <c r="B39" s="346" t="s">
        <v>574</v>
      </c>
      <c r="C39" s="347"/>
      <c r="D39" s="358">
        <v>2017</v>
      </c>
      <c r="E39" s="358">
        <v>2018</v>
      </c>
      <c r="F39" s="358">
        <v>2019</v>
      </c>
      <c r="G39" s="358">
        <v>2020</v>
      </c>
      <c r="H39" s="358">
        <v>2021</v>
      </c>
      <c r="I39" s="358">
        <v>2022</v>
      </c>
      <c r="J39" s="358">
        <v>2023</v>
      </c>
      <c r="K39" s="358">
        <v>2024</v>
      </c>
      <c r="L39" s="358">
        <v>2025</v>
      </c>
      <c r="M39" s="358">
        <v>2026</v>
      </c>
      <c r="N39" s="359">
        <v>2027</v>
      </c>
    </row>
    <row r="40" spans="2:14" x14ac:dyDescent="0.3">
      <c r="B40" s="348" t="s">
        <v>576</v>
      </c>
      <c r="C40" s="349"/>
      <c r="D40" s="344">
        <f>148-D41</f>
        <v>86</v>
      </c>
      <c r="E40" s="344">
        <f t="shared" ref="E40:N40" si="13">148-E41</f>
        <v>86</v>
      </c>
      <c r="F40" s="344">
        <f t="shared" si="13"/>
        <v>86</v>
      </c>
      <c r="G40" s="344">
        <f t="shared" si="13"/>
        <v>86</v>
      </c>
      <c r="H40" s="344">
        <f t="shared" si="13"/>
        <v>86</v>
      </c>
      <c r="I40" s="344">
        <f t="shared" si="13"/>
        <v>86</v>
      </c>
      <c r="J40" s="344">
        <f t="shared" si="13"/>
        <v>86</v>
      </c>
      <c r="K40" s="344">
        <f t="shared" si="13"/>
        <v>86</v>
      </c>
      <c r="L40" s="344">
        <f t="shared" si="13"/>
        <v>86</v>
      </c>
      <c r="M40" s="344">
        <f t="shared" si="13"/>
        <v>86</v>
      </c>
      <c r="N40" s="350">
        <f t="shared" si="13"/>
        <v>86</v>
      </c>
    </row>
    <row r="41" spans="2:14" x14ac:dyDescent="0.3">
      <c r="B41" s="348" t="s">
        <v>575</v>
      </c>
      <c r="C41" s="9"/>
      <c r="D41" s="344">
        <v>62</v>
      </c>
      <c r="E41" s="344">
        <v>62</v>
      </c>
      <c r="F41" s="344">
        <v>62</v>
      </c>
      <c r="G41" s="344">
        <v>62</v>
      </c>
      <c r="H41" s="344">
        <v>62</v>
      </c>
      <c r="I41" s="344">
        <v>62</v>
      </c>
      <c r="J41" s="344">
        <v>62</v>
      </c>
      <c r="K41" s="344">
        <v>62</v>
      </c>
      <c r="L41" s="344">
        <v>62</v>
      </c>
      <c r="M41" s="344">
        <v>62</v>
      </c>
      <c r="N41" s="350">
        <v>62</v>
      </c>
    </row>
    <row r="42" spans="2:14" x14ac:dyDescent="0.3">
      <c r="B42" s="351" t="s">
        <v>569</v>
      </c>
      <c r="C42" s="9"/>
      <c r="D42" s="344">
        <v>32</v>
      </c>
      <c r="E42" s="344">
        <f>32.2+9.8</f>
        <v>42</v>
      </c>
      <c r="F42" s="344">
        <f>E42</f>
        <v>42</v>
      </c>
      <c r="G42" s="344">
        <f t="shared" ref="G42:N42" si="14">F42</f>
        <v>42</v>
      </c>
      <c r="H42" s="344">
        <f t="shared" si="14"/>
        <v>42</v>
      </c>
      <c r="I42" s="344">
        <f t="shared" si="14"/>
        <v>42</v>
      </c>
      <c r="J42" s="344">
        <f t="shared" si="14"/>
        <v>42</v>
      </c>
      <c r="K42" s="344">
        <f t="shared" si="14"/>
        <v>42</v>
      </c>
      <c r="L42" s="344">
        <f t="shared" si="14"/>
        <v>42</v>
      </c>
      <c r="M42" s="344">
        <f t="shared" si="14"/>
        <v>42</v>
      </c>
      <c r="N42" s="350">
        <f t="shared" si="14"/>
        <v>42</v>
      </c>
    </row>
    <row r="43" spans="2:14" x14ac:dyDescent="0.3">
      <c r="B43" s="351" t="s">
        <v>570</v>
      </c>
      <c r="C43" s="9"/>
      <c r="D43" s="344">
        <v>9.8000000000000007</v>
      </c>
      <c r="E43" s="344">
        <f>9.8+13.8</f>
        <v>23.6</v>
      </c>
      <c r="F43" s="344">
        <f>E43</f>
        <v>23.6</v>
      </c>
      <c r="G43" s="344">
        <f t="shared" ref="G43:N43" si="15">F43</f>
        <v>23.6</v>
      </c>
      <c r="H43" s="344">
        <f t="shared" si="15"/>
        <v>23.6</v>
      </c>
      <c r="I43" s="344">
        <f t="shared" si="15"/>
        <v>23.6</v>
      </c>
      <c r="J43" s="344">
        <f t="shared" si="15"/>
        <v>23.6</v>
      </c>
      <c r="K43" s="344">
        <f t="shared" si="15"/>
        <v>23.6</v>
      </c>
      <c r="L43" s="344">
        <f t="shared" si="15"/>
        <v>23.6</v>
      </c>
      <c r="M43" s="344">
        <f t="shared" si="15"/>
        <v>23.6</v>
      </c>
      <c r="N43" s="350">
        <f t="shared" si="15"/>
        <v>23.6</v>
      </c>
    </row>
    <row r="44" spans="2:14" x14ac:dyDescent="0.3">
      <c r="B44" s="352" t="s">
        <v>582</v>
      </c>
      <c r="C44" s="42"/>
      <c r="D44" s="345">
        <f t="shared" ref="D44:N44" si="16">D21/8760/0.14</f>
        <v>0</v>
      </c>
      <c r="E44" s="345">
        <f t="shared" si="16"/>
        <v>7.5902156825152929</v>
      </c>
      <c r="F44" s="345">
        <f>F21/8760/0.14</f>
        <v>47.988233467540283</v>
      </c>
      <c r="G44" s="345">
        <f t="shared" si="16"/>
        <v>76.711538869650809</v>
      </c>
      <c r="H44" s="345">
        <f>H21/8760/0.14</f>
        <v>100.36300595493853</v>
      </c>
      <c r="I44" s="345">
        <f t="shared" si="16"/>
        <v>115.54321678869174</v>
      </c>
      <c r="J44" s="345">
        <f t="shared" si="16"/>
        <v>126.18977189248282</v>
      </c>
      <c r="K44" s="345">
        <f t="shared" si="16"/>
        <v>129.88846447453841</v>
      </c>
      <c r="L44" s="345">
        <f t="shared" si="16"/>
        <v>132.63287299584087</v>
      </c>
      <c r="M44" s="345">
        <f t="shared" si="16"/>
        <v>134.18805077900382</v>
      </c>
      <c r="N44" s="353">
        <f t="shared" si="16"/>
        <v>136.86637841005165</v>
      </c>
    </row>
    <row r="45" spans="2:14" x14ac:dyDescent="0.3">
      <c r="B45" s="354" t="s">
        <v>75</v>
      </c>
      <c r="C45" s="355"/>
      <c r="D45" s="356">
        <f>SUM(D40:D44)</f>
        <v>189.8</v>
      </c>
      <c r="E45" s="356">
        <f>SUM(E40:E44)</f>
        <v>221.19021568251529</v>
      </c>
      <c r="F45" s="356">
        <f t="shared" ref="F45:N45" si="17">SUM(F40:F44)</f>
        <v>261.58823346754025</v>
      </c>
      <c r="G45" s="356">
        <f t="shared" si="17"/>
        <v>290.3115388696508</v>
      </c>
      <c r="H45" s="356">
        <f t="shared" si="17"/>
        <v>313.96300595493852</v>
      </c>
      <c r="I45" s="356">
        <f t="shared" si="17"/>
        <v>329.14321678869175</v>
      </c>
      <c r="J45" s="356">
        <f t="shared" si="17"/>
        <v>339.7897718924828</v>
      </c>
      <c r="K45" s="356">
        <f t="shared" si="17"/>
        <v>343.48846447453843</v>
      </c>
      <c r="L45" s="356">
        <f t="shared" si="17"/>
        <v>346.23287299584086</v>
      </c>
      <c r="M45" s="356">
        <f t="shared" si="17"/>
        <v>347.78805077900381</v>
      </c>
      <c r="N45" s="357">
        <f t="shared" si="17"/>
        <v>350.46637841005168</v>
      </c>
    </row>
  </sheetData>
  <mergeCells count="1">
    <mergeCell ref="A7:A15"/>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T43"/>
  <sheetViews>
    <sheetView zoomScale="90" zoomScaleNormal="90" workbookViewId="0">
      <selection activeCell="K36" sqref="K36"/>
    </sheetView>
  </sheetViews>
  <sheetFormatPr defaultRowHeight="14.4" x14ac:dyDescent="0.3"/>
  <cols>
    <col min="1" max="1" width="2.88671875" customWidth="1"/>
    <col min="2" max="2" width="20.44140625" bestFit="1" customWidth="1"/>
    <col min="3" max="3" width="7.5546875" bestFit="1" customWidth="1"/>
    <col min="4" max="4" width="14.88671875" bestFit="1" customWidth="1"/>
    <col min="5" max="5" width="16.88671875" bestFit="1" customWidth="1"/>
    <col min="6" max="7" width="12" bestFit="1" customWidth="1"/>
    <col min="8" max="14" width="13.109375" bestFit="1" customWidth="1"/>
    <col min="15" max="15" width="13.88671875" bestFit="1" customWidth="1"/>
    <col min="16" max="16" width="16.109375" bestFit="1" customWidth="1"/>
    <col min="17" max="18" width="11.109375" bestFit="1" customWidth="1"/>
    <col min="19" max="19" width="12.109375" bestFit="1" customWidth="1"/>
  </cols>
  <sheetData>
    <row r="2" spans="2:20" s="20" customFormat="1" ht="15.75" customHeight="1" x14ac:dyDescent="0.3">
      <c r="D2" s="60">
        <v>2017</v>
      </c>
      <c r="E2" s="60">
        <v>2018</v>
      </c>
      <c r="F2" s="60">
        <v>2019</v>
      </c>
      <c r="G2" s="60">
        <v>2020</v>
      </c>
      <c r="H2" s="60">
        <v>2021</v>
      </c>
      <c r="I2" s="60">
        <v>2022</v>
      </c>
      <c r="J2" s="60">
        <v>2023</v>
      </c>
      <c r="K2" s="60">
        <v>2024</v>
      </c>
      <c r="L2" s="60">
        <v>2025</v>
      </c>
      <c r="M2" s="60">
        <v>2026</v>
      </c>
      <c r="N2" s="60">
        <v>2027</v>
      </c>
      <c r="O2" s="60"/>
      <c r="P2" s="60"/>
      <c r="Q2" s="60"/>
      <c r="R2" s="60"/>
      <c r="S2" s="60"/>
    </row>
    <row r="4" spans="2:20" x14ac:dyDescent="0.3">
      <c r="B4" t="s">
        <v>0</v>
      </c>
      <c r="C4" t="s">
        <v>1</v>
      </c>
      <c r="D4" s="22">
        <f>loads!D5</f>
        <v>5415649.5630000001</v>
      </c>
      <c r="E4" s="22">
        <f>loads!E5</f>
        <v>5341091.5524739269</v>
      </c>
      <c r="F4" s="22">
        <f>loads!F5</f>
        <v>5286929.92645464</v>
      </c>
      <c r="G4" s="22">
        <f>loads!G5</f>
        <v>5238969.8199460395</v>
      </c>
      <c r="H4" s="22">
        <f>loads!H5</f>
        <v>5197354.3321386399</v>
      </c>
      <c r="I4" s="22">
        <f>loads!I5</f>
        <v>5182183.1531348005</v>
      </c>
      <c r="J4" s="22">
        <f>loads!J5</f>
        <v>5186531.6765560079</v>
      </c>
      <c r="K4" s="22">
        <f>loads!K5</f>
        <v>5200454.727385534</v>
      </c>
      <c r="L4" s="22">
        <f>loads!L5</f>
        <v>5212855.9367448678</v>
      </c>
      <c r="M4" s="22">
        <f>loads!M5</f>
        <v>5226511.9172058338</v>
      </c>
      <c r="N4" s="22">
        <f>loads!N5</f>
        <v>5248379.1114497324</v>
      </c>
      <c r="O4" s="16"/>
      <c r="P4" s="16"/>
      <c r="Q4" s="16"/>
      <c r="R4" s="16"/>
      <c r="S4" s="16"/>
    </row>
    <row r="5" spans="2:20" x14ac:dyDescent="0.3">
      <c r="D5" s="22"/>
      <c r="E5" s="22"/>
      <c r="F5" s="22"/>
      <c r="G5" s="22"/>
      <c r="H5" s="22"/>
      <c r="I5" s="22"/>
      <c r="J5" s="22"/>
      <c r="K5" s="22"/>
      <c r="L5" s="22"/>
      <c r="M5" s="22"/>
      <c r="N5" s="22"/>
      <c r="O5" s="16"/>
      <c r="P5" s="16"/>
      <c r="Q5" s="16"/>
      <c r="R5" s="16"/>
      <c r="S5" s="16"/>
    </row>
    <row r="6" spans="2:20" x14ac:dyDescent="0.3">
      <c r="B6" t="s">
        <v>2</v>
      </c>
      <c r="C6" t="s">
        <v>5</v>
      </c>
      <c r="D6" s="334">
        <f>SUM(D7:D8)</f>
        <v>0.55000000000000004</v>
      </c>
      <c r="E6" s="334">
        <f t="shared" ref="E6:N6" si="0">SUM(E7:E8)</f>
        <v>0.55000000000000004</v>
      </c>
      <c r="F6" s="334">
        <f t="shared" si="0"/>
        <v>0.55000000000000004</v>
      </c>
      <c r="G6" s="334">
        <f t="shared" si="0"/>
        <v>0.59</v>
      </c>
      <c r="H6" s="334">
        <f t="shared" si="0"/>
        <v>0.59</v>
      </c>
      <c r="I6" s="334">
        <f t="shared" si="0"/>
        <v>0.59</v>
      </c>
      <c r="J6" s="334">
        <f t="shared" si="0"/>
        <v>0.63</v>
      </c>
      <c r="K6" s="334">
        <f t="shared" si="0"/>
        <v>0.63000000000000012</v>
      </c>
      <c r="L6" s="334">
        <f t="shared" si="0"/>
        <v>0.63</v>
      </c>
      <c r="M6" s="334">
        <f t="shared" si="0"/>
        <v>0.67</v>
      </c>
      <c r="N6" s="334">
        <f t="shared" si="0"/>
        <v>0.67</v>
      </c>
    </row>
    <row r="7" spans="2:20" hidden="1" x14ac:dyDescent="0.3">
      <c r="B7" t="s">
        <v>565</v>
      </c>
      <c r="C7" t="s">
        <v>5</v>
      </c>
      <c r="D7" s="23">
        <v>0.54</v>
      </c>
      <c r="E7" s="23">
        <v>0.53400000000000003</v>
      </c>
      <c r="F7" s="23">
        <v>0.52800000000000002</v>
      </c>
      <c r="G7" s="23">
        <v>0.56199999999999994</v>
      </c>
      <c r="H7" s="23">
        <v>0.55599999999999994</v>
      </c>
      <c r="I7" s="23">
        <v>0.54999999999999993</v>
      </c>
      <c r="J7" s="23">
        <v>0.58399999999999996</v>
      </c>
      <c r="K7" s="23">
        <v>0.57800000000000007</v>
      </c>
      <c r="L7" s="23">
        <v>0.57200000000000006</v>
      </c>
      <c r="M7" s="23">
        <v>0.60600000000000009</v>
      </c>
      <c r="N7" s="23">
        <v>0.60000000000000009</v>
      </c>
      <c r="O7" s="23"/>
      <c r="P7" s="4"/>
      <c r="Q7" s="4"/>
      <c r="R7" s="4"/>
      <c r="S7" s="4"/>
      <c r="T7" s="4"/>
    </row>
    <row r="8" spans="2:20" x14ac:dyDescent="0.3">
      <c r="B8" t="s">
        <v>3</v>
      </c>
      <c r="C8" t="s">
        <v>5</v>
      </c>
      <c r="D8" s="3">
        <v>0.01</v>
      </c>
      <c r="E8" s="2">
        <f>D8+0.006</f>
        <v>1.6E-2</v>
      </c>
      <c r="F8" s="2">
        <f t="shared" ref="F8:N8" si="1">E8+0.006</f>
        <v>2.1999999999999999E-2</v>
      </c>
      <c r="G8" s="2">
        <f t="shared" si="1"/>
        <v>2.7999999999999997E-2</v>
      </c>
      <c r="H8" s="2">
        <f t="shared" si="1"/>
        <v>3.3999999999999996E-2</v>
      </c>
      <c r="I8" s="2">
        <f t="shared" si="1"/>
        <v>3.9999999999999994E-2</v>
      </c>
      <c r="J8" s="2">
        <f t="shared" si="1"/>
        <v>4.5999999999999992E-2</v>
      </c>
      <c r="K8" s="2">
        <f t="shared" si="1"/>
        <v>5.1999999999999991E-2</v>
      </c>
      <c r="L8" s="2">
        <f t="shared" si="1"/>
        <v>5.7999999999999989E-2</v>
      </c>
      <c r="M8" s="2">
        <f t="shared" si="1"/>
        <v>6.3999999999999987E-2</v>
      </c>
      <c r="N8" s="2">
        <f t="shared" si="1"/>
        <v>6.9999999999999993E-2</v>
      </c>
      <c r="O8" s="2"/>
      <c r="P8" s="2"/>
      <c r="Q8" s="2"/>
      <c r="R8" s="2"/>
      <c r="S8" s="2"/>
      <c r="T8" s="2"/>
    </row>
    <row r="9" spans="2:20" x14ac:dyDescent="0.3">
      <c r="B9" t="s">
        <v>4</v>
      </c>
      <c r="C9" t="s">
        <v>5</v>
      </c>
      <c r="D9" s="2">
        <v>1.9999999999999997E-2</v>
      </c>
      <c r="E9" s="2">
        <f>D9+2/300</f>
        <v>2.6666666666666665E-2</v>
      </c>
      <c r="F9" s="2">
        <f t="shared" ref="F9:N9" si="2">E9+2/300</f>
        <v>3.3333333333333333E-2</v>
      </c>
      <c r="G9" s="2">
        <f t="shared" si="2"/>
        <v>0.04</v>
      </c>
      <c r="H9" s="2">
        <f t="shared" si="2"/>
        <v>4.6666666666666669E-2</v>
      </c>
      <c r="I9" s="2">
        <f t="shared" si="2"/>
        <v>5.3333333333333337E-2</v>
      </c>
      <c r="J9" s="2">
        <f t="shared" si="2"/>
        <v>6.0000000000000005E-2</v>
      </c>
      <c r="K9" s="2">
        <f t="shared" si="2"/>
        <v>6.6666666666666666E-2</v>
      </c>
      <c r="L9" s="2">
        <f t="shared" si="2"/>
        <v>7.3333333333333334E-2</v>
      </c>
      <c r="M9" s="2">
        <f t="shared" si="2"/>
        <v>0.08</v>
      </c>
      <c r="N9" s="2">
        <f t="shared" si="2"/>
        <v>8.666666666666667E-2</v>
      </c>
      <c r="O9" s="2"/>
      <c r="P9" s="2"/>
      <c r="Q9" s="2"/>
      <c r="R9" s="2"/>
      <c r="S9" s="2"/>
    </row>
    <row r="11" spans="2:20" x14ac:dyDescent="0.3">
      <c r="B11" t="s">
        <v>2</v>
      </c>
      <c r="C11" t="s">
        <v>1</v>
      </c>
      <c r="D11" s="16">
        <f>D7*D$4</f>
        <v>2924450.7640200001</v>
      </c>
      <c r="E11" s="16">
        <f>E7*E$4</f>
        <v>2852142.8890210772</v>
      </c>
      <c r="F11" s="16">
        <f t="shared" ref="F11:N11" si="3">F7*F$4</f>
        <v>2791499.0011680499</v>
      </c>
      <c r="G11" s="16">
        <f t="shared" si="3"/>
        <v>2944301.0388096739</v>
      </c>
      <c r="H11" s="16">
        <f t="shared" si="3"/>
        <v>2889729.0086690835</v>
      </c>
      <c r="I11" s="16">
        <f t="shared" si="3"/>
        <v>2850200.7342241397</v>
      </c>
      <c r="J11" s="16">
        <f t="shared" si="3"/>
        <v>3028934.4991087085</v>
      </c>
      <c r="K11" s="16">
        <f t="shared" si="3"/>
        <v>3005862.8324288391</v>
      </c>
      <c r="L11" s="16">
        <f t="shared" si="3"/>
        <v>2981753.5958180646</v>
      </c>
      <c r="M11" s="16">
        <f t="shared" si="3"/>
        <v>3167266.2218267359</v>
      </c>
      <c r="N11" s="16">
        <f t="shared" si="3"/>
        <v>3149027.4668698399</v>
      </c>
      <c r="O11" s="16"/>
      <c r="P11" s="16"/>
      <c r="Q11" s="16"/>
      <c r="R11" s="16"/>
      <c r="S11" s="16"/>
      <c r="T11" s="16"/>
    </row>
    <row r="12" spans="2:20" x14ac:dyDescent="0.3">
      <c r="B12" t="s">
        <v>3</v>
      </c>
      <c r="C12" t="s">
        <v>1</v>
      </c>
      <c r="D12" s="16">
        <f>D8*D$4</f>
        <v>54156.495630000005</v>
      </c>
      <c r="E12" s="16">
        <f t="shared" ref="E12:N12" si="4">E8*E$4</f>
        <v>85457.464839582826</v>
      </c>
      <c r="F12" s="16">
        <f t="shared" si="4"/>
        <v>116312.45838200208</v>
      </c>
      <c r="G12" s="16">
        <f t="shared" si="4"/>
        <v>146691.15495848909</v>
      </c>
      <c r="H12" s="16">
        <f t="shared" si="4"/>
        <v>176710.04729271375</v>
      </c>
      <c r="I12" s="16">
        <f t="shared" si="4"/>
        <v>207287.32612539199</v>
      </c>
      <c r="J12" s="16">
        <f t="shared" si="4"/>
        <v>238580.45712157633</v>
      </c>
      <c r="K12" s="16">
        <f t="shared" si="4"/>
        <v>270423.64582404774</v>
      </c>
      <c r="L12" s="16">
        <f t="shared" si="4"/>
        <v>302345.64433120226</v>
      </c>
      <c r="M12" s="16">
        <f t="shared" si="4"/>
        <v>334496.76270117331</v>
      </c>
      <c r="N12" s="16">
        <f t="shared" si="4"/>
        <v>367386.53780148126</v>
      </c>
      <c r="O12" s="16"/>
      <c r="P12" s="16"/>
      <c r="Q12" s="16"/>
      <c r="R12" s="16"/>
      <c r="S12" s="335"/>
      <c r="T12" s="16"/>
    </row>
    <row r="13" spans="2:20" x14ac:dyDescent="0.3">
      <c r="B13" t="s">
        <v>4</v>
      </c>
      <c r="C13" t="s">
        <v>1</v>
      </c>
      <c r="D13" s="16">
        <f>D9*D$4</f>
        <v>108312.99125999998</v>
      </c>
      <c r="E13" s="16">
        <f>E9*D$4</f>
        <v>144417.32167999999</v>
      </c>
      <c r="F13" s="16">
        <f t="shared" ref="F13:N13" si="5">F9*E$4</f>
        <v>178036.38508246423</v>
      </c>
      <c r="G13" s="16">
        <f t="shared" si="5"/>
        <v>211477.19705818561</v>
      </c>
      <c r="H13" s="16">
        <f t="shared" si="5"/>
        <v>244485.25826414852</v>
      </c>
      <c r="I13" s="16">
        <f t="shared" si="5"/>
        <v>277192.23104739416</v>
      </c>
      <c r="J13" s="16">
        <f t="shared" si="5"/>
        <v>310930.98918808805</v>
      </c>
      <c r="K13" s="16">
        <f t="shared" si="5"/>
        <v>345768.77843706717</v>
      </c>
      <c r="L13" s="16">
        <f t="shared" si="5"/>
        <v>381366.68000827247</v>
      </c>
      <c r="M13" s="16">
        <f t="shared" si="5"/>
        <v>417028.47493958945</v>
      </c>
      <c r="N13" s="16">
        <f t="shared" si="5"/>
        <v>452964.36615783896</v>
      </c>
      <c r="O13" s="16"/>
      <c r="P13" s="16"/>
      <c r="Q13" s="16"/>
      <c r="R13" s="16"/>
      <c r="S13" s="16"/>
      <c r="T13" s="16"/>
    </row>
    <row r="14" spans="2:20" x14ac:dyDescent="0.3">
      <c r="D14" s="16"/>
      <c r="E14" s="16"/>
      <c r="F14" s="16"/>
      <c r="G14" s="16"/>
      <c r="H14" s="16"/>
      <c r="I14" s="16"/>
      <c r="J14" s="16"/>
      <c r="K14" s="16"/>
      <c r="L14" s="16"/>
      <c r="M14" s="16"/>
      <c r="N14" s="16"/>
      <c r="O14" s="16"/>
      <c r="P14" s="16"/>
      <c r="Q14" s="16"/>
      <c r="R14" s="16"/>
      <c r="S14" s="16"/>
      <c r="T14" s="16"/>
    </row>
    <row r="15" spans="2:20" x14ac:dyDescent="0.3">
      <c r="B15" t="s">
        <v>137</v>
      </c>
      <c r="C15" t="s">
        <v>54</v>
      </c>
      <c r="D15" s="31">
        <v>10</v>
      </c>
      <c r="E15" s="31">
        <v>10.130000000000001</v>
      </c>
      <c r="F15" s="31">
        <f>E15*1.013</f>
        <v>10.26169</v>
      </c>
      <c r="G15" s="31">
        <f t="shared" ref="G15:N15" si="6">F15*1.013</f>
        <v>10.395091969999999</v>
      </c>
      <c r="H15" s="31">
        <f t="shared" si="6"/>
        <v>10.530228165609998</v>
      </c>
      <c r="I15" s="31">
        <f t="shared" si="6"/>
        <v>10.667121131762928</v>
      </c>
      <c r="J15" s="31">
        <f t="shared" si="6"/>
        <v>10.805793706475844</v>
      </c>
      <c r="K15" s="31">
        <f t="shared" si="6"/>
        <v>10.94626902466003</v>
      </c>
      <c r="L15" s="31">
        <f t="shared" si="6"/>
        <v>11.088570521980609</v>
      </c>
      <c r="M15" s="31">
        <f t="shared" si="6"/>
        <v>11.232721938766355</v>
      </c>
      <c r="N15" s="31">
        <f t="shared" si="6"/>
        <v>11.378747323970316</v>
      </c>
      <c r="O15" s="22"/>
      <c r="S15" s="336"/>
    </row>
    <row r="16" spans="2:20" x14ac:dyDescent="0.3">
      <c r="B16" t="s">
        <v>138</v>
      </c>
      <c r="C16" t="s">
        <v>54</v>
      </c>
      <c r="D16" s="31">
        <v>60</v>
      </c>
      <c r="E16" s="31">
        <v>60.78</v>
      </c>
      <c r="F16" s="31">
        <f>E16*1.013</f>
        <v>61.570139999999995</v>
      </c>
      <c r="G16" s="31">
        <f t="shared" ref="G16:N16" si="7">F16*1.013</f>
        <v>62.370551819999989</v>
      </c>
      <c r="H16" s="31">
        <f t="shared" si="7"/>
        <v>63.18136899365998</v>
      </c>
      <c r="I16" s="31">
        <f t="shared" si="7"/>
        <v>64.002726790577555</v>
      </c>
      <c r="J16" s="31">
        <f t="shared" si="7"/>
        <v>64.834762238855063</v>
      </c>
      <c r="K16" s="31">
        <f t="shared" si="7"/>
        <v>65.67761414796017</v>
      </c>
      <c r="L16" s="31">
        <f t="shared" si="7"/>
        <v>66.531423131883642</v>
      </c>
      <c r="M16" s="31">
        <f t="shared" si="7"/>
        <v>67.39633163259812</v>
      </c>
      <c r="N16" s="31">
        <f t="shared" si="7"/>
        <v>68.272483943821882</v>
      </c>
    </row>
    <row r="17" spans="2:16" x14ac:dyDescent="0.3">
      <c r="B17" t="s">
        <v>136</v>
      </c>
      <c r="C17" t="s">
        <v>54</v>
      </c>
      <c r="D17" s="31">
        <v>60</v>
      </c>
      <c r="E17" s="31">
        <v>60.78</v>
      </c>
      <c r="F17" s="31">
        <f>E17*1.013</f>
        <v>61.570139999999995</v>
      </c>
      <c r="G17" s="31">
        <f t="shared" ref="G17:N17" si="8">F17*1.013</f>
        <v>62.370551819999989</v>
      </c>
      <c r="H17" s="31">
        <f t="shared" si="8"/>
        <v>63.18136899365998</v>
      </c>
      <c r="I17" s="31">
        <f t="shared" si="8"/>
        <v>64.002726790577555</v>
      </c>
      <c r="J17" s="31">
        <f t="shared" si="8"/>
        <v>64.834762238855063</v>
      </c>
      <c r="K17" s="31">
        <f t="shared" si="8"/>
        <v>65.67761414796017</v>
      </c>
      <c r="L17" s="31">
        <f t="shared" si="8"/>
        <v>66.531423131883642</v>
      </c>
      <c r="M17" s="31">
        <f t="shared" si="8"/>
        <v>67.39633163259812</v>
      </c>
      <c r="N17" s="31">
        <f t="shared" si="8"/>
        <v>68.272483943821882</v>
      </c>
    </row>
    <row r="19" spans="2:16" x14ac:dyDescent="0.3">
      <c r="B19" t="s">
        <v>27</v>
      </c>
      <c r="C19" t="s">
        <v>1</v>
      </c>
      <c r="D19" s="22">
        <f>'Tier I'!D6+'Tier I'!D7</f>
        <v>270328</v>
      </c>
      <c r="E19" s="22">
        <f>'Tier I'!E6+'Tier I'!E7</f>
        <v>270328</v>
      </c>
      <c r="F19" s="22">
        <f>'Tier I'!F6+'Tier I'!F7</f>
        <v>270328</v>
      </c>
      <c r="G19" s="22">
        <f>'Tier I'!G6+'Tier I'!G7</f>
        <v>270328</v>
      </c>
      <c r="H19" s="22">
        <f>'Tier I'!H6+'Tier I'!H7</f>
        <v>270328</v>
      </c>
      <c r="I19" s="22">
        <f>'Tier I'!I6+'Tier I'!I7</f>
        <v>270328</v>
      </c>
      <c r="J19" s="22">
        <f>'Tier I'!J6+'Tier I'!J7</f>
        <v>270328</v>
      </c>
      <c r="K19" s="22">
        <f>'Tier I'!K6+'Tier I'!K7</f>
        <v>270328</v>
      </c>
      <c r="L19" s="22">
        <f>'Tier I'!L6+'Tier I'!L7</f>
        <v>270328</v>
      </c>
      <c r="M19" s="22">
        <f>'Tier I'!M6+'Tier I'!M7</f>
        <v>185328</v>
      </c>
      <c r="N19" s="22">
        <f>'Tier I'!N6+'Tier I'!N7</f>
        <v>185328</v>
      </c>
      <c r="O19" s="22"/>
    </row>
    <row r="20" spans="2:16" x14ac:dyDescent="0.3">
      <c r="B20" t="s">
        <v>28</v>
      </c>
      <c r="C20" t="s">
        <v>1</v>
      </c>
      <c r="D20" s="16">
        <f>SUM('Tier II'!D5:D9)</f>
        <v>33422.553599999999</v>
      </c>
      <c r="E20" s="16">
        <f>SUM('Tier II'!E5:E9)</f>
        <v>67514.898513036751</v>
      </c>
      <c r="F20" s="16">
        <f>SUM('Tier II'!F5:F9)</f>
        <v>118868.42742459141</v>
      </c>
      <c r="G20" s="16">
        <f>SUM('Tier II'!G5:G9)</f>
        <v>166573.30916973978</v>
      </c>
      <c r="H20" s="16">
        <f>SUM('Tier II'!H5:H9)</f>
        <v>208949.4184031366</v>
      </c>
      <c r="I20" s="16">
        <f>SUM('Tier II'!I5:I9)</f>
        <v>245393.02896965155</v>
      </c>
      <c r="J20" s="16">
        <f>SUM('Tier II'!J5:J9)</f>
        <v>258449.96414894098</v>
      </c>
      <c r="K20" s="16">
        <f>SUM('Tier II'!K5:K9)</f>
        <v>262986.04073157394</v>
      </c>
      <c r="L20" s="16">
        <f>SUM('Tier II'!L5:L9)</f>
        <v>266351.78334209928</v>
      </c>
      <c r="M20" s="16">
        <f>SUM('Tier II'!M5:M9)</f>
        <v>268259.05337537033</v>
      </c>
      <c r="N20" s="16">
        <f>SUM('Tier II'!N5:N9)</f>
        <v>271543.75438208738</v>
      </c>
    </row>
    <row r="21" spans="2:16" x14ac:dyDescent="0.3">
      <c r="B21" t="s">
        <v>29</v>
      </c>
      <c r="C21" t="s">
        <v>1</v>
      </c>
      <c r="D21" s="16"/>
      <c r="E21" s="16"/>
      <c r="F21" s="16"/>
      <c r="G21" s="16"/>
      <c r="H21" s="16"/>
      <c r="I21" s="16"/>
      <c r="J21" s="16"/>
      <c r="K21" s="16"/>
      <c r="L21" s="16"/>
      <c r="M21" s="16"/>
      <c r="N21" s="16"/>
    </row>
    <row r="23" spans="2:16" x14ac:dyDescent="0.3">
      <c r="B23" t="s">
        <v>46</v>
      </c>
      <c r="C23" t="s">
        <v>1</v>
      </c>
      <c r="D23" s="18">
        <f t="shared" ref="D23:N23" si="9">D11-D19</f>
        <v>2654122.7640200001</v>
      </c>
      <c r="E23" s="18">
        <f t="shared" si="9"/>
        <v>2581814.8890210772</v>
      </c>
      <c r="F23" s="18">
        <f t="shared" si="9"/>
        <v>2521171.0011680499</v>
      </c>
      <c r="G23" s="18">
        <f t="shared" si="9"/>
        <v>2673973.0388096739</v>
      </c>
      <c r="H23" s="18">
        <f t="shared" si="9"/>
        <v>2619401.0086690835</v>
      </c>
      <c r="I23" s="18">
        <f t="shared" si="9"/>
        <v>2579872.7342241397</v>
      </c>
      <c r="J23" s="18">
        <f t="shared" si="9"/>
        <v>2758606.4991087085</v>
      </c>
      <c r="K23" s="18">
        <f t="shared" si="9"/>
        <v>2735534.8324288391</v>
      </c>
      <c r="L23" s="18">
        <f t="shared" si="9"/>
        <v>2711425.5958180646</v>
      </c>
      <c r="M23" s="18">
        <f t="shared" si="9"/>
        <v>2981938.2218267359</v>
      </c>
      <c r="N23" s="18">
        <f t="shared" si="9"/>
        <v>2963699.4668698399</v>
      </c>
      <c r="O23" s="18"/>
    </row>
    <row r="24" spans="2:16" x14ac:dyDescent="0.3">
      <c r="B24" t="s">
        <v>47</v>
      </c>
      <c r="C24" t="s">
        <v>1</v>
      </c>
      <c r="D24" s="18">
        <f t="shared" ref="D24:N24" si="10">D12-D20</f>
        <v>20733.942030000006</v>
      </c>
      <c r="E24" s="18">
        <f>E12-E20</f>
        <v>17942.566326546075</v>
      </c>
      <c r="F24" s="18">
        <f t="shared" si="10"/>
        <v>-2555.969042589335</v>
      </c>
      <c r="G24" s="18">
        <f t="shared" si="10"/>
        <v>-19882.154211250687</v>
      </c>
      <c r="H24" s="18">
        <f t="shared" si="10"/>
        <v>-32239.371110422857</v>
      </c>
      <c r="I24" s="18">
        <f t="shared" si="10"/>
        <v>-38105.702844259562</v>
      </c>
      <c r="J24" s="18">
        <f t="shared" si="10"/>
        <v>-19869.507027364656</v>
      </c>
      <c r="K24" s="18">
        <f t="shared" si="10"/>
        <v>7437.6050924737938</v>
      </c>
      <c r="L24" s="18">
        <f t="shared" si="10"/>
        <v>35993.860989102977</v>
      </c>
      <c r="M24" s="18">
        <f t="shared" si="10"/>
        <v>66237.709325802978</v>
      </c>
      <c r="N24" s="18">
        <f t="shared" si="10"/>
        <v>95842.783419393876</v>
      </c>
      <c r="O24" s="18"/>
    </row>
    <row r="25" spans="2:16" x14ac:dyDescent="0.3">
      <c r="B25" t="s">
        <v>48</v>
      </c>
      <c r="C25" t="s">
        <v>1</v>
      </c>
      <c r="D25" s="18">
        <f t="shared" ref="D25:N25" si="11">D13-D21</f>
        <v>108312.99125999998</v>
      </c>
      <c r="E25" s="18">
        <f>E13-E21</f>
        <v>144417.32167999999</v>
      </c>
      <c r="F25" s="18">
        <f t="shared" si="11"/>
        <v>178036.38508246423</v>
      </c>
      <c r="G25" s="18">
        <f t="shared" si="11"/>
        <v>211477.19705818561</v>
      </c>
      <c r="H25" s="18">
        <f t="shared" si="11"/>
        <v>244485.25826414852</v>
      </c>
      <c r="I25" s="18">
        <f t="shared" si="11"/>
        <v>277192.23104739416</v>
      </c>
      <c r="J25" s="18">
        <f t="shared" si="11"/>
        <v>310930.98918808805</v>
      </c>
      <c r="K25" s="18">
        <f t="shared" si="11"/>
        <v>345768.77843706717</v>
      </c>
      <c r="L25" s="18">
        <f t="shared" si="11"/>
        <v>381366.68000827247</v>
      </c>
      <c r="M25" s="18">
        <f t="shared" si="11"/>
        <v>417028.47493958945</v>
      </c>
      <c r="N25" s="18">
        <f t="shared" si="11"/>
        <v>452964.36615783896</v>
      </c>
      <c r="O25" s="18"/>
    </row>
    <row r="27" spans="2:16" x14ac:dyDescent="0.3">
      <c r="B27" t="s">
        <v>49</v>
      </c>
      <c r="C27" t="s">
        <v>55</v>
      </c>
      <c r="D27" s="32">
        <f>'Tier I'!D19</f>
        <v>2654122.7640200001</v>
      </c>
      <c r="E27" s="32">
        <f>'Tier I'!E19</f>
        <v>2581814.8890210772</v>
      </c>
      <c r="F27" s="32">
        <f>'Tier I'!F19</f>
        <v>3025405.2014016598</v>
      </c>
      <c r="G27" s="32">
        <f>'Tier I'!G19</f>
        <v>3850521.1758859302</v>
      </c>
      <c r="H27" s="32">
        <f>'Tier I'!H19</f>
        <v>4526324.9429801758</v>
      </c>
      <c r="I27" s="32">
        <f>'Tier I'!I19</f>
        <v>5349624.1016871762</v>
      </c>
      <c r="J27" s="32">
        <f>'Tier I'!J19</f>
        <v>6864295.7238621814</v>
      </c>
      <c r="K27" s="32">
        <f>'Tier I'!K19</f>
        <v>8168263.2410751935</v>
      </c>
      <c r="L27" s="32">
        <f>'Tier I'!L19</f>
        <v>9715528.1355638485</v>
      </c>
      <c r="M27" s="32">
        <f>'Tier I'!M19</f>
        <v>12821788.539882839</v>
      </c>
      <c r="N27" s="32">
        <f>'Tier I'!N19</f>
        <v>15292038.278387873</v>
      </c>
      <c r="O27" s="32"/>
      <c r="P27" s="31">
        <f>3000000*7</f>
        <v>21000000</v>
      </c>
    </row>
    <row r="28" spans="2:16" x14ac:dyDescent="0.3">
      <c r="B28" t="s">
        <v>50</v>
      </c>
      <c r="C28" t="s">
        <v>55</v>
      </c>
      <c r="D28" s="32">
        <f>'Tier II'!D23</f>
        <v>1227398.6400000001</v>
      </c>
      <c r="E28" s="32">
        <f>'Tier II'!E23</f>
        <v>3794972.8425028445</v>
      </c>
      <c r="F28" s="32">
        <f>'Tier II'!F23</f>
        <v>5910868.0836833203</v>
      </c>
      <c r="G28" s="32">
        <f>'Tier II'!G23</f>
        <v>7111219.4123034105</v>
      </c>
      <c r="H28" s="32">
        <f>'Tier II'!H23</f>
        <v>7984147.7048897762</v>
      </c>
      <c r="I28" s="32">
        <f>'Tier II'!I23</f>
        <v>8821158.0208965577</v>
      </c>
      <c r="J28" s="32">
        <f>'Tier II'!J23</f>
        <v>9612429.0730364583</v>
      </c>
      <c r="K28" s="32">
        <f>'Tier II'!K23</f>
        <v>10403882.06139157</v>
      </c>
      <c r="L28" s="32">
        <f>'Tier II'!L23</f>
        <v>11190204.481226429</v>
      </c>
      <c r="M28" s="32">
        <f>'Tier II'!M23</f>
        <v>11973274.942305362</v>
      </c>
      <c r="N28" s="32">
        <f>'Tier II'!N23</f>
        <v>12782337.750753054</v>
      </c>
    </row>
    <row r="29" spans="2:16" x14ac:dyDescent="0.3">
      <c r="B29" t="s">
        <v>51</v>
      </c>
      <c r="C29" t="s">
        <v>55</v>
      </c>
      <c r="D29" s="16">
        <f>'Tier III'!D74-'Tier III'!D58</f>
        <v>0</v>
      </c>
      <c r="E29" s="16">
        <f>'Tier III'!E74</f>
        <v>4615328.1885144506</v>
      </c>
      <c r="F29" s="16">
        <f>'Tier III'!F74</f>
        <v>6158302.0203555673</v>
      </c>
      <c r="G29" s="16">
        <f>'Tier III'!G74</f>
        <v>7900911.7859575301</v>
      </c>
      <c r="H29" s="16">
        <f>'Tier III'!H74</f>
        <v>9841951.6651231442</v>
      </c>
      <c r="I29" s="16">
        <f>'Tier III'!I74</f>
        <v>11862520.458692245</v>
      </c>
      <c r="J29" s="16">
        <f>'Tier III'!J74</f>
        <v>14049940.110272599</v>
      </c>
      <c r="K29" s="16">
        <f>'Tier III'!K74</f>
        <v>16943304.064115934</v>
      </c>
      <c r="L29" s="16">
        <f>'Tier III'!L74</f>
        <v>19323779.089856528</v>
      </c>
      <c r="M29" s="16">
        <f>'Tier III'!M74</f>
        <v>22229574.001467731</v>
      </c>
      <c r="N29" s="16">
        <f>'Tier III'!N74</f>
        <v>25640114.569029383</v>
      </c>
    </row>
    <row r="31" spans="2:16" x14ac:dyDescent="0.3">
      <c r="B31" t="s">
        <v>81</v>
      </c>
      <c r="C31" t="s">
        <v>54</v>
      </c>
      <c r="D31" s="31">
        <f>'Tier I'!D18</f>
        <v>1</v>
      </c>
      <c r="E31" s="31">
        <f>'Tier I'!E18</f>
        <v>1</v>
      </c>
      <c r="F31" s="31">
        <f>'Tier I'!F18</f>
        <v>1.2</v>
      </c>
      <c r="G31" s="31">
        <f>'Tier I'!G18</f>
        <v>1.44</v>
      </c>
      <c r="H31" s="31">
        <f>'Tier I'!H18</f>
        <v>1.728</v>
      </c>
      <c r="I31" s="31">
        <f>'Tier I'!I18</f>
        <v>2.0735999999999999</v>
      </c>
      <c r="J31" s="31">
        <f>'Tier I'!J18</f>
        <v>2.4883199999999999</v>
      </c>
      <c r="K31" s="31">
        <f>'Tier I'!K18</f>
        <v>2.9859839999999997</v>
      </c>
      <c r="L31" s="31">
        <f>'Tier I'!L18</f>
        <v>3.5831807999999996</v>
      </c>
      <c r="M31" s="31">
        <f>'Tier I'!M18</f>
        <v>4.2998169599999994</v>
      </c>
      <c r="N31" s="31">
        <f>'Tier I'!N18</f>
        <v>5.1597803519999994</v>
      </c>
      <c r="O31" s="31"/>
    </row>
    <row r="32" spans="2:16" x14ac:dyDescent="0.3">
      <c r="B32" t="s">
        <v>82</v>
      </c>
      <c r="C32" t="s">
        <v>54</v>
      </c>
      <c r="D32" s="31">
        <f>'Tier II'!D17</f>
        <v>0</v>
      </c>
      <c r="E32" s="31">
        <f>'Tier II'!E17</f>
        <v>7</v>
      </c>
      <c r="F32" s="31">
        <f>'Tier II'!F17</f>
        <v>13</v>
      </c>
      <c r="G32" s="31">
        <f>'Tier II'!G17</f>
        <v>19</v>
      </c>
      <c r="H32" s="31">
        <f>'Tier II'!H17</f>
        <v>22</v>
      </c>
      <c r="I32" s="31">
        <f>'Tier II'!I17</f>
        <v>23</v>
      </c>
      <c r="J32" s="31">
        <f>'Tier II'!J17</f>
        <v>24</v>
      </c>
      <c r="K32" s="31">
        <f>'Tier II'!K17</f>
        <v>24</v>
      </c>
      <c r="L32" s="31">
        <f>'Tier II'!L17</f>
        <v>24</v>
      </c>
      <c r="M32" s="31">
        <f>'Tier II'!M17</f>
        <v>24</v>
      </c>
      <c r="N32" s="31">
        <f>'Tier II'!N17</f>
        <v>24</v>
      </c>
      <c r="O32" s="31"/>
    </row>
    <row r="33" spans="2:16" x14ac:dyDescent="0.3">
      <c r="B33" t="s">
        <v>83</v>
      </c>
      <c r="C33" t="s">
        <v>54</v>
      </c>
      <c r="D33" s="31">
        <f t="shared" ref="D33:N33" si="12">D29/D25</f>
        <v>0</v>
      </c>
      <c r="E33" s="31">
        <f t="shared" si="12"/>
        <v>31.958272974630411</v>
      </c>
      <c r="F33" s="31">
        <f t="shared" si="12"/>
        <v>34.59013177280093</v>
      </c>
      <c r="G33" s="31">
        <f t="shared" si="12"/>
        <v>37.360584951311239</v>
      </c>
      <c r="H33" s="31">
        <f t="shared" si="12"/>
        <v>40.255808202920896</v>
      </c>
      <c r="I33" s="31">
        <f t="shared" si="12"/>
        <v>42.795284751916434</v>
      </c>
      <c r="J33" s="31">
        <f t="shared" si="12"/>
        <v>45.186683215334078</v>
      </c>
      <c r="K33" s="31">
        <f t="shared" si="12"/>
        <v>49.001833365934623</v>
      </c>
      <c r="L33" s="31">
        <f t="shared" si="12"/>
        <v>50.66981491261209</v>
      </c>
      <c r="M33" s="31">
        <f t="shared" si="12"/>
        <v>53.304691015854246</v>
      </c>
      <c r="N33" s="31">
        <f t="shared" si="12"/>
        <v>56.605147081470172</v>
      </c>
    </row>
    <row r="36" spans="2:16" x14ac:dyDescent="0.3">
      <c r="D36" s="23">
        <f>D7+D8</f>
        <v>0.55000000000000004</v>
      </c>
      <c r="E36" s="23">
        <f t="shared" ref="E36:N36" si="13">E7+E8</f>
        <v>0.55000000000000004</v>
      </c>
      <c r="F36" s="23">
        <f t="shared" si="13"/>
        <v>0.55000000000000004</v>
      </c>
      <c r="G36" s="23">
        <f t="shared" si="13"/>
        <v>0.59</v>
      </c>
      <c r="H36" s="23">
        <f t="shared" si="13"/>
        <v>0.59</v>
      </c>
      <c r="I36" s="23">
        <f t="shared" si="13"/>
        <v>0.59</v>
      </c>
      <c r="J36" s="23">
        <f t="shared" si="13"/>
        <v>0.63</v>
      </c>
      <c r="K36" s="23">
        <f t="shared" si="13"/>
        <v>0.63000000000000012</v>
      </c>
      <c r="L36" s="23">
        <f t="shared" si="13"/>
        <v>0.63</v>
      </c>
      <c r="M36" s="23">
        <f t="shared" si="13"/>
        <v>0.67</v>
      </c>
      <c r="N36" s="23">
        <f t="shared" si="13"/>
        <v>0.67</v>
      </c>
    </row>
    <row r="39" spans="2:16" x14ac:dyDescent="0.3">
      <c r="E39" s="23">
        <f t="shared" ref="E39:L39" si="14">1-0.13-E6</f>
        <v>0.31999999999999995</v>
      </c>
      <c r="F39" s="23">
        <f t="shared" si="14"/>
        <v>0.31999999999999995</v>
      </c>
      <c r="G39" s="23">
        <f t="shared" si="14"/>
        <v>0.28000000000000003</v>
      </c>
      <c r="H39" s="23">
        <f t="shared" si="14"/>
        <v>0.28000000000000003</v>
      </c>
      <c r="I39" s="23">
        <f t="shared" si="14"/>
        <v>0.28000000000000003</v>
      </c>
      <c r="J39" s="23">
        <f t="shared" si="14"/>
        <v>0.24</v>
      </c>
      <c r="K39" s="23">
        <f t="shared" si="14"/>
        <v>0.23999999999999988</v>
      </c>
      <c r="L39" s="23">
        <f t="shared" si="14"/>
        <v>0.24</v>
      </c>
      <c r="M39" s="23">
        <f>1-0.13-M6</f>
        <v>0.19999999999999996</v>
      </c>
      <c r="N39" s="23">
        <f>1-0.13-N6</f>
        <v>0.19999999999999996</v>
      </c>
    </row>
    <row r="40" spans="2:16" x14ac:dyDescent="0.3">
      <c r="B40" t="s">
        <v>610</v>
      </c>
      <c r="E40" s="16">
        <f t="shared" ref="E40:L40" si="15">+E39*E4</f>
        <v>1709149.2967916564</v>
      </c>
      <c r="F40" s="16">
        <f t="shared" si="15"/>
        <v>1691817.5764654845</v>
      </c>
      <c r="G40" s="16">
        <f t="shared" si="15"/>
        <v>1466911.5495848912</v>
      </c>
      <c r="H40" s="16">
        <f t="shared" si="15"/>
        <v>1455259.2129988193</v>
      </c>
      <c r="I40" s="16">
        <f t="shared" si="15"/>
        <v>1451011.2828777442</v>
      </c>
      <c r="J40" s="16">
        <f t="shared" si="15"/>
        <v>1244767.6023734419</v>
      </c>
      <c r="K40" s="16">
        <f t="shared" si="15"/>
        <v>1248109.1345725276</v>
      </c>
      <c r="L40" s="16">
        <f t="shared" si="15"/>
        <v>1251085.4248187682</v>
      </c>
      <c r="M40" s="16">
        <f>+M39*M4</f>
        <v>1045302.3834411665</v>
      </c>
      <c r="N40" s="16">
        <f>+N39*N4</f>
        <v>1049675.8222899463</v>
      </c>
    </row>
    <row r="41" spans="2:16" x14ac:dyDescent="0.3">
      <c r="B41" t="s">
        <v>613</v>
      </c>
      <c r="E41" s="16">
        <f>E40*7.8</f>
        <v>13331364.51497492</v>
      </c>
      <c r="F41" s="16">
        <f t="shared" ref="F41:N41" si="16">F40*7.8</f>
        <v>13196177.096430779</v>
      </c>
      <c r="G41" s="16">
        <f t="shared" si="16"/>
        <v>11441910.086762151</v>
      </c>
      <c r="H41" s="16">
        <f t="shared" si="16"/>
        <v>11351021.86139079</v>
      </c>
      <c r="I41" s="16">
        <f t="shared" si="16"/>
        <v>11317888.006446404</v>
      </c>
      <c r="J41" s="16">
        <f t="shared" si="16"/>
        <v>9709187.2985128462</v>
      </c>
      <c r="K41" s="16">
        <f t="shared" si="16"/>
        <v>9735251.2496657148</v>
      </c>
      <c r="L41" s="16">
        <f t="shared" si="16"/>
        <v>9758466.3135863915</v>
      </c>
      <c r="M41" s="16">
        <f t="shared" si="16"/>
        <v>8153358.5908410987</v>
      </c>
      <c r="N41" s="16">
        <f t="shared" si="16"/>
        <v>8187471.4138615802</v>
      </c>
      <c r="P41" s="18"/>
    </row>
    <row r="42" spans="2:16" x14ac:dyDescent="0.3">
      <c r="B42" t="s">
        <v>611</v>
      </c>
      <c r="E42" s="18">
        <f t="shared" ref="E42:M42" si="17">$E$40-E40</f>
        <v>0</v>
      </c>
      <c r="F42" s="18">
        <f t="shared" si="17"/>
        <v>17331.720326171955</v>
      </c>
      <c r="G42" s="18">
        <f t="shared" si="17"/>
        <v>242237.74720676523</v>
      </c>
      <c r="H42" s="18">
        <f t="shared" si="17"/>
        <v>253890.0837928371</v>
      </c>
      <c r="I42" s="18">
        <f t="shared" si="17"/>
        <v>258138.01391391223</v>
      </c>
      <c r="J42" s="18">
        <f t="shared" si="17"/>
        <v>464381.69441821449</v>
      </c>
      <c r="K42" s="18">
        <f t="shared" si="17"/>
        <v>461040.1622191288</v>
      </c>
      <c r="L42" s="18">
        <f t="shared" si="17"/>
        <v>458063.87197288824</v>
      </c>
      <c r="M42" s="18">
        <f t="shared" si="17"/>
        <v>663846.91335048992</v>
      </c>
      <c r="N42" s="18">
        <f>$E$40-N40</f>
        <v>659473.47450171015</v>
      </c>
      <c r="P42" s="18"/>
    </row>
    <row r="43" spans="2:16" x14ac:dyDescent="0.3">
      <c r="B43" t="s">
        <v>612</v>
      </c>
      <c r="E43" s="18">
        <f>E42*7.8</f>
        <v>0</v>
      </c>
      <c r="F43" s="18">
        <f t="shared" ref="F43:M43" si="18">F42*7.8</f>
        <v>135187.41854414126</v>
      </c>
      <c r="G43" s="18">
        <f t="shared" si="18"/>
        <v>1889454.4282127686</v>
      </c>
      <c r="H43" s="18">
        <f t="shared" si="18"/>
        <v>1980342.6535841294</v>
      </c>
      <c r="I43" s="18">
        <f t="shared" si="18"/>
        <v>2013476.5085285155</v>
      </c>
      <c r="J43" s="18">
        <f t="shared" si="18"/>
        <v>3622177.2164620729</v>
      </c>
      <c r="K43" s="18">
        <f t="shared" si="18"/>
        <v>3596113.2653092048</v>
      </c>
      <c r="L43" s="18">
        <f t="shared" si="18"/>
        <v>3572898.2013885281</v>
      </c>
      <c r="M43" s="18">
        <f t="shared" si="18"/>
        <v>5178005.9241338214</v>
      </c>
      <c r="N43" s="18">
        <f>N42*7.8</f>
        <v>5143893.101113339</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X46"/>
  <sheetViews>
    <sheetView topLeftCell="A10" zoomScale="80" zoomScaleNormal="80" workbookViewId="0">
      <selection activeCell="F45" sqref="F45"/>
    </sheetView>
  </sheetViews>
  <sheetFormatPr defaultRowHeight="14.4" x14ac:dyDescent="0.3"/>
  <cols>
    <col min="2" max="2" width="46.88671875" customWidth="1"/>
    <col min="3" max="3" width="17" customWidth="1"/>
    <col min="4" max="4" width="14.88671875" hidden="1" customWidth="1"/>
    <col min="5" max="5" width="14.88671875" bestFit="1" customWidth="1"/>
    <col min="6" max="9" width="14.44140625" bestFit="1" customWidth="1"/>
    <col min="10" max="13" width="15.88671875" bestFit="1" customWidth="1"/>
    <col min="14" max="14" width="16.33203125" bestFit="1" customWidth="1"/>
    <col min="15" max="15" width="14.44140625" bestFit="1" customWidth="1"/>
    <col min="16" max="16" width="13.44140625" bestFit="1" customWidth="1"/>
    <col min="17" max="17" width="14.88671875" bestFit="1" customWidth="1"/>
  </cols>
  <sheetData>
    <row r="1" spans="2:24" ht="15" thickBot="1" x14ac:dyDescent="0.35"/>
    <row r="2" spans="2:24" x14ac:dyDescent="0.3">
      <c r="B2" s="180" t="s">
        <v>210</v>
      </c>
      <c r="C2" s="181"/>
    </row>
    <row r="3" spans="2:24" x14ac:dyDescent="0.3">
      <c r="B3" s="177" t="s">
        <v>211</v>
      </c>
      <c r="C3" s="179">
        <v>0.5</v>
      </c>
    </row>
    <row r="4" spans="2:24" x14ac:dyDescent="0.3">
      <c r="B4" s="177" t="s">
        <v>212</v>
      </c>
      <c r="C4" s="179">
        <v>0.45</v>
      </c>
    </row>
    <row r="5" spans="2:24" ht="15" thickBot="1" x14ac:dyDescent="0.35">
      <c r="B5" s="178" t="s">
        <v>213</v>
      </c>
      <c r="C5" s="185">
        <v>0.05</v>
      </c>
    </row>
    <row r="6" spans="2:24" ht="15" thickBot="1" x14ac:dyDescent="0.35">
      <c r="B6" s="312" t="s">
        <v>555</v>
      </c>
      <c r="C6" s="313">
        <v>874434047</v>
      </c>
    </row>
    <row r="9" spans="2:24" s="14" customFormat="1" x14ac:dyDescent="0.3">
      <c r="C9" s="14" t="s">
        <v>215</v>
      </c>
      <c r="D9" s="15">
        <v>2017</v>
      </c>
      <c r="E9" s="15">
        <v>2018</v>
      </c>
      <c r="F9" s="15">
        <v>2019</v>
      </c>
      <c r="G9" s="15">
        <v>2020</v>
      </c>
      <c r="H9" s="15">
        <v>2021</v>
      </c>
      <c r="I9" s="15">
        <v>2022</v>
      </c>
      <c r="J9" s="15">
        <v>2023</v>
      </c>
      <c r="K9" s="15">
        <v>2024</v>
      </c>
      <c r="L9" s="15">
        <v>2025</v>
      </c>
      <c r="M9" s="15">
        <v>2026</v>
      </c>
      <c r="N9" s="15">
        <v>2027</v>
      </c>
      <c r="O9" s="15"/>
      <c r="P9" s="15"/>
      <c r="Q9" s="15"/>
      <c r="R9" s="15"/>
      <c r="S9" s="15"/>
      <c r="T9" s="15"/>
      <c r="U9" s="15"/>
      <c r="V9" s="15"/>
      <c r="W9" s="15"/>
      <c r="X9" s="15"/>
    </row>
    <row r="11" spans="2:24" x14ac:dyDescent="0.3">
      <c r="B11" s="20" t="s">
        <v>200</v>
      </c>
    </row>
    <row r="12" spans="2:24" x14ac:dyDescent="0.3">
      <c r="B12" t="s">
        <v>59</v>
      </c>
      <c r="C12" s="147"/>
      <c r="E12" s="32">
        <f>C6*$C$3*'price forecasts'!E38</f>
        <v>437217023.5</v>
      </c>
      <c r="F12" s="32">
        <f>E15*$C$3*'price forecasts'!F38</f>
        <v>432989264.49926347</v>
      </c>
      <c r="G12" s="32">
        <f>F15*$C$3*'price forecasts'!G38</f>
        <v>446270605.79409724</v>
      </c>
      <c r="H12" s="32">
        <f>G15*$C$3*'price forecasts'!H38</f>
        <v>464982707.10531229</v>
      </c>
      <c r="I12" s="32">
        <f>H15*$C$3*'price forecasts'!I38</f>
        <v>466472911.07744229</v>
      </c>
      <c r="J12" s="32">
        <f>I15*$C$3*'price forecasts'!J38</f>
        <v>467616961.52766275</v>
      </c>
      <c r="K12" s="32">
        <f>J15*$C$3*'price forecasts'!K38</f>
        <v>508515501.15979749</v>
      </c>
      <c r="L12" s="32">
        <f>K15*$C$3*'price forecasts'!L38</f>
        <v>488996629.22250736</v>
      </c>
      <c r="M12" s="32">
        <f>L15*$C$3*'price forecasts'!M38</f>
        <v>504270141.0027917</v>
      </c>
      <c r="N12" s="32">
        <f>M15*$C$3*'price forecasts'!N38</f>
        <v>526992920.05149484</v>
      </c>
      <c r="O12" s="32"/>
      <c r="Q12" s="2">
        <f>(N12/E12)^(1/($N$9-$E$9))-1</f>
        <v>2.0967619869366017E-2</v>
      </c>
    </row>
    <row r="13" spans="2:24" x14ac:dyDescent="0.3">
      <c r="B13" t="s">
        <v>60</v>
      </c>
      <c r="C13" s="103"/>
      <c r="E13" s="32">
        <f>C6*$C$4*(1+inflation_rate)</f>
        <v>400971732.25185001</v>
      </c>
      <c r="F13" s="32">
        <f t="shared" ref="F13:N13" si="0">E13*(1+inflation_rate)</f>
        <v>408590195.16463512</v>
      </c>
      <c r="G13" s="32">
        <f t="shared" si="0"/>
        <v>416353408.87276316</v>
      </c>
      <c r="H13" s="32">
        <f t="shared" si="0"/>
        <v>424264123.64134562</v>
      </c>
      <c r="I13" s="32">
        <f t="shared" si="0"/>
        <v>432325141.99053115</v>
      </c>
      <c r="J13" s="32">
        <f t="shared" si="0"/>
        <v>440539319.68835121</v>
      </c>
      <c r="K13" s="32">
        <f t="shared" si="0"/>
        <v>448909566.76242983</v>
      </c>
      <c r="L13" s="32">
        <f t="shared" si="0"/>
        <v>457438848.53091598</v>
      </c>
      <c r="M13" s="32">
        <f t="shared" si="0"/>
        <v>466130186.65300333</v>
      </c>
      <c r="N13" s="32">
        <f t="shared" si="0"/>
        <v>474986660.19941038</v>
      </c>
      <c r="O13" s="32"/>
      <c r="Q13" s="2">
        <f>(N13/E13)^(1/($N$9-$E$9))-1</f>
        <v>1.8999999999999906E-2</v>
      </c>
    </row>
    <row r="14" spans="2:24" x14ac:dyDescent="0.3">
      <c r="B14" s="21" t="s">
        <v>61</v>
      </c>
      <c r="C14" s="148"/>
      <c r="D14" s="21"/>
      <c r="E14" s="86">
        <f>C6*$C$5*(1+depreciation_rate)</f>
        <v>43284485.326499999</v>
      </c>
      <c r="F14" s="86">
        <f t="shared" ref="F14:N14" si="1">E14*(1+depreciation_rate)</f>
        <v>42851640.473234996</v>
      </c>
      <c r="G14" s="86">
        <f t="shared" si="1"/>
        <v>42423124.068502642</v>
      </c>
      <c r="H14" s="86">
        <f t="shared" si="1"/>
        <v>41998892.827817619</v>
      </c>
      <c r="I14" s="86">
        <f t="shared" si="1"/>
        <v>41578903.899539441</v>
      </c>
      <c r="J14" s="86">
        <f t="shared" si="1"/>
        <v>41163114.860544048</v>
      </c>
      <c r="K14" s="86">
        <f t="shared" si="1"/>
        <v>40751483.711938605</v>
      </c>
      <c r="L14" s="86">
        <f t="shared" si="1"/>
        <v>40343968.874819219</v>
      </c>
      <c r="M14" s="86">
        <f t="shared" si="1"/>
        <v>39940529.186071023</v>
      </c>
      <c r="N14" s="86">
        <f t="shared" si="1"/>
        <v>39541123.894210316</v>
      </c>
      <c r="O14" s="86"/>
      <c r="Q14" s="2">
        <f>(N14/E14)^(1/($N$9-$E$9))-1</f>
        <v>-1.0000000000000009E-2</v>
      </c>
    </row>
    <row r="15" spans="2:24" x14ac:dyDescent="0.3">
      <c r="B15" t="s">
        <v>62</v>
      </c>
      <c r="C15" s="147">
        <f>NPV(discount_rate,E15:N15)</f>
        <v>6950745978.3178911</v>
      </c>
      <c r="E15" s="36">
        <f t="shared" ref="E15:N15" si="2">SUM(E12:E14)</f>
        <v>881473241.07835007</v>
      </c>
      <c r="F15" s="36">
        <f t="shared" si="2"/>
        <v>884431100.1371336</v>
      </c>
      <c r="G15" s="36">
        <f t="shared" si="2"/>
        <v>905047138.73536301</v>
      </c>
      <c r="H15" s="36">
        <f t="shared" si="2"/>
        <v>931245723.57447553</v>
      </c>
      <c r="I15" s="36">
        <f t="shared" si="2"/>
        <v>940376956.96751285</v>
      </c>
      <c r="J15" s="36">
        <f t="shared" si="2"/>
        <v>949319396.07655799</v>
      </c>
      <c r="K15" s="36">
        <f t="shared" si="2"/>
        <v>998176551.634166</v>
      </c>
      <c r="L15" s="36">
        <f t="shared" si="2"/>
        <v>986779446.62824249</v>
      </c>
      <c r="M15" s="36">
        <f t="shared" si="2"/>
        <v>1010340856.8418661</v>
      </c>
      <c r="N15" s="36">
        <f t="shared" si="2"/>
        <v>1041520704.1451156</v>
      </c>
      <c r="O15" s="36"/>
      <c r="Q15" s="2">
        <f>(N15/E15)^(1/($N$9-$E$9))-1</f>
        <v>1.8710951410236154E-2</v>
      </c>
    </row>
    <row r="17" spans="2:17" x14ac:dyDescent="0.3">
      <c r="B17" s="6" t="s">
        <v>190</v>
      </c>
      <c r="D17" s="22">
        <f>loads!D3</f>
        <v>5415649.5630000001</v>
      </c>
      <c r="E17" s="22">
        <f>loads!E3</f>
        <v>5412400.562185538</v>
      </c>
      <c r="F17" s="22">
        <f>loads!F3</f>
        <v>5394784.8888897058</v>
      </c>
      <c r="G17" s="22">
        <f>loads!G3</f>
        <v>5366611.4030270362</v>
      </c>
      <c r="H17" s="22">
        <f>loads!H3</f>
        <v>5336152.5630439641</v>
      </c>
      <c r="I17" s="22">
        <f>loads!I3</f>
        <v>5319360.9949134439</v>
      </c>
      <c r="J17" s="22">
        <f>loads!J3</f>
        <v>5314065.8363955468</v>
      </c>
      <c r="K17" s="22">
        <f>loads!K3</f>
        <v>5307280.8906090511</v>
      </c>
      <c r="L17" s="22">
        <f>loads!L3</f>
        <v>5298714.4307432072</v>
      </c>
      <c r="M17" s="22">
        <f>loads!M3</f>
        <v>5288510.5245818375</v>
      </c>
      <c r="N17" s="22">
        <f>loads!N3</f>
        <v>5286360.9781131195</v>
      </c>
      <c r="O17" s="22"/>
    </row>
    <row r="18" spans="2:17" s="19" customFormat="1" x14ac:dyDescent="0.3">
      <c r="B18" s="6" t="s">
        <v>198</v>
      </c>
      <c r="C18" s="149">
        <f>C15/NPV(discount_rate,E17:N17)</f>
        <v>176.87535508513938</v>
      </c>
      <c r="D18" s="146">
        <f>C6/D17</f>
        <v>161.46429654056254</v>
      </c>
      <c r="E18" s="146">
        <f>E15/E17</f>
        <v>162.86178950554418</v>
      </c>
      <c r="F18" s="146">
        <f t="shared" ref="F18:N18" si="3">F15/F17</f>
        <v>163.94186577458834</v>
      </c>
      <c r="G18" s="146">
        <f t="shared" si="3"/>
        <v>168.64406061241388</v>
      </c>
      <c r="H18" s="146">
        <f>H15/H17</f>
        <v>174.51632286975956</v>
      </c>
      <c r="I18" s="146">
        <f t="shared" si="3"/>
        <v>176.78382006160771</v>
      </c>
      <c r="J18" s="146">
        <f t="shared" si="3"/>
        <v>178.64276155081802</v>
      </c>
      <c r="K18" s="146">
        <f t="shared" si="3"/>
        <v>188.07682732609572</v>
      </c>
      <c r="L18" s="146">
        <f t="shared" si="3"/>
        <v>186.22997323708103</v>
      </c>
      <c r="M18" s="146">
        <f t="shared" si="3"/>
        <v>191.04450149917284</v>
      </c>
      <c r="N18" s="146">
        <f t="shared" si="3"/>
        <v>197.02035265039154</v>
      </c>
      <c r="O18" s="145"/>
    </row>
    <row r="19" spans="2:17" s="19" customFormat="1" x14ac:dyDescent="0.3">
      <c r="B19" s="6"/>
      <c r="D19" s="195"/>
      <c r="E19" s="146"/>
      <c r="F19" s="146"/>
      <c r="G19" s="146"/>
      <c r="H19" s="146"/>
      <c r="I19" s="146"/>
      <c r="J19" s="146"/>
      <c r="K19" s="146"/>
      <c r="L19" s="146"/>
      <c r="M19" s="146"/>
      <c r="N19" s="146"/>
      <c r="O19" s="145"/>
    </row>
    <row r="20" spans="2:17" x14ac:dyDescent="0.3">
      <c r="B20" s="106" t="s">
        <v>201</v>
      </c>
    </row>
    <row r="21" spans="2:17" x14ac:dyDescent="0.3">
      <c r="B21" s="182" t="s">
        <v>191</v>
      </c>
      <c r="C21" s="147">
        <f>NPV(discount_rate,E21:N21)</f>
        <v>48439322.731810905</v>
      </c>
      <c r="D21" s="32">
        <f>requirements!D27</f>
        <v>2654122.7640200001</v>
      </c>
      <c r="E21" s="32">
        <f>requirements!E27</f>
        <v>2581814.8890210772</v>
      </c>
      <c r="F21" s="32">
        <f>requirements!F27</f>
        <v>3025405.2014016598</v>
      </c>
      <c r="G21" s="32">
        <f>requirements!G27</f>
        <v>3850521.1758859302</v>
      </c>
      <c r="H21" s="32">
        <f>requirements!H27</f>
        <v>4526324.9429801758</v>
      </c>
      <c r="I21" s="32">
        <f>requirements!I27</f>
        <v>5349624.1016871762</v>
      </c>
      <c r="J21" s="32">
        <f>requirements!J27</f>
        <v>6864295.7238621814</v>
      </c>
      <c r="K21" s="32">
        <f>requirements!K27</f>
        <v>8168263.2410751935</v>
      </c>
      <c r="L21" s="32">
        <f>requirements!L27</f>
        <v>9715528.1355638485</v>
      </c>
      <c r="M21" s="32">
        <f>requirements!M27</f>
        <v>12821788.539882839</v>
      </c>
      <c r="N21" s="32">
        <f>requirements!N27</f>
        <v>15292038.278387873</v>
      </c>
      <c r="P21" s="147">
        <f>C21</f>
        <v>48439322.731810905</v>
      </c>
    </row>
    <row r="22" spans="2:17" x14ac:dyDescent="0.3">
      <c r="B22" s="182" t="s">
        <v>192</v>
      </c>
      <c r="C22" s="147">
        <f>NPV(discount_rate,E22:N22)</f>
        <v>62668392.160344832</v>
      </c>
      <c r="D22" s="32">
        <f>requirements!D28</f>
        <v>1227398.6400000001</v>
      </c>
      <c r="E22" s="32">
        <f>requirements!E28</f>
        <v>3794972.8425028445</v>
      </c>
      <c r="F22" s="32">
        <f>requirements!F28</f>
        <v>5910868.0836833203</v>
      </c>
      <c r="G22" s="32">
        <f>requirements!G28</f>
        <v>7111219.4123034105</v>
      </c>
      <c r="H22" s="32">
        <f>requirements!H28</f>
        <v>7984147.7048897762</v>
      </c>
      <c r="I22" s="32">
        <f>requirements!I28</f>
        <v>8821158.0208965577</v>
      </c>
      <c r="J22" s="32">
        <f>requirements!J28</f>
        <v>9612429.0730364583</v>
      </c>
      <c r="K22" s="32">
        <f>requirements!K28</f>
        <v>10403882.06139157</v>
      </c>
      <c r="L22" s="32">
        <f>requirements!L28</f>
        <v>11190204.481226429</v>
      </c>
      <c r="M22" s="32">
        <f>requirements!M28</f>
        <v>11973274.942305362</v>
      </c>
      <c r="N22" s="32">
        <f>requirements!N28</f>
        <v>12782337.750753054</v>
      </c>
      <c r="P22" s="147">
        <f>C22</f>
        <v>62668392.160344832</v>
      </c>
    </row>
    <row r="23" spans="2:17" x14ac:dyDescent="0.3">
      <c r="B23" s="183" t="s">
        <v>193</v>
      </c>
      <c r="C23" s="103">
        <f>NPV(discount_rate,E23:N23)</f>
        <v>93900673.954464197</v>
      </c>
      <c r="D23" s="85">
        <f>requirements!D29</f>
        <v>0</v>
      </c>
      <c r="E23" s="85">
        <f>requirements!E29</f>
        <v>4615328.1885144506</v>
      </c>
      <c r="F23" s="85">
        <f>requirements!F29</f>
        <v>6158302.0203555673</v>
      </c>
      <c r="G23" s="85">
        <f>requirements!G29</f>
        <v>7900911.7859575301</v>
      </c>
      <c r="H23" s="85">
        <f>requirements!H29</f>
        <v>9841951.6651231442</v>
      </c>
      <c r="I23" s="85">
        <f>requirements!I29</f>
        <v>11862520.458692245</v>
      </c>
      <c r="J23" s="85">
        <f>requirements!J29</f>
        <v>14049940.110272599</v>
      </c>
      <c r="K23" s="85">
        <f>requirements!K29</f>
        <v>16943304.064115934</v>
      </c>
      <c r="L23" s="85">
        <f>requirements!L29</f>
        <v>19323779.089856528</v>
      </c>
      <c r="M23" s="85">
        <f>requirements!M29</f>
        <v>22229574.001467731</v>
      </c>
      <c r="N23" s="85">
        <f>requirements!N29</f>
        <v>25640114.569029383</v>
      </c>
      <c r="P23" s="147">
        <f>SUM(C23:C24)</f>
        <v>-46525233.898651659</v>
      </c>
    </row>
    <row r="24" spans="2:17" x14ac:dyDescent="0.3">
      <c r="B24" s="184" t="s">
        <v>194</v>
      </c>
      <c r="C24" s="148">
        <f>NPV(discount_rate,E24:N24)</f>
        <v>-140425907.85311586</v>
      </c>
      <c r="D24" s="86">
        <f>-'Tier III'!D58</f>
        <v>0</v>
      </c>
      <c r="E24" s="86">
        <f>-'Tier III'!E58</f>
        <v>-3308348.7146957722</v>
      </c>
      <c r="F24" s="86">
        <f>-'Tier III'!F58</f>
        <v>-5762978.0010613129</v>
      </c>
      <c r="G24" s="86">
        <f>-'Tier III'!G58</f>
        <v>-8781237.4533165451</v>
      </c>
      <c r="H24" s="86">
        <f>-'Tier III'!H58</f>
        <v>-12390750.705151163</v>
      </c>
      <c r="I24" s="86">
        <f>-'Tier III'!I58</f>
        <v>-16621919.525841534</v>
      </c>
      <c r="J24" s="86">
        <f>-'Tier III'!J58</f>
        <v>-21525684.729545992</v>
      </c>
      <c r="K24" s="86">
        <f>-'Tier III'!K58</f>
        <v>-27156819.367286991</v>
      </c>
      <c r="L24" s="86">
        <f>-'Tier III'!L58</f>
        <v>-32835156.749292113</v>
      </c>
      <c r="M24" s="86">
        <f>-'Tier III'!M58</f>
        <v>-39056153.317415513</v>
      </c>
      <c r="N24" s="86">
        <f>-'Tier III'!N58</f>
        <v>-45869595.750883542</v>
      </c>
    </row>
    <row r="25" spans="2:17" x14ac:dyDescent="0.3">
      <c r="B25" s="182" t="s">
        <v>196</v>
      </c>
      <c r="C25" s="147">
        <f>NPV(discount_rate,E25:N25)</f>
        <v>64582480.993504077</v>
      </c>
      <c r="D25" s="32">
        <f>SUM(D21:D24)</f>
        <v>3881521.4040200002</v>
      </c>
      <c r="E25" s="32">
        <f>SUM(E21:E24)</f>
        <v>7683767.2053426001</v>
      </c>
      <c r="F25" s="32">
        <f t="shared" ref="F25:N25" si="4">SUM(F21:F24)</f>
        <v>9331597.3043792341</v>
      </c>
      <c r="G25" s="32">
        <f t="shared" si="4"/>
        <v>10081414.920830326</v>
      </c>
      <c r="H25" s="32">
        <f t="shared" si="4"/>
        <v>9961673.6078419313</v>
      </c>
      <c r="I25" s="32">
        <f t="shared" si="4"/>
        <v>9411383.0554344431</v>
      </c>
      <c r="J25" s="32">
        <f t="shared" si="4"/>
        <v>9000980.1776252501</v>
      </c>
      <c r="K25" s="32">
        <f t="shared" si="4"/>
        <v>8358629.9992957078</v>
      </c>
      <c r="L25" s="32">
        <f t="shared" si="4"/>
        <v>7394354.9573546946</v>
      </c>
      <c r="M25" s="32">
        <f t="shared" si="4"/>
        <v>7968484.1662404165</v>
      </c>
      <c r="N25" s="32">
        <f t="shared" si="4"/>
        <v>7844894.8472867683</v>
      </c>
    </row>
    <row r="26" spans="2:17" x14ac:dyDescent="0.3">
      <c r="B26" s="182"/>
      <c r="D26" s="32"/>
      <c r="E26" s="32"/>
      <c r="F26" s="32"/>
      <c r="G26" s="32"/>
      <c r="H26" s="32"/>
      <c r="I26" s="32"/>
      <c r="J26" s="32"/>
      <c r="K26" s="32"/>
      <c r="L26" s="32"/>
      <c r="M26" s="32"/>
      <c r="N26" s="32"/>
    </row>
    <row r="27" spans="2:17" x14ac:dyDescent="0.3">
      <c r="B27" s="19"/>
    </row>
    <row r="28" spans="2:17" x14ac:dyDescent="0.3">
      <c r="B28" s="19" t="s">
        <v>536</v>
      </c>
      <c r="C28" s="147">
        <f>NPV(discount_rate,E28:N28)</f>
        <v>7015328459.3113947</v>
      </c>
      <c r="D28" s="36">
        <f>C6+D25</f>
        <v>878315568.40401995</v>
      </c>
      <c r="E28" s="36">
        <f>E15+E25</f>
        <v>889157008.28369272</v>
      </c>
      <c r="F28" s="36">
        <f t="shared" ref="F28:N28" si="5">F15+F25</f>
        <v>893762697.44151282</v>
      </c>
      <c r="G28" s="36">
        <f t="shared" si="5"/>
        <v>915128553.65619338</v>
      </c>
      <c r="H28" s="36">
        <f t="shared" si="5"/>
        <v>941207397.1823175</v>
      </c>
      <c r="I28" s="36">
        <f t="shared" si="5"/>
        <v>949788340.02294731</v>
      </c>
      <c r="J28" s="36">
        <f t="shared" si="5"/>
        <v>958320376.25418329</v>
      </c>
      <c r="K28" s="36">
        <f t="shared" si="5"/>
        <v>1006535181.6334617</v>
      </c>
      <c r="L28" s="36">
        <f t="shared" si="5"/>
        <v>994173801.58559716</v>
      </c>
      <c r="M28" s="36">
        <f t="shared" si="5"/>
        <v>1018309341.0081066</v>
      </c>
      <c r="N28" s="36">
        <f t="shared" si="5"/>
        <v>1049365598.9924024</v>
      </c>
    </row>
    <row r="29" spans="2:17" x14ac:dyDescent="0.3">
      <c r="B29" s="6" t="s">
        <v>534</v>
      </c>
      <c r="D29" s="22">
        <f>loads!D5</f>
        <v>5415649.5630000001</v>
      </c>
      <c r="E29" s="22">
        <f>loads!E5</f>
        <v>5341091.5524739269</v>
      </c>
      <c r="F29" s="22">
        <f>loads!F5</f>
        <v>5286929.92645464</v>
      </c>
      <c r="G29" s="22">
        <f>loads!G5</f>
        <v>5238969.8199460395</v>
      </c>
      <c r="H29" s="22">
        <f>loads!H5</f>
        <v>5197354.3321386399</v>
      </c>
      <c r="I29" s="22">
        <f>loads!I5</f>
        <v>5182183.1531348005</v>
      </c>
      <c r="J29" s="22">
        <f>loads!J5</f>
        <v>5186531.6765560079</v>
      </c>
      <c r="K29" s="22">
        <f>loads!K5</f>
        <v>5200454.727385534</v>
      </c>
      <c r="L29" s="22">
        <f>loads!L5</f>
        <v>5212855.9367448678</v>
      </c>
      <c r="M29" s="22">
        <f>loads!M5</f>
        <v>5226511.9172058338</v>
      </c>
      <c r="N29" s="22">
        <f>loads!N5</f>
        <v>5248379.1114497324</v>
      </c>
    </row>
    <row r="30" spans="2:17" x14ac:dyDescent="0.3">
      <c r="B30" s="19" t="s">
        <v>535</v>
      </c>
      <c r="C30" s="149">
        <f>C28/NPV(discount_rate,E29:N29)</f>
        <v>182.01862583829964</v>
      </c>
      <c r="D30" s="61">
        <f>D28/D29</f>
        <v>162.1810196887032</v>
      </c>
      <c r="E30" s="61">
        <f t="shared" ref="E30:N30" si="6">E28/E29</f>
        <v>166.47477384502918</v>
      </c>
      <c r="F30" s="61">
        <f t="shared" si="6"/>
        <v>169.05136059574383</v>
      </c>
      <c r="G30" s="61">
        <f t="shared" si="6"/>
        <v>174.67719515620706</v>
      </c>
      <c r="H30" s="61">
        <f>H28/H29</f>
        <v>181.0935597294602</v>
      </c>
      <c r="I30" s="61">
        <f t="shared" si="6"/>
        <v>183.27957772939817</v>
      </c>
      <c r="J30" s="61">
        <f t="shared" si="6"/>
        <v>184.7709482978677</v>
      </c>
      <c r="K30" s="61">
        <f t="shared" si="6"/>
        <v>193.54753274421546</v>
      </c>
      <c r="L30" s="61">
        <f t="shared" si="6"/>
        <v>190.71576380574257</v>
      </c>
      <c r="M30" s="61">
        <f t="shared" si="6"/>
        <v>194.83536192767528</v>
      </c>
      <c r="N30" s="61">
        <f t="shared" si="6"/>
        <v>199.94089159891914</v>
      </c>
    </row>
    <row r="31" spans="2:17" x14ac:dyDescent="0.3">
      <c r="B31" s="19"/>
      <c r="C31" s="149"/>
      <c r="D31" s="61"/>
      <c r="E31" s="61"/>
      <c r="F31" s="61"/>
      <c r="G31" s="61"/>
      <c r="H31" s="61"/>
      <c r="I31" s="61"/>
      <c r="J31" s="61"/>
      <c r="K31" s="61"/>
      <c r="L31" s="61"/>
      <c r="M31" s="61"/>
      <c r="N31" s="61"/>
      <c r="Q31" s="32"/>
    </row>
    <row r="32" spans="2:17" x14ac:dyDescent="0.3">
      <c r="B32" s="19"/>
      <c r="C32" s="149"/>
      <c r="D32" s="61"/>
      <c r="E32" s="61"/>
      <c r="F32" s="61"/>
      <c r="G32" s="61"/>
      <c r="H32" s="61"/>
      <c r="I32" s="61"/>
      <c r="J32" s="61"/>
      <c r="K32" s="61"/>
      <c r="L32" s="61"/>
      <c r="M32" s="61"/>
      <c r="N32" s="61"/>
      <c r="Q32" s="2"/>
    </row>
    <row r="33" spans="2:24" s="14" customFormat="1" ht="15" thickBot="1" x14ac:dyDescent="0.35">
      <c r="B33" s="14" t="s">
        <v>620</v>
      </c>
      <c r="C33" s="14" t="s">
        <v>8</v>
      </c>
      <c r="D33" s="15">
        <v>2017</v>
      </c>
      <c r="E33" s="321">
        <v>2018</v>
      </c>
      <c r="F33" s="321">
        <v>2019</v>
      </c>
      <c r="G33" s="321">
        <v>2020</v>
      </c>
      <c r="H33" s="321">
        <v>2021</v>
      </c>
      <c r="I33" s="321">
        <v>2022</v>
      </c>
      <c r="J33" s="321">
        <v>2023</v>
      </c>
      <c r="K33" s="321">
        <v>2024</v>
      </c>
      <c r="L33" s="321">
        <v>2025</v>
      </c>
      <c r="M33" s="321">
        <v>2026</v>
      </c>
      <c r="N33" s="321">
        <v>2027</v>
      </c>
      <c r="O33" s="15"/>
      <c r="P33" s="15"/>
      <c r="Q33" s="15"/>
      <c r="R33" s="15"/>
      <c r="S33" s="15"/>
      <c r="T33" s="15"/>
      <c r="U33" s="15"/>
      <c r="V33" s="15"/>
      <c r="W33" s="15"/>
      <c r="X33" s="15"/>
    </row>
    <row r="34" spans="2:24" s="14" customFormat="1" x14ac:dyDescent="0.3">
      <c r="B34" s="314" t="s">
        <v>196</v>
      </c>
      <c r="C34" s="316">
        <f>NPV(discount_rate,E34:N34)</f>
        <v>64582480.993504077</v>
      </c>
      <c r="D34" s="315"/>
      <c r="E34" s="322">
        <f>E25</f>
        <v>7683767.2053426001</v>
      </c>
      <c r="F34" s="322">
        <f t="shared" ref="F34:N34" si="7">F25</f>
        <v>9331597.3043792341</v>
      </c>
      <c r="G34" s="322">
        <f t="shared" si="7"/>
        <v>10081414.920830326</v>
      </c>
      <c r="H34" s="322">
        <f t="shared" si="7"/>
        <v>9961673.6078419313</v>
      </c>
      <c r="I34" s="322">
        <f t="shared" si="7"/>
        <v>9411383.0554344431</v>
      </c>
      <c r="J34" s="322">
        <f t="shared" si="7"/>
        <v>9000980.1776252501</v>
      </c>
      <c r="K34" s="322">
        <f t="shared" si="7"/>
        <v>8358629.9992957078</v>
      </c>
      <c r="L34" s="322">
        <f t="shared" si="7"/>
        <v>7394354.9573546946</v>
      </c>
      <c r="M34" s="322">
        <f t="shared" si="7"/>
        <v>7968484.1662404165</v>
      </c>
      <c r="N34" s="323">
        <f t="shared" si="7"/>
        <v>7844894.8472867683</v>
      </c>
      <c r="O34" s="15"/>
      <c r="P34" s="15"/>
      <c r="Q34" s="15"/>
      <c r="R34" s="15"/>
      <c r="S34" s="15"/>
      <c r="T34" s="15"/>
      <c r="U34" s="15"/>
      <c r="V34" s="15"/>
      <c r="W34" s="15"/>
      <c r="X34" s="15"/>
    </row>
    <row r="35" spans="2:24" x14ac:dyDescent="0.3">
      <c r="B35" s="155" t="s">
        <v>199</v>
      </c>
      <c r="C35" s="317">
        <f>C30/C18-1</f>
        <v>2.9078504185529708E-2</v>
      </c>
      <c r="D35" s="286">
        <f>D30/D18-1</f>
        <v>4.4388955546008635E-3</v>
      </c>
      <c r="E35" s="324">
        <f>E30/E18-1</f>
        <v>2.2184358592977294E-2</v>
      </c>
      <c r="F35" s="324">
        <f t="shared" ref="F35:N35" si="8">F30/F18-1</f>
        <v>3.116650403491672E-2</v>
      </c>
      <c r="G35" s="324">
        <f t="shared" si="8"/>
        <v>3.5774367160541942E-2</v>
      </c>
      <c r="H35" s="324">
        <f t="shared" si="8"/>
        <v>3.7688376373877563E-2</v>
      </c>
      <c r="I35" s="324">
        <f t="shared" si="8"/>
        <v>3.6744073442505965E-2</v>
      </c>
      <c r="J35" s="324">
        <f t="shared" si="8"/>
        <v>3.4304142490018563E-2</v>
      </c>
      <c r="K35" s="324">
        <f t="shared" si="8"/>
        <v>2.9087610078802451E-2</v>
      </c>
      <c r="L35" s="324">
        <f t="shared" si="8"/>
        <v>2.4087371601299035E-2</v>
      </c>
      <c r="M35" s="324">
        <f t="shared" si="8"/>
        <v>1.9842813578797802E-2</v>
      </c>
      <c r="N35" s="325">
        <f t="shared" si="8"/>
        <v>1.4823539341186853E-2</v>
      </c>
    </row>
    <row r="36" spans="2:24" x14ac:dyDescent="0.3">
      <c r="B36" s="155" t="s">
        <v>533</v>
      </c>
      <c r="C36" s="318">
        <f>SUM(E36:N36)</f>
        <v>-10003372.316562869</v>
      </c>
      <c r="D36" s="285">
        <f>-'Tier III'!D98</f>
        <v>0</v>
      </c>
      <c r="E36" s="326">
        <f>-'Tier III'!E98</f>
        <v>-215833.75554572287</v>
      </c>
      <c r="F36" s="326">
        <f>-'Tier III'!F98</f>
        <v>-340631.87990575167</v>
      </c>
      <c r="G36" s="326">
        <f>-'Tier III'!G98</f>
        <v>-486273.81662947044</v>
      </c>
      <c r="H36" s="326">
        <f>-'Tier III'!H98</f>
        <v>-652387.1077424112</v>
      </c>
      <c r="I36" s="326">
        <f>-'Tier III'!I98</f>
        <v>-838836.10641724861</v>
      </c>
      <c r="J36" s="326">
        <f>-'Tier III'!J98</f>
        <v>-1046799.2786521065</v>
      </c>
      <c r="K36" s="326">
        <f>-'Tier III'!K98</f>
        <v>-1276990.8971975832</v>
      </c>
      <c r="L36" s="326">
        <f>-'Tier III'!L98</f>
        <v>-1489877.7913486122</v>
      </c>
      <c r="M36" s="326">
        <f>-'Tier III'!M98</f>
        <v>-1711803.4383595551</v>
      </c>
      <c r="N36" s="327">
        <f>-'Tier III'!N98</f>
        <v>-1943938.2447644086</v>
      </c>
    </row>
    <row r="37" spans="2:24" x14ac:dyDescent="0.3">
      <c r="B37" s="155" t="s">
        <v>542</v>
      </c>
      <c r="C37" s="318">
        <f>SUM(E37:N37)</f>
        <v>1037701.7703478053</v>
      </c>
      <c r="D37" s="156"/>
      <c r="E37" s="326">
        <f>'Tier III'!E50</f>
        <v>18451.470801426498</v>
      </c>
      <c r="F37" s="326">
        <f>'Tier III'!F50</f>
        <v>31449.647089525763</v>
      </c>
      <c r="G37" s="326">
        <f>'Tier III'!G50</f>
        <v>46889.288188743689</v>
      </c>
      <c r="H37" s="326">
        <f>'Tier III'!H50</f>
        <v>64738.799597812853</v>
      </c>
      <c r="I37" s="326">
        <f>'Tier III'!I50</f>
        <v>84976.199291008772</v>
      </c>
      <c r="J37" s="326">
        <f>'Tier III'!J50</f>
        <v>107676.81640940209</v>
      </c>
      <c r="K37" s="326">
        <f>'Tier III'!K50</f>
        <v>132920.88960805754</v>
      </c>
      <c r="L37" s="326">
        <f>'Tier III'!L50</f>
        <v>157254.30144376066</v>
      </c>
      <c r="M37" s="326">
        <f>'Tier III'!M50</f>
        <v>183021.45809936666</v>
      </c>
      <c r="N37" s="327">
        <f>'Tier III'!N50</f>
        <v>210322.89981870085</v>
      </c>
    </row>
    <row r="38" spans="2:24" x14ac:dyDescent="0.3">
      <c r="B38" s="155" t="s">
        <v>543</v>
      </c>
      <c r="C38" s="319">
        <f>SUM(loads!E28:N28)/SUM(loads!E4:N4)</f>
        <v>2.0234589068993652E-2</v>
      </c>
      <c r="D38" s="156"/>
      <c r="E38" s="324">
        <f>'Tier III'!E50/loads!E4</f>
        <v>3.4666012577030392E-3</v>
      </c>
      <c r="F38" s="324">
        <f>'Tier III'!F50/loads!F4</f>
        <v>5.9841623253745748E-3</v>
      </c>
      <c r="G38" s="324">
        <f>'Tier III'!G50/loads!G4</f>
        <v>9.0309246749825899E-3</v>
      </c>
      <c r="H38" s="324">
        <f>'Tier III'!H50/loads!H4</f>
        <v>1.2613218190095928E-2</v>
      </c>
      <c r="I38" s="324">
        <f>'Tier III'!I50/loads!I4</f>
        <v>1.6671129907120687E-2</v>
      </c>
      <c r="J38" s="324">
        <f>'Tier III'!J50/loads!J4</f>
        <v>2.1201002858800715E-2</v>
      </c>
      <c r="K38" s="324">
        <f>'Tier III'!K50/loads!K4</f>
        <v>2.6229896802495569E-2</v>
      </c>
      <c r="L38" s="324">
        <f>'Tier III'!L50/loads!L4</f>
        <v>3.1104962927798942E-2</v>
      </c>
      <c r="M38" s="324">
        <f>'Tier III'!M50/loads!M4</f>
        <v>3.6288649613464674E-2</v>
      </c>
      <c r="N38" s="325">
        <f>'Tier III'!N50/loads!N4</f>
        <v>4.1746834688573362E-2</v>
      </c>
    </row>
    <row r="39" spans="2:24" x14ac:dyDescent="0.3">
      <c r="B39" s="155" t="s">
        <v>541</v>
      </c>
      <c r="C39" s="318">
        <f>SUM(E39:N39)</f>
        <v>-128665186.2869141</v>
      </c>
      <c r="D39" s="285"/>
      <c r="E39" s="326">
        <f>-emissions!E49</f>
        <v>-9006716.65837943</v>
      </c>
      <c r="F39" s="326">
        <f>-emissions!F49</f>
        <v>-9315248.0589256324</v>
      </c>
      <c r="G39" s="326">
        <f>-emissions!G49</f>
        <v>-11313464.447245447</v>
      </c>
      <c r="H39" s="326">
        <f>-emissions!H49</f>
        <v>-11634259.662115566</v>
      </c>
      <c r="I39" s="326">
        <f>-emissions!I49</f>
        <v>-11923946.515427155</v>
      </c>
      <c r="J39" s="326">
        <f>-emissions!J49</f>
        <v>-13859255.048324034</v>
      </c>
      <c r="K39" s="326">
        <f>-emissions!K49</f>
        <v>-14148659.597526668</v>
      </c>
      <c r="L39" s="326">
        <f>-emissions!L49</f>
        <v>-14420594.685620815</v>
      </c>
      <c r="M39" s="326">
        <f>-emissions!M49</f>
        <v>-16376518.210977938</v>
      </c>
      <c r="N39" s="327">
        <f>-emissions!N49</f>
        <v>-16666523.402371412</v>
      </c>
    </row>
    <row r="40" spans="2:24" x14ac:dyDescent="0.3">
      <c r="B40" s="155" t="s">
        <v>530</v>
      </c>
      <c r="C40" s="318">
        <f>SUM(E40:N40)</f>
        <v>14144840507.611807</v>
      </c>
      <c r="D40" s="285">
        <f>emissions!D39+'Tier III'!E90</f>
        <v>938564303.57827103</v>
      </c>
      <c r="E40" s="326">
        <f>emissions!E39+'Tier III'!E90</f>
        <v>958758942.0622009</v>
      </c>
      <c r="F40" s="326">
        <f>emissions!F39+'Tier III'!F90</f>
        <v>998841372.62852216</v>
      </c>
      <c r="G40" s="326">
        <f>emissions!G39+'Tier III'!G90</f>
        <v>1218192450.8291712</v>
      </c>
      <c r="H40" s="326">
        <f>emissions!H39+'Tier III'!H90</f>
        <v>1262405756.8792286</v>
      </c>
      <c r="I40" s="326">
        <f>emissions!I39+'Tier III'!I90</f>
        <v>1304742845.3295932</v>
      </c>
      <c r="J40" s="326">
        <f>emissions!J39+'Tier III'!J90</f>
        <v>1521723652.824034</v>
      </c>
      <c r="K40" s="326">
        <f>emissions!K39+'Tier III'!K90</f>
        <v>1566962077.284348</v>
      </c>
      <c r="L40" s="326">
        <f>emissions!L39+'Tier III'!L90</f>
        <v>1609189847.063858</v>
      </c>
      <c r="M40" s="326">
        <f>emissions!M39+'Tier III'!M90</f>
        <v>1829283799.0576494</v>
      </c>
      <c r="N40" s="327">
        <f>emissions!N39+'Tier III'!N90</f>
        <v>1874739763.6532016</v>
      </c>
    </row>
    <row r="41" spans="2:24" ht="15" thickBot="1" x14ac:dyDescent="0.35">
      <c r="B41" s="168" t="s">
        <v>531</v>
      </c>
      <c r="C41" s="320">
        <f>SUM(E41:N41)</f>
        <v>6417804.2230543587</v>
      </c>
      <c r="D41" s="287">
        <f>D40/2204</f>
        <v>425845.87276691064</v>
      </c>
      <c r="E41" s="328">
        <f>E40/2204</f>
        <v>435008.5944020875</v>
      </c>
      <c r="F41" s="409">
        <f>F40/2204</f>
        <v>453194.81516720605</v>
      </c>
      <c r="G41" s="328">
        <f t="shared" ref="G41:N41" si="9">G40/2204</f>
        <v>552718.89783537714</v>
      </c>
      <c r="H41" s="328">
        <f t="shared" si="9"/>
        <v>572779.38152415096</v>
      </c>
      <c r="I41" s="328">
        <f t="shared" si="9"/>
        <v>591988.5868101602</v>
      </c>
      <c r="J41" s="328">
        <f t="shared" si="9"/>
        <v>690437.22904901719</v>
      </c>
      <c r="K41" s="328">
        <f t="shared" si="9"/>
        <v>710962.82998382393</v>
      </c>
      <c r="L41" s="328">
        <f t="shared" si="9"/>
        <v>730122.43514694099</v>
      </c>
      <c r="M41" s="328">
        <f t="shared" si="9"/>
        <v>829983.57489004056</v>
      </c>
      <c r="N41" s="329">
        <f t="shared" si="9"/>
        <v>850607.87824555428</v>
      </c>
    </row>
    <row r="43" spans="2:24" x14ac:dyDescent="0.3">
      <c r="C43">
        <v>-2.7699999999999999E-2</v>
      </c>
    </row>
    <row r="46" spans="2:24" x14ac:dyDescent="0.3">
      <c r="C46" s="406"/>
    </row>
  </sheetData>
  <pageMargins left="0.7" right="0.7" top="0.75" bottom="0.75" header="0.3" footer="0.3"/>
  <pageSetup scale="57" orientation="landscape"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0"/>
  <sheetViews>
    <sheetView zoomScale="80" zoomScaleNormal="80" workbookViewId="0">
      <selection activeCell="H25" sqref="H25"/>
    </sheetView>
  </sheetViews>
  <sheetFormatPr defaultRowHeight="14.4" x14ac:dyDescent="0.3"/>
  <cols>
    <col min="1" max="1" width="6.88671875" bestFit="1" customWidth="1"/>
    <col min="2" max="2" width="17.88671875" customWidth="1"/>
    <col min="3" max="3" width="10.44140625" bestFit="1" customWidth="1"/>
    <col min="4" max="4" width="14.88671875" bestFit="1" customWidth="1"/>
    <col min="5" max="5" width="14" bestFit="1" customWidth="1"/>
    <col min="6" max="14" width="13.109375" bestFit="1" customWidth="1"/>
  </cols>
  <sheetData>
    <row r="1" spans="1:24" x14ac:dyDescent="0.3">
      <c r="A1" t="s">
        <v>97</v>
      </c>
      <c r="B1" s="59" t="str">
        <f>REC_scenario</f>
        <v>MID</v>
      </c>
    </row>
    <row r="2" spans="1:24" s="14" customFormat="1" x14ac:dyDescent="0.3">
      <c r="D2" s="15">
        <v>2017</v>
      </c>
      <c r="E2" s="15">
        <v>2018</v>
      </c>
      <c r="F2" s="15">
        <v>2019</v>
      </c>
      <c r="G2" s="15">
        <v>2020</v>
      </c>
      <c r="H2" s="15">
        <v>2021</v>
      </c>
      <c r="I2" s="15">
        <v>2022</v>
      </c>
      <c r="J2" s="15">
        <v>2023</v>
      </c>
      <c r="K2" s="15">
        <v>2024</v>
      </c>
      <c r="L2" s="15">
        <v>2025</v>
      </c>
      <c r="M2" s="15">
        <v>2026</v>
      </c>
      <c r="N2" s="15">
        <v>2027</v>
      </c>
      <c r="O2" s="15"/>
      <c r="P2" s="15"/>
      <c r="Q2" s="15"/>
      <c r="R2" s="15"/>
      <c r="S2" s="15"/>
      <c r="T2" s="15"/>
      <c r="U2" s="15"/>
      <c r="V2" s="15"/>
      <c r="W2" s="15"/>
      <c r="X2" s="15"/>
    </row>
    <row r="3" spans="1:24" x14ac:dyDescent="0.3">
      <c r="B3" t="s">
        <v>2</v>
      </c>
      <c r="C3" t="s">
        <v>1</v>
      </c>
      <c r="D3" s="16">
        <f>requirements!D11</f>
        <v>2924450.7640200001</v>
      </c>
      <c r="E3" s="16">
        <f>requirements!E11</f>
        <v>2852142.8890210772</v>
      </c>
      <c r="F3" s="16">
        <f>requirements!F11</f>
        <v>2791499.0011680499</v>
      </c>
      <c r="G3" s="16">
        <f>requirements!G11</f>
        <v>2944301.0388096739</v>
      </c>
      <c r="H3" s="16">
        <f>requirements!H11</f>
        <v>2889729.0086690835</v>
      </c>
      <c r="I3" s="16">
        <f>requirements!I11</f>
        <v>2850200.7342241397</v>
      </c>
      <c r="J3" s="16">
        <f>requirements!J11</f>
        <v>3028934.4991087085</v>
      </c>
      <c r="K3" s="16">
        <f>requirements!K11</f>
        <v>3005862.8324288391</v>
      </c>
      <c r="L3" s="16">
        <f>requirements!L11</f>
        <v>2981753.5958180646</v>
      </c>
      <c r="M3" s="16">
        <f>requirements!M11</f>
        <v>3167266.2218267359</v>
      </c>
      <c r="N3" s="16">
        <f>requirements!N11</f>
        <v>3149027.4668698399</v>
      </c>
      <c r="O3" s="16"/>
      <c r="P3" s="16"/>
      <c r="Q3" s="16"/>
      <c r="R3" s="16"/>
      <c r="S3" s="16"/>
      <c r="T3" s="16"/>
    </row>
    <row r="4" spans="1:24" s="14" customFormat="1" x14ac:dyDescent="0.3">
      <c r="D4" s="15"/>
      <c r="E4" s="15"/>
      <c r="F4" s="15"/>
      <c r="G4" s="15"/>
      <c r="H4" s="15"/>
      <c r="I4" s="15"/>
      <c r="J4" s="15"/>
      <c r="K4" s="15"/>
      <c r="L4" s="15"/>
      <c r="M4" s="15"/>
      <c r="N4" s="15"/>
      <c r="O4" s="15"/>
      <c r="P4" s="15"/>
      <c r="Q4" s="15"/>
      <c r="R4" s="15"/>
      <c r="S4" s="15"/>
      <c r="T4" s="15"/>
      <c r="U4" s="15"/>
      <c r="V4" s="15"/>
      <c r="W4" s="15"/>
      <c r="X4" s="15"/>
    </row>
    <row r="5" spans="1:24" s="14" customFormat="1" x14ac:dyDescent="0.3">
      <c r="D5" s="15"/>
      <c r="E5" s="15"/>
      <c r="F5" s="15"/>
      <c r="G5" s="15"/>
      <c r="H5" s="15"/>
      <c r="I5" s="15"/>
      <c r="J5" s="15"/>
      <c r="K5" s="15"/>
      <c r="L5" s="15"/>
      <c r="M5" s="15"/>
      <c r="N5" s="15"/>
      <c r="O5" s="15"/>
      <c r="P5" s="15"/>
      <c r="Q5" s="15"/>
      <c r="R5" s="15"/>
      <c r="S5" s="15"/>
      <c r="T5" s="15"/>
      <c r="U5" s="15"/>
      <c r="V5" s="15"/>
      <c r="W5" s="15"/>
      <c r="X5" s="15"/>
    </row>
    <row r="6" spans="1:24" s="6" customFormat="1" x14ac:dyDescent="0.3">
      <c r="A6" s="6" t="s">
        <v>56</v>
      </c>
      <c r="B6" s="6" t="s">
        <v>98</v>
      </c>
      <c r="C6" s="6" t="s">
        <v>1</v>
      </c>
      <c r="D6" s="7">
        <v>85000</v>
      </c>
      <c r="E6" s="7">
        <v>85000</v>
      </c>
      <c r="F6" s="7">
        <v>85000</v>
      </c>
      <c r="G6" s="7">
        <v>85000</v>
      </c>
      <c r="H6" s="7">
        <v>85000</v>
      </c>
      <c r="I6" s="7">
        <v>85000</v>
      </c>
      <c r="J6" s="7">
        <v>85000</v>
      </c>
      <c r="K6" s="7">
        <v>85000</v>
      </c>
      <c r="L6" s="7">
        <v>85000</v>
      </c>
      <c r="M6" s="7"/>
      <c r="N6" s="7"/>
      <c r="O6" s="7"/>
      <c r="P6" s="7"/>
      <c r="Q6" s="7"/>
      <c r="R6" s="7"/>
      <c r="S6" s="7"/>
      <c r="T6" s="7"/>
      <c r="U6" s="7"/>
      <c r="V6" s="7"/>
      <c r="W6" s="7"/>
      <c r="X6" s="7"/>
    </row>
    <row r="7" spans="1:24" s="6" customFormat="1" x14ac:dyDescent="0.3">
      <c r="A7" s="6" t="s">
        <v>56</v>
      </c>
      <c r="B7" s="8" t="s">
        <v>30</v>
      </c>
      <c r="C7" s="6" t="s">
        <v>1</v>
      </c>
      <c r="D7" s="7">
        <f>225*16*52*0.99</f>
        <v>185328</v>
      </c>
      <c r="E7" s="7">
        <f t="shared" ref="E7:N7" si="0">225*16*52*0.99</f>
        <v>185328</v>
      </c>
      <c r="F7" s="7">
        <f t="shared" si="0"/>
        <v>185328</v>
      </c>
      <c r="G7" s="7">
        <f t="shared" si="0"/>
        <v>185328</v>
      </c>
      <c r="H7" s="7">
        <f t="shared" si="0"/>
        <v>185328</v>
      </c>
      <c r="I7" s="7">
        <f t="shared" si="0"/>
        <v>185328</v>
      </c>
      <c r="J7" s="7">
        <f t="shared" si="0"/>
        <v>185328</v>
      </c>
      <c r="K7" s="7">
        <f t="shared" si="0"/>
        <v>185328</v>
      </c>
      <c r="L7" s="7">
        <f t="shared" si="0"/>
        <v>185328</v>
      </c>
      <c r="M7" s="7">
        <f t="shared" si="0"/>
        <v>185328</v>
      </c>
      <c r="N7" s="7">
        <f t="shared" si="0"/>
        <v>185328</v>
      </c>
      <c r="O7" s="7"/>
      <c r="P7" s="7"/>
      <c r="Q7" s="7"/>
      <c r="R7" s="7"/>
      <c r="S7" s="7"/>
      <c r="T7" s="7"/>
      <c r="U7" s="7"/>
      <c r="V7" s="7"/>
      <c r="W7" s="7"/>
      <c r="X7" s="7"/>
    </row>
    <row r="8" spans="1:24" s="6" customFormat="1" x14ac:dyDescent="0.3">
      <c r="A8" s="6" t="s">
        <v>56</v>
      </c>
      <c r="B8" s="8" t="s">
        <v>52</v>
      </c>
      <c r="C8" s="6" t="s">
        <v>1</v>
      </c>
      <c r="D8" s="7">
        <f>D3-D6-D7</f>
        <v>2654122.7640200001</v>
      </c>
      <c r="E8" s="7">
        <f t="shared" ref="E8:N8" si="1">E3-E6-E7</f>
        <v>2581814.8890210772</v>
      </c>
      <c r="F8" s="7">
        <f t="shared" si="1"/>
        <v>2521171.0011680499</v>
      </c>
      <c r="G8" s="7">
        <f t="shared" si="1"/>
        <v>2673973.0388096739</v>
      </c>
      <c r="H8" s="7">
        <f t="shared" si="1"/>
        <v>2619401.0086690835</v>
      </c>
      <c r="I8" s="7">
        <f t="shared" si="1"/>
        <v>2579872.7342241397</v>
      </c>
      <c r="J8" s="7">
        <f t="shared" si="1"/>
        <v>2758606.4991087085</v>
      </c>
      <c r="K8" s="7">
        <f t="shared" si="1"/>
        <v>2735534.8324288391</v>
      </c>
      <c r="L8" s="7">
        <f t="shared" si="1"/>
        <v>2711425.5958180646</v>
      </c>
      <c r="M8" s="7">
        <f t="shared" si="1"/>
        <v>2981938.2218267359</v>
      </c>
      <c r="N8" s="7">
        <f t="shared" si="1"/>
        <v>2963699.4668698399</v>
      </c>
      <c r="O8" s="7"/>
      <c r="P8" s="7"/>
      <c r="Q8" s="7"/>
      <c r="R8" s="7"/>
      <c r="S8" s="7"/>
      <c r="T8" s="7"/>
      <c r="U8" s="7"/>
      <c r="V8" s="7"/>
      <c r="W8" s="7"/>
      <c r="X8" s="7"/>
    </row>
    <row r="10" spans="1:24" x14ac:dyDescent="0.3">
      <c r="A10" t="s">
        <v>18</v>
      </c>
      <c r="B10" t="s">
        <v>84</v>
      </c>
      <c r="C10" t="s">
        <v>54</v>
      </c>
      <c r="D10" s="31">
        <v>0.5</v>
      </c>
      <c r="E10" s="31">
        <f>'price forecasts'!E21</f>
        <v>1</v>
      </c>
      <c r="F10" s="31">
        <f>'price forecasts'!F21</f>
        <v>1</v>
      </c>
      <c r="G10" s="31">
        <f>'price forecasts'!G21</f>
        <v>1</v>
      </c>
      <c r="H10" s="31">
        <f>'price forecasts'!H21</f>
        <v>1</v>
      </c>
      <c r="I10" s="31">
        <f>'price forecasts'!I21</f>
        <v>1</v>
      </c>
      <c r="J10" s="31">
        <f>'price forecasts'!J21</f>
        <v>1</v>
      </c>
      <c r="K10" s="31">
        <f>'price forecasts'!K21</f>
        <v>1</v>
      </c>
      <c r="L10" s="31">
        <f>'price forecasts'!L21</f>
        <v>1</v>
      </c>
      <c r="M10" s="31">
        <f>'price forecasts'!M21</f>
        <v>1</v>
      </c>
      <c r="N10" s="31">
        <f>'price forecasts'!N21</f>
        <v>1</v>
      </c>
      <c r="O10" s="22"/>
      <c r="P10" s="22"/>
      <c r="Q10" s="22"/>
      <c r="R10" s="22"/>
      <c r="S10" s="22"/>
      <c r="T10" s="22"/>
      <c r="U10" s="22"/>
    </row>
    <row r="11" spans="1:24" x14ac:dyDescent="0.3">
      <c r="A11" t="s">
        <v>19</v>
      </c>
      <c r="B11" t="s">
        <v>84</v>
      </c>
      <c r="C11" t="s">
        <v>54</v>
      </c>
      <c r="D11" s="31">
        <v>1</v>
      </c>
      <c r="E11" s="31">
        <f>'price forecasts'!E22</f>
        <v>1</v>
      </c>
      <c r="F11" s="31">
        <f>'price forecasts'!F22</f>
        <v>1.2</v>
      </c>
      <c r="G11" s="31">
        <f>'price forecasts'!G22</f>
        <v>1.44</v>
      </c>
      <c r="H11" s="31">
        <f>'price forecasts'!H22</f>
        <v>1.728</v>
      </c>
      <c r="I11" s="31">
        <f>'price forecasts'!I22</f>
        <v>2.0735999999999999</v>
      </c>
      <c r="J11" s="31">
        <f>'price forecasts'!J22</f>
        <v>2.4883199999999999</v>
      </c>
      <c r="K11" s="31">
        <f>'price forecasts'!K22</f>
        <v>2.9859839999999997</v>
      </c>
      <c r="L11" s="31">
        <f>'price forecasts'!L22</f>
        <v>3.5831807999999996</v>
      </c>
      <c r="M11" s="31">
        <f>'price forecasts'!M22</f>
        <v>4.2998169599999994</v>
      </c>
      <c r="N11" s="31">
        <f>'price forecasts'!N22</f>
        <v>5.1597803519999994</v>
      </c>
      <c r="O11" s="22"/>
      <c r="P11" s="22"/>
      <c r="Q11" s="22"/>
      <c r="R11" s="22"/>
      <c r="S11" s="22"/>
      <c r="T11" s="22"/>
      <c r="U11" s="22"/>
    </row>
    <row r="12" spans="1:24" x14ac:dyDescent="0.3">
      <c r="A12" t="s">
        <v>20</v>
      </c>
      <c r="B12" t="s">
        <v>84</v>
      </c>
      <c r="C12" t="s">
        <v>54</v>
      </c>
      <c r="D12" s="31">
        <v>1</v>
      </c>
      <c r="E12" s="31">
        <f>'price forecasts'!E23</f>
        <v>3</v>
      </c>
      <c r="F12" s="31">
        <f>'price forecasts'!F23</f>
        <v>4</v>
      </c>
      <c r="G12" s="31">
        <f>'price forecasts'!G23</f>
        <v>5</v>
      </c>
      <c r="H12" s="31">
        <f>'price forecasts'!H23</f>
        <v>6</v>
      </c>
      <c r="I12" s="31">
        <f>'price forecasts'!I23</f>
        <v>7</v>
      </c>
      <c r="J12" s="31">
        <f>'price forecasts'!J23</f>
        <v>8</v>
      </c>
      <c r="K12" s="31">
        <f>'price forecasts'!K23</f>
        <v>9</v>
      </c>
      <c r="L12" s="31">
        <f>'price forecasts'!L23</f>
        <v>10</v>
      </c>
      <c r="M12" s="31">
        <f>'price forecasts'!M23</f>
        <v>10</v>
      </c>
      <c r="N12" s="31">
        <f>'price forecasts'!N23</f>
        <v>10</v>
      </c>
      <c r="O12" s="22"/>
      <c r="P12" s="22"/>
      <c r="Q12" s="22"/>
      <c r="R12" s="22"/>
      <c r="S12" s="22"/>
      <c r="T12" s="22"/>
      <c r="U12" s="22"/>
    </row>
    <row r="14" spans="1:24" x14ac:dyDescent="0.3">
      <c r="A14" t="s">
        <v>18</v>
      </c>
      <c r="B14" t="s">
        <v>53</v>
      </c>
      <c r="C14" t="s">
        <v>55</v>
      </c>
      <c r="D14" s="32">
        <f t="shared" ref="D14:N14" si="2">D10*D8</f>
        <v>1327061.3820100001</v>
      </c>
      <c r="E14" s="32">
        <f t="shared" si="2"/>
        <v>2581814.8890210772</v>
      </c>
      <c r="F14" s="32">
        <f t="shared" si="2"/>
        <v>2521171.0011680499</v>
      </c>
      <c r="G14" s="32">
        <f t="shared" si="2"/>
        <v>2673973.0388096739</v>
      </c>
      <c r="H14" s="32">
        <f t="shared" si="2"/>
        <v>2619401.0086690835</v>
      </c>
      <c r="I14" s="32">
        <f t="shared" si="2"/>
        <v>2579872.7342241397</v>
      </c>
      <c r="J14" s="32">
        <f t="shared" si="2"/>
        <v>2758606.4991087085</v>
      </c>
      <c r="K14" s="32">
        <f t="shared" si="2"/>
        <v>2735534.8324288391</v>
      </c>
      <c r="L14" s="32">
        <f t="shared" si="2"/>
        <v>2711425.5958180646</v>
      </c>
      <c r="M14" s="32">
        <f t="shared" si="2"/>
        <v>2981938.2218267359</v>
      </c>
      <c r="N14" s="32">
        <f t="shared" si="2"/>
        <v>2963699.4668698399</v>
      </c>
    </row>
    <row r="15" spans="1:24" x14ac:dyDescent="0.3">
      <c r="A15" t="s">
        <v>19</v>
      </c>
      <c r="B15" t="s">
        <v>53</v>
      </c>
      <c r="C15" t="s">
        <v>55</v>
      </c>
      <c r="D15" s="32">
        <f t="shared" ref="D15:N15" si="3">D11*D8</f>
        <v>2654122.7640200001</v>
      </c>
      <c r="E15" s="32">
        <f t="shared" si="3"/>
        <v>2581814.8890210772</v>
      </c>
      <c r="F15" s="32">
        <f t="shared" si="3"/>
        <v>3025405.2014016598</v>
      </c>
      <c r="G15" s="32">
        <f t="shared" si="3"/>
        <v>3850521.1758859302</v>
      </c>
      <c r="H15" s="32">
        <f t="shared" si="3"/>
        <v>4526324.9429801758</v>
      </c>
      <c r="I15" s="32">
        <f t="shared" si="3"/>
        <v>5349624.1016871762</v>
      </c>
      <c r="J15" s="32">
        <f t="shared" si="3"/>
        <v>6864295.7238621814</v>
      </c>
      <c r="K15" s="32">
        <f t="shared" si="3"/>
        <v>8168263.2410751935</v>
      </c>
      <c r="L15" s="32">
        <f t="shared" si="3"/>
        <v>9715528.1355638485</v>
      </c>
      <c r="M15" s="32">
        <f t="shared" si="3"/>
        <v>12821788.539882839</v>
      </c>
      <c r="N15" s="32">
        <f t="shared" si="3"/>
        <v>15292038.278387873</v>
      </c>
    </row>
    <row r="16" spans="1:24" x14ac:dyDescent="0.3">
      <c r="A16" t="s">
        <v>20</v>
      </c>
      <c r="B16" t="s">
        <v>53</v>
      </c>
      <c r="C16" t="s">
        <v>55</v>
      </c>
      <c r="D16" s="32">
        <f t="shared" ref="D16:N16" si="4">D12*D8</f>
        <v>2654122.7640200001</v>
      </c>
      <c r="E16" s="32">
        <f t="shared" si="4"/>
        <v>7745444.6670632316</v>
      </c>
      <c r="F16" s="32">
        <f t="shared" si="4"/>
        <v>10084684.004672199</v>
      </c>
      <c r="G16" s="32">
        <f t="shared" si="4"/>
        <v>13369865.194048369</v>
      </c>
      <c r="H16" s="32">
        <f t="shared" si="4"/>
        <v>15716406.0520145</v>
      </c>
      <c r="I16" s="32">
        <f t="shared" si="4"/>
        <v>18059109.139568977</v>
      </c>
      <c r="J16" s="32">
        <f t="shared" si="4"/>
        <v>22068851.992869668</v>
      </c>
      <c r="K16" s="32">
        <f t="shared" si="4"/>
        <v>24619813.491859552</v>
      </c>
      <c r="L16" s="32">
        <f t="shared" si="4"/>
        <v>27114255.958180647</v>
      </c>
      <c r="M16" s="32">
        <f t="shared" si="4"/>
        <v>29819382.218267359</v>
      </c>
      <c r="N16" s="32">
        <f t="shared" si="4"/>
        <v>29636994.6686984</v>
      </c>
    </row>
    <row r="18" spans="2:21" x14ac:dyDescent="0.3">
      <c r="B18" t="s">
        <v>84</v>
      </c>
      <c r="C18" t="s">
        <v>54</v>
      </c>
      <c r="D18" s="31">
        <f t="shared" ref="D18:N18" si="5">SUMIF($A$10:$A$12,$B$1,D$10:D$12)</f>
        <v>1</v>
      </c>
      <c r="E18" s="31">
        <f t="shared" si="5"/>
        <v>1</v>
      </c>
      <c r="F18" s="31">
        <f t="shared" si="5"/>
        <v>1.2</v>
      </c>
      <c r="G18" s="31">
        <f t="shared" si="5"/>
        <v>1.44</v>
      </c>
      <c r="H18" s="31">
        <f t="shared" si="5"/>
        <v>1.728</v>
      </c>
      <c r="I18" s="31">
        <f t="shared" si="5"/>
        <v>2.0735999999999999</v>
      </c>
      <c r="J18" s="31">
        <f t="shared" si="5"/>
        <v>2.4883199999999999</v>
      </c>
      <c r="K18" s="31">
        <f t="shared" si="5"/>
        <v>2.9859839999999997</v>
      </c>
      <c r="L18" s="31">
        <f t="shared" si="5"/>
        <v>3.5831807999999996</v>
      </c>
      <c r="M18" s="31">
        <f t="shared" si="5"/>
        <v>4.2998169599999994</v>
      </c>
      <c r="N18" s="31">
        <f t="shared" si="5"/>
        <v>5.1597803519999994</v>
      </c>
      <c r="O18" s="22"/>
      <c r="P18" s="22"/>
      <c r="Q18" s="22"/>
      <c r="R18" s="22"/>
      <c r="S18" s="22"/>
      <c r="T18" s="22"/>
      <c r="U18" s="22"/>
    </row>
    <row r="19" spans="2:21" x14ac:dyDescent="0.3">
      <c r="B19" t="s">
        <v>53</v>
      </c>
      <c r="C19" t="s">
        <v>55</v>
      </c>
      <c r="D19" s="36">
        <f>D18*D8</f>
        <v>2654122.7640200001</v>
      </c>
      <c r="E19" s="36">
        <f t="shared" ref="E19:N19" si="6">E18*E8</f>
        <v>2581814.8890210772</v>
      </c>
      <c r="F19" s="36">
        <f t="shared" si="6"/>
        <v>3025405.2014016598</v>
      </c>
      <c r="G19" s="36">
        <f t="shared" si="6"/>
        <v>3850521.1758859302</v>
      </c>
      <c r="H19" s="36">
        <f t="shared" si="6"/>
        <v>4526324.9429801758</v>
      </c>
      <c r="I19" s="36">
        <f t="shared" si="6"/>
        <v>5349624.1016871762</v>
      </c>
      <c r="J19" s="36">
        <f t="shared" si="6"/>
        <v>6864295.7238621814</v>
      </c>
      <c r="K19" s="36">
        <f t="shared" si="6"/>
        <v>8168263.2410751935</v>
      </c>
      <c r="L19" s="36">
        <f t="shared" si="6"/>
        <v>9715528.1355638485</v>
      </c>
      <c r="M19" s="36">
        <f t="shared" si="6"/>
        <v>12821788.539882839</v>
      </c>
      <c r="N19" s="36">
        <f t="shared" si="6"/>
        <v>15292038.278387873</v>
      </c>
    </row>
    <row r="24" spans="2:21" ht="15" thickBot="1" x14ac:dyDescent="0.35"/>
    <row r="25" spans="2:21" x14ac:dyDescent="0.3">
      <c r="B25" s="282" t="s">
        <v>538</v>
      </c>
      <c r="C25" s="276"/>
      <c r="D25" s="48"/>
      <c r="E25" s="234"/>
      <c r="F25" s="234"/>
    </row>
    <row r="26" spans="2:21" ht="16.2" x14ac:dyDescent="0.45">
      <c r="B26" s="277"/>
      <c r="C26" s="278" t="s">
        <v>17</v>
      </c>
      <c r="D26" s="274"/>
      <c r="E26" s="234"/>
      <c r="F26" s="87"/>
    </row>
    <row r="27" spans="2:21" x14ac:dyDescent="0.3">
      <c r="B27" s="277">
        <v>1</v>
      </c>
      <c r="C27" s="279">
        <v>6736.1160714285716</v>
      </c>
      <c r="D27" s="48"/>
      <c r="E27" s="234"/>
      <c r="F27" s="275"/>
    </row>
    <row r="28" spans="2:21" x14ac:dyDescent="0.3">
      <c r="B28" s="277">
        <v>2</v>
      </c>
      <c r="C28" s="279">
        <v>5939.375</v>
      </c>
      <c r="D28" s="48"/>
      <c r="E28" s="234"/>
      <c r="F28" s="275"/>
    </row>
    <row r="29" spans="2:21" x14ac:dyDescent="0.3">
      <c r="B29" s="277">
        <v>3</v>
      </c>
      <c r="C29" s="279">
        <v>7184.2782738095239</v>
      </c>
      <c r="D29" s="48"/>
      <c r="E29" s="234"/>
      <c r="F29" s="275"/>
    </row>
    <row r="30" spans="2:21" x14ac:dyDescent="0.3">
      <c r="B30" s="277">
        <v>4</v>
      </c>
      <c r="C30" s="279">
        <v>6831.6889880952385</v>
      </c>
      <c r="D30" s="48"/>
      <c r="E30" s="234"/>
      <c r="F30" s="275"/>
    </row>
    <row r="31" spans="2:21" x14ac:dyDescent="0.3">
      <c r="B31" s="277">
        <v>5</v>
      </c>
      <c r="C31" s="279">
        <v>7732.8348214285716</v>
      </c>
      <c r="D31" s="48"/>
      <c r="E31" s="234"/>
      <c r="F31" s="275"/>
    </row>
    <row r="32" spans="2:21" x14ac:dyDescent="0.3">
      <c r="B32" s="277">
        <v>6</v>
      </c>
      <c r="C32" s="279">
        <v>6910.4017857142862</v>
      </c>
      <c r="D32" s="48"/>
      <c r="E32" s="234"/>
      <c r="F32" s="275"/>
    </row>
    <row r="33" spans="2:6" x14ac:dyDescent="0.3">
      <c r="B33" s="277">
        <v>7</v>
      </c>
      <c r="C33" s="279">
        <v>7515.1785714285716</v>
      </c>
      <c r="D33" s="48"/>
      <c r="E33" s="234"/>
      <c r="F33" s="275"/>
    </row>
    <row r="34" spans="2:6" x14ac:dyDescent="0.3">
      <c r="B34" s="277">
        <v>8</v>
      </c>
      <c r="C34" s="279">
        <v>7683.8467261904771</v>
      </c>
      <c r="D34" s="48"/>
      <c r="E34" s="234"/>
      <c r="F34" s="275"/>
    </row>
    <row r="35" spans="2:6" x14ac:dyDescent="0.3">
      <c r="B35" s="277">
        <v>9</v>
      </c>
      <c r="C35" s="279">
        <v>6728.0803571428578</v>
      </c>
      <c r="D35" s="48"/>
      <c r="E35" s="234"/>
      <c r="F35" s="275"/>
    </row>
    <row r="36" spans="2:6" x14ac:dyDescent="0.3">
      <c r="B36" s="277">
        <v>10</v>
      </c>
      <c r="C36" s="279">
        <v>7111.1904761904771</v>
      </c>
      <c r="D36" s="48"/>
      <c r="E36" s="234"/>
      <c r="F36" s="275"/>
    </row>
    <row r="37" spans="2:6" x14ac:dyDescent="0.3">
      <c r="B37" s="277">
        <v>11</v>
      </c>
      <c r="C37" s="279">
        <v>7189.8958333333339</v>
      </c>
      <c r="D37" s="48"/>
      <c r="E37" s="234"/>
      <c r="F37" s="275"/>
    </row>
    <row r="38" spans="2:6" x14ac:dyDescent="0.3">
      <c r="B38" s="283">
        <v>12</v>
      </c>
      <c r="C38" s="284">
        <v>7355.3497023809523</v>
      </c>
      <c r="D38" s="48"/>
      <c r="E38" s="234"/>
      <c r="F38" s="275"/>
    </row>
    <row r="39" spans="2:6" x14ac:dyDescent="0.3">
      <c r="B39" s="277"/>
      <c r="C39" s="279"/>
      <c r="D39" s="48"/>
      <c r="E39" s="234"/>
      <c r="F39" s="234"/>
    </row>
    <row r="40" spans="2:6" ht="18.600000000000001" thickBot="1" x14ac:dyDescent="0.4">
      <c r="B40" s="280" t="s">
        <v>31</v>
      </c>
      <c r="C40" s="281">
        <f>SUM(C27:C38)</f>
        <v>84918.236607142855</v>
      </c>
      <c r="E40" s="234"/>
      <c r="F40" s="23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X61"/>
  <sheetViews>
    <sheetView tabSelected="1" zoomScale="80" zoomScaleNormal="80" workbookViewId="0">
      <selection activeCell="L34" sqref="L34"/>
    </sheetView>
  </sheetViews>
  <sheetFormatPr defaultRowHeight="14.4" x14ac:dyDescent="0.3"/>
  <cols>
    <col min="1" max="1" width="10.88671875" bestFit="1" customWidth="1"/>
    <col min="2" max="2" width="39" customWidth="1"/>
    <col min="4" max="4" width="15.33203125" bestFit="1" customWidth="1"/>
    <col min="5" max="6" width="13.109375" bestFit="1" customWidth="1"/>
    <col min="7" max="8" width="14.88671875" bestFit="1" customWidth="1"/>
    <col min="9" max="9" width="16.88671875" customWidth="1"/>
    <col min="10" max="14" width="14.88671875" bestFit="1" customWidth="1"/>
    <col min="15" max="15" width="2.88671875" customWidth="1"/>
    <col min="16" max="16" width="9" style="33"/>
  </cols>
  <sheetData>
    <row r="2" spans="1:24" s="14" customFormat="1" x14ac:dyDescent="0.3">
      <c r="D2" s="15">
        <v>2017</v>
      </c>
      <c r="E2" s="15">
        <v>2018</v>
      </c>
      <c r="F2" s="15">
        <v>2019</v>
      </c>
      <c r="G2" s="15">
        <v>2020</v>
      </c>
      <c r="H2" s="15">
        <v>2021</v>
      </c>
      <c r="I2" s="15">
        <v>2022</v>
      </c>
      <c r="J2" s="15">
        <v>2023</v>
      </c>
      <c r="K2" s="15">
        <v>2024</v>
      </c>
      <c r="L2" s="15">
        <v>2025</v>
      </c>
      <c r="M2" s="15">
        <v>2026</v>
      </c>
      <c r="N2" s="15">
        <v>2027</v>
      </c>
      <c r="O2" s="15"/>
      <c r="P2" s="15" t="s">
        <v>89</v>
      </c>
      <c r="Q2" s="15"/>
      <c r="R2" s="15"/>
      <c r="S2" s="15"/>
      <c r="T2" s="15"/>
      <c r="U2" s="15"/>
      <c r="V2" s="15"/>
      <c r="W2" s="15"/>
      <c r="X2" s="15"/>
    </row>
    <row r="3" spans="1:24" x14ac:dyDescent="0.3">
      <c r="B3" t="s">
        <v>3</v>
      </c>
      <c r="C3" t="s">
        <v>1</v>
      </c>
      <c r="D3" s="16">
        <f>requirements!D12</f>
        <v>54156.495630000005</v>
      </c>
      <c r="E3" s="16">
        <f>requirements!E12</f>
        <v>85457.464839582826</v>
      </c>
      <c r="F3" s="16">
        <f>requirements!F12</f>
        <v>116312.45838200208</v>
      </c>
      <c r="G3" s="16">
        <f>requirements!G12</f>
        <v>146691.15495848909</v>
      </c>
      <c r="H3" s="16">
        <f>requirements!H12</f>
        <v>176710.04729271375</v>
      </c>
      <c r="I3" s="16">
        <f>requirements!I12</f>
        <v>207287.32612539199</v>
      </c>
      <c r="J3" s="16">
        <f>requirements!J12</f>
        <v>238580.45712157633</v>
      </c>
      <c r="K3" s="16">
        <f>requirements!K12</f>
        <v>270423.64582404774</v>
      </c>
      <c r="L3" s="16">
        <f>requirements!L12</f>
        <v>302345.64433120226</v>
      </c>
      <c r="M3" s="16">
        <f>requirements!M12</f>
        <v>334496.76270117331</v>
      </c>
      <c r="N3" s="16">
        <f>requirements!N12</f>
        <v>367386.53780148126</v>
      </c>
      <c r="O3" s="16"/>
      <c r="P3" s="67"/>
      <c r="Q3" s="16"/>
      <c r="R3" s="16"/>
      <c r="S3" s="16"/>
      <c r="T3" s="16"/>
    </row>
    <row r="5" spans="1:24" s="58" customFormat="1" x14ac:dyDescent="0.3">
      <c r="B5" s="300" t="s">
        <v>554</v>
      </c>
      <c r="C5" s="143" t="s">
        <v>1</v>
      </c>
      <c r="D5" s="230">
        <f>loads!D18*0.01</f>
        <v>760.36800000000017</v>
      </c>
      <c r="E5" s="230">
        <f>D5</f>
        <v>760.36800000000017</v>
      </c>
      <c r="F5" s="230">
        <f t="shared" ref="F5:N5" si="0">E5</f>
        <v>760.36800000000017</v>
      </c>
      <c r="G5" s="230">
        <f t="shared" si="0"/>
        <v>760.36800000000017</v>
      </c>
      <c r="H5" s="230">
        <f t="shared" si="0"/>
        <v>760.36800000000017</v>
      </c>
      <c r="I5" s="230">
        <f t="shared" si="0"/>
        <v>760.36800000000017</v>
      </c>
      <c r="J5" s="230">
        <f t="shared" si="0"/>
        <v>760.36800000000017</v>
      </c>
      <c r="K5" s="230">
        <f t="shared" si="0"/>
        <v>760.36800000000017</v>
      </c>
      <c r="L5" s="230">
        <f t="shared" si="0"/>
        <v>760.36800000000017</v>
      </c>
      <c r="M5" s="230">
        <f t="shared" si="0"/>
        <v>760.36800000000017</v>
      </c>
      <c r="N5" s="230">
        <f t="shared" si="0"/>
        <v>760.36800000000017</v>
      </c>
      <c r="P5" s="237"/>
    </row>
    <row r="6" spans="1:24" s="11" customFormat="1" x14ac:dyDescent="0.3">
      <c r="B6" s="53" t="s">
        <v>569</v>
      </c>
      <c r="D6" s="230">
        <f>loads!D19*0.01</f>
        <v>392.44800000000004</v>
      </c>
      <c r="E6" s="230">
        <f>loads!E19*0.01</f>
        <v>515.08800000000008</v>
      </c>
      <c r="F6" s="230">
        <f>loads!F19*0.01</f>
        <v>515.08800000000008</v>
      </c>
      <c r="G6" s="230">
        <f>loads!G19*0.01</f>
        <v>515.08800000000008</v>
      </c>
      <c r="H6" s="230">
        <f>loads!H19*0.01</f>
        <v>515.08800000000008</v>
      </c>
      <c r="I6" s="230">
        <f>loads!I19*0.01</f>
        <v>515.08800000000008</v>
      </c>
      <c r="J6" s="230">
        <f>loads!J19*0.01</f>
        <v>515.08800000000008</v>
      </c>
      <c r="K6" s="230">
        <f>loads!K19*0.01</f>
        <v>515.08800000000008</v>
      </c>
      <c r="L6" s="230">
        <f>loads!L19*0.01</f>
        <v>515.08800000000008</v>
      </c>
      <c r="M6" s="230">
        <f>loads!M19*0.01</f>
        <v>515.08800000000008</v>
      </c>
      <c r="N6" s="230">
        <f>loads!N19*0.01</f>
        <v>515.08800000000008</v>
      </c>
      <c r="O6" s="6"/>
      <c r="P6" s="6"/>
      <c r="Q6" s="6"/>
      <c r="R6" s="6"/>
      <c r="S6" s="6"/>
    </row>
    <row r="7" spans="1:24" s="11" customFormat="1" x14ac:dyDescent="0.3">
      <c r="B7" s="53" t="s">
        <v>570</v>
      </c>
      <c r="D7" s="230">
        <f>loads!D20</f>
        <v>12018.720000000003</v>
      </c>
      <c r="E7" s="230">
        <f>loads!E20</f>
        <v>28943.040000000005</v>
      </c>
      <c r="F7" s="230">
        <f>loads!F20</f>
        <v>28943.040000000005</v>
      </c>
      <c r="G7" s="230">
        <f>loads!G20</f>
        <v>28943.040000000005</v>
      </c>
      <c r="H7" s="230">
        <f>loads!H20</f>
        <v>28943.040000000005</v>
      </c>
      <c r="I7" s="230">
        <f>loads!I20</f>
        <v>28943.040000000005</v>
      </c>
      <c r="J7" s="230">
        <f>loads!J20</f>
        <v>28943.040000000005</v>
      </c>
      <c r="K7" s="230">
        <f>loads!K20</f>
        <v>28943.040000000005</v>
      </c>
      <c r="L7" s="230">
        <f>loads!L20</f>
        <v>28943.040000000005</v>
      </c>
      <c r="M7" s="230">
        <f>loads!M20</f>
        <v>28943.040000000005</v>
      </c>
      <c r="N7" s="230">
        <f>loads!N20</f>
        <v>28943.040000000005</v>
      </c>
      <c r="O7" s="6"/>
      <c r="P7" s="6"/>
      <c r="Q7" s="6"/>
      <c r="R7" s="6"/>
      <c r="S7" s="6"/>
    </row>
    <row r="8" spans="1:24" s="6" customFormat="1" x14ac:dyDescent="0.3">
      <c r="A8" s="88" t="str">
        <f>NM_escalation</f>
        <v>VELCO</v>
      </c>
      <c r="B8" s="128" t="s">
        <v>539</v>
      </c>
      <c r="C8" s="143" t="s">
        <v>1</v>
      </c>
      <c r="D8" s="301">
        <f t="shared" ref="D8:N8" si="1">SUMIF($A$30:$A$33,$A$8,D$30:D$33)</f>
        <v>0</v>
      </c>
      <c r="E8" s="301">
        <f t="shared" si="1"/>
        <v>9308.6405130367566</v>
      </c>
      <c r="F8" s="301">
        <f t="shared" si="1"/>
        <v>58852.769524591407</v>
      </c>
      <c r="G8" s="301">
        <f t="shared" si="1"/>
        <v>94079.03126973976</v>
      </c>
      <c r="H8" s="301">
        <f t="shared" si="1"/>
        <v>123085.19050313662</v>
      </c>
      <c r="I8" s="301">
        <f t="shared" si="1"/>
        <v>141702.20106965155</v>
      </c>
      <c r="J8" s="301">
        <f t="shared" si="1"/>
        <v>154759.13624894095</v>
      </c>
      <c r="K8" s="301">
        <f t="shared" si="1"/>
        <v>159295.21283157391</v>
      </c>
      <c r="L8" s="301">
        <f t="shared" si="1"/>
        <v>162660.95544209925</v>
      </c>
      <c r="M8" s="301">
        <f t="shared" si="1"/>
        <v>164568.2254753703</v>
      </c>
      <c r="N8" s="301">
        <f t="shared" si="1"/>
        <v>167852.92648208735</v>
      </c>
      <c r="O8" s="7"/>
      <c r="P8" s="69"/>
      <c r="Q8" s="7"/>
      <c r="R8" s="7"/>
      <c r="S8" s="7"/>
      <c r="T8" s="7"/>
      <c r="U8" s="7"/>
      <c r="V8" s="7"/>
      <c r="W8" s="7"/>
      <c r="X8" s="7"/>
    </row>
    <row r="9" spans="1:24" s="6" customFormat="1" x14ac:dyDescent="0.3">
      <c r="A9" s="6" t="s">
        <v>56</v>
      </c>
      <c r="B9" s="302" t="s">
        <v>36</v>
      </c>
      <c r="C9" s="143" t="s">
        <v>1</v>
      </c>
      <c r="D9" s="303">
        <f t="shared" ref="D9:N9" si="2">D48*$C$58*8760</f>
        <v>20251.017599999996</v>
      </c>
      <c r="E9" s="303">
        <f t="shared" si="2"/>
        <v>27987.761999999995</v>
      </c>
      <c r="F9" s="303">
        <f t="shared" si="2"/>
        <v>29797.161899999999</v>
      </c>
      <c r="G9" s="303">
        <f t="shared" si="2"/>
        <v>42275.781899999994</v>
      </c>
      <c r="H9" s="303">
        <f t="shared" si="2"/>
        <v>55645.731899999999</v>
      </c>
      <c r="I9" s="303">
        <f t="shared" si="2"/>
        <v>73472.331900000005</v>
      </c>
      <c r="J9" s="303">
        <f t="shared" si="2"/>
        <v>73472.331900000005</v>
      </c>
      <c r="K9" s="303">
        <f t="shared" si="2"/>
        <v>73472.331900000005</v>
      </c>
      <c r="L9" s="303">
        <f t="shared" si="2"/>
        <v>73472.331900000005</v>
      </c>
      <c r="M9" s="303">
        <f t="shared" si="2"/>
        <v>73472.331900000005</v>
      </c>
      <c r="N9" s="303">
        <f t="shared" si="2"/>
        <v>73472.331900000005</v>
      </c>
      <c r="O9" s="30"/>
      <c r="P9" s="69"/>
      <c r="Q9" s="7"/>
      <c r="R9" s="7"/>
      <c r="S9" s="7"/>
      <c r="T9" s="7"/>
      <c r="U9" s="7"/>
      <c r="V9" s="7"/>
      <c r="W9" s="7"/>
      <c r="X9" s="7"/>
    </row>
    <row r="10" spans="1:24" x14ac:dyDescent="0.3">
      <c r="B10" s="143"/>
      <c r="C10" s="143"/>
      <c r="D10" s="143"/>
      <c r="E10" s="143"/>
      <c r="F10" s="143"/>
      <c r="G10" s="143"/>
      <c r="H10" s="143"/>
      <c r="I10" s="143"/>
      <c r="J10" s="143"/>
      <c r="K10" s="143"/>
      <c r="L10" s="143"/>
      <c r="M10" s="143"/>
      <c r="N10" s="143"/>
    </row>
    <row r="11" spans="1:24" x14ac:dyDescent="0.3">
      <c r="B11" s="143" t="s">
        <v>95</v>
      </c>
      <c r="C11" s="143"/>
      <c r="D11" s="304">
        <f t="shared" ref="D11:N11" si="3">MAX(D3-SUM(D5:D10),0)</f>
        <v>20733.942030000006</v>
      </c>
      <c r="E11" s="304">
        <f>MAX(E3-SUM(E5:E10),0)</f>
        <v>17942.566326546075</v>
      </c>
      <c r="F11" s="304">
        <f t="shared" si="3"/>
        <v>0</v>
      </c>
      <c r="G11" s="304">
        <f t="shared" si="3"/>
        <v>0</v>
      </c>
      <c r="H11" s="304">
        <f t="shared" si="3"/>
        <v>0</v>
      </c>
      <c r="I11" s="304">
        <f t="shared" si="3"/>
        <v>0</v>
      </c>
      <c r="J11" s="304">
        <f t="shared" si="3"/>
        <v>0</v>
      </c>
      <c r="K11" s="304">
        <f t="shared" si="3"/>
        <v>7437.6050924737938</v>
      </c>
      <c r="L11" s="304">
        <f t="shared" si="3"/>
        <v>35993.860989102977</v>
      </c>
      <c r="M11" s="304">
        <f t="shared" si="3"/>
        <v>66237.709325802978</v>
      </c>
      <c r="N11" s="304">
        <f t="shared" si="3"/>
        <v>95842.783419393876</v>
      </c>
    </row>
    <row r="12" spans="1:24" x14ac:dyDescent="0.3">
      <c r="B12" s="131" t="s">
        <v>94</v>
      </c>
      <c r="C12" s="143"/>
      <c r="D12" s="304">
        <f t="shared" ref="D12:N12" si="4">MAX(MIN(D3-SUM(D5:D10),0),-D9)</f>
        <v>0</v>
      </c>
      <c r="E12" s="304">
        <f t="shared" si="4"/>
        <v>0</v>
      </c>
      <c r="F12" s="304">
        <f t="shared" si="4"/>
        <v>-2555.969042589335</v>
      </c>
      <c r="G12" s="304">
        <f t="shared" si="4"/>
        <v>-19882.154211250687</v>
      </c>
      <c r="H12" s="304">
        <f t="shared" si="4"/>
        <v>-32239.371110422857</v>
      </c>
      <c r="I12" s="304">
        <f t="shared" si="4"/>
        <v>-38105.702844259562</v>
      </c>
      <c r="J12" s="304">
        <f t="shared" si="4"/>
        <v>-19869.507027364656</v>
      </c>
      <c r="K12" s="304">
        <f t="shared" si="4"/>
        <v>0</v>
      </c>
      <c r="L12" s="304">
        <f t="shared" si="4"/>
        <v>0</v>
      </c>
      <c r="M12" s="304">
        <f t="shared" si="4"/>
        <v>0</v>
      </c>
      <c r="N12" s="304">
        <f t="shared" si="4"/>
        <v>0</v>
      </c>
    </row>
    <row r="13" spans="1:24" x14ac:dyDescent="0.3">
      <c r="B13" s="143"/>
      <c r="C13" s="143"/>
      <c r="D13" s="143"/>
      <c r="E13" s="143"/>
      <c r="F13" s="143"/>
      <c r="G13" s="143"/>
      <c r="H13" s="143"/>
      <c r="I13" s="143"/>
      <c r="J13" s="143"/>
      <c r="K13" s="143"/>
      <c r="L13" s="143"/>
      <c r="M13" s="143"/>
      <c r="N13" s="143"/>
    </row>
    <row r="14" spans="1:24" x14ac:dyDescent="0.3">
      <c r="A14" t="s">
        <v>84</v>
      </c>
      <c r="B14" s="300" t="s">
        <v>554</v>
      </c>
      <c r="C14" s="143" t="s">
        <v>54</v>
      </c>
      <c r="D14" s="305">
        <v>0</v>
      </c>
      <c r="E14" s="305">
        <v>0</v>
      </c>
      <c r="F14" s="305">
        <v>0</v>
      </c>
      <c r="G14" s="305">
        <v>0</v>
      </c>
      <c r="H14" s="305">
        <v>0</v>
      </c>
      <c r="I14" s="305">
        <v>0</v>
      </c>
      <c r="J14" s="305">
        <v>0</v>
      </c>
      <c r="K14" s="305">
        <v>0</v>
      </c>
      <c r="L14" s="305">
        <v>0</v>
      </c>
      <c r="M14" s="305">
        <v>0</v>
      </c>
      <c r="N14" s="305">
        <v>0</v>
      </c>
    </row>
    <row r="15" spans="1:24" x14ac:dyDescent="0.3">
      <c r="A15" t="s">
        <v>84</v>
      </c>
      <c r="B15" s="128" t="s">
        <v>544</v>
      </c>
      <c r="C15" s="143" t="s">
        <v>54</v>
      </c>
      <c r="D15" s="305">
        <v>60</v>
      </c>
      <c r="E15" s="305">
        <v>55</v>
      </c>
      <c r="F15" s="305">
        <v>45</v>
      </c>
      <c r="G15" s="305">
        <v>35</v>
      </c>
      <c r="H15" s="305">
        <v>30</v>
      </c>
      <c r="I15" s="305">
        <f t="shared" ref="I15:N15" si="5">H15</f>
        <v>30</v>
      </c>
      <c r="J15" s="305">
        <f t="shared" si="5"/>
        <v>30</v>
      </c>
      <c r="K15" s="305">
        <f t="shared" si="5"/>
        <v>30</v>
      </c>
      <c r="L15" s="305">
        <f t="shared" si="5"/>
        <v>30</v>
      </c>
      <c r="M15" s="305">
        <f t="shared" si="5"/>
        <v>30</v>
      </c>
      <c r="N15" s="305">
        <f t="shared" si="5"/>
        <v>30</v>
      </c>
    </row>
    <row r="16" spans="1:24" x14ac:dyDescent="0.3">
      <c r="A16" t="s">
        <v>84</v>
      </c>
      <c r="B16" s="302" t="s">
        <v>36</v>
      </c>
      <c r="C16" s="143" t="s">
        <v>54</v>
      </c>
      <c r="D16" s="306">
        <v>25</v>
      </c>
      <c r="E16" s="306">
        <v>25</v>
      </c>
      <c r="F16" s="306">
        <v>25</v>
      </c>
      <c r="G16" s="306">
        <v>25</v>
      </c>
      <c r="H16" s="306">
        <v>25</v>
      </c>
      <c r="I16" s="306">
        <v>25</v>
      </c>
      <c r="J16" s="306">
        <v>25</v>
      </c>
      <c r="K16" s="306">
        <v>25</v>
      </c>
      <c r="L16" s="306">
        <v>25</v>
      </c>
      <c r="M16" s="306">
        <v>25</v>
      </c>
      <c r="N16" s="306">
        <v>25</v>
      </c>
    </row>
    <row r="17" spans="1:19" x14ac:dyDescent="0.3">
      <c r="A17" s="59" t="str">
        <f>REC_scenario</f>
        <v>MID</v>
      </c>
      <c r="B17" s="302" t="s">
        <v>96</v>
      </c>
      <c r="C17" s="143" t="s">
        <v>54</v>
      </c>
      <c r="D17" s="306">
        <f>SUMIF('price forecasts'!$A$25:$A$27,REC_scenario,'price forecasts'!D25:D27)</f>
        <v>0</v>
      </c>
      <c r="E17" s="306">
        <f>SUMIF('price forecasts'!$A$25:$A$27,REC_scenario,'price forecasts'!E25:E27)</f>
        <v>7</v>
      </c>
      <c r="F17" s="306">
        <f>SUMIF('price forecasts'!$A$25:$A$27,REC_scenario,'price forecasts'!F25:F27)</f>
        <v>13</v>
      </c>
      <c r="G17" s="306">
        <f>SUMIF('price forecasts'!$A$25:$A$27,REC_scenario,'price forecasts'!G25:G27)</f>
        <v>19</v>
      </c>
      <c r="H17" s="306">
        <f>SUMIF('price forecasts'!$A$25:$A$27,REC_scenario,'price forecasts'!H25:H27)</f>
        <v>22</v>
      </c>
      <c r="I17" s="306">
        <f>SUMIF('price forecasts'!$A$25:$A$27,REC_scenario,'price forecasts'!I25:I27)</f>
        <v>23</v>
      </c>
      <c r="J17" s="306">
        <f>SUMIF('price forecasts'!$A$25:$A$27,REC_scenario,'price forecasts'!J25:J27)</f>
        <v>24</v>
      </c>
      <c r="K17" s="306">
        <f>SUMIF('price forecasts'!$A$25:$A$27,REC_scenario,'price forecasts'!K25:K27)</f>
        <v>24</v>
      </c>
      <c r="L17" s="306">
        <f>SUMIF('price forecasts'!$A$25:$A$27,REC_scenario,'price forecasts'!L25:L27)</f>
        <v>24</v>
      </c>
      <c r="M17" s="306">
        <f>SUMIF('price forecasts'!$A$25:$A$27,REC_scenario,'price forecasts'!M25:M27)</f>
        <v>24</v>
      </c>
      <c r="N17" s="306">
        <f>SUMIF('price forecasts'!$A$25:$A$27,REC_scenario,'price forecasts'!N25:N27)</f>
        <v>24</v>
      </c>
    </row>
    <row r="18" spans="1:19" x14ac:dyDescent="0.3">
      <c r="B18" s="302"/>
      <c r="C18" s="143"/>
      <c r="D18" s="306"/>
      <c r="E18" s="306"/>
      <c r="F18" s="306"/>
      <c r="G18" s="306"/>
      <c r="H18" s="306"/>
      <c r="I18" s="306"/>
      <c r="J18" s="306"/>
      <c r="K18" s="306"/>
      <c r="L18" s="306"/>
      <c r="M18" s="306"/>
      <c r="N18" s="306"/>
    </row>
    <row r="19" spans="1:19" x14ac:dyDescent="0.3">
      <c r="A19" t="s">
        <v>53</v>
      </c>
      <c r="B19" s="300" t="s">
        <v>554</v>
      </c>
      <c r="C19" s="143"/>
      <c r="D19" s="307">
        <f>SUM(D5:D6)*D14</f>
        <v>0</v>
      </c>
      <c r="E19" s="307">
        <f>SUM(E5:E6)*E14</f>
        <v>0</v>
      </c>
      <c r="F19" s="307">
        <f t="shared" ref="F19:N19" si="6">SUM(F5:F6)*F14</f>
        <v>0</v>
      </c>
      <c r="G19" s="307">
        <f t="shared" si="6"/>
        <v>0</v>
      </c>
      <c r="H19" s="307">
        <f t="shared" si="6"/>
        <v>0</v>
      </c>
      <c r="I19" s="307">
        <f t="shared" si="6"/>
        <v>0</v>
      </c>
      <c r="J19" s="307">
        <f t="shared" si="6"/>
        <v>0</v>
      </c>
      <c r="K19" s="307">
        <f t="shared" si="6"/>
        <v>0</v>
      </c>
      <c r="L19" s="307">
        <f t="shared" si="6"/>
        <v>0</v>
      </c>
      <c r="M19" s="307">
        <f t="shared" si="6"/>
        <v>0</v>
      </c>
      <c r="N19" s="307">
        <f t="shared" si="6"/>
        <v>0</v>
      </c>
    </row>
    <row r="20" spans="1:19" x14ac:dyDescent="0.3">
      <c r="A20" t="s">
        <v>53</v>
      </c>
      <c r="B20" s="128" t="s">
        <v>74</v>
      </c>
      <c r="C20" s="143" t="s">
        <v>55</v>
      </c>
      <c r="D20" s="307">
        <f>D15*(D8+D7)</f>
        <v>721123.20000000019</v>
      </c>
      <c r="E20" s="307">
        <f>D20+E15*(E8-D8)+D15*E7</f>
        <v>2969680.8282170221</v>
      </c>
      <c r="F20" s="307">
        <f>E20+F15*(F8-E8)</f>
        <v>5199166.6337369811</v>
      </c>
      <c r="G20" s="307">
        <f>F20+G15*(G8-F8)</f>
        <v>6432085.7948171739</v>
      </c>
      <c r="H20" s="307">
        <f t="shared" ref="H20:N20" si="7">G20+H15*(H8-G8)</f>
        <v>7302270.57181908</v>
      </c>
      <c r="I20" s="307">
        <f t="shared" si="7"/>
        <v>7860780.8888145275</v>
      </c>
      <c r="J20" s="307">
        <f t="shared" si="7"/>
        <v>8252488.9441932095</v>
      </c>
      <c r="K20" s="307">
        <f t="shared" si="7"/>
        <v>8388571.2416721983</v>
      </c>
      <c r="L20" s="307">
        <f t="shared" si="7"/>
        <v>8489543.5199879594</v>
      </c>
      <c r="M20" s="307">
        <f t="shared" si="7"/>
        <v>8546761.620986091</v>
      </c>
      <c r="N20" s="307">
        <f t="shared" si="7"/>
        <v>8645302.6511876024</v>
      </c>
    </row>
    <row r="21" spans="1:19" x14ac:dyDescent="0.3">
      <c r="A21" s="72" t="s">
        <v>53</v>
      </c>
      <c r="B21" s="302" t="s">
        <v>36</v>
      </c>
      <c r="C21" s="128" t="s">
        <v>55</v>
      </c>
      <c r="D21" s="137">
        <f>D16*D9</f>
        <v>506275.43999999989</v>
      </c>
      <c r="E21" s="137">
        <f t="shared" ref="E21:N21" si="8">E16*E9</f>
        <v>699694.04999999993</v>
      </c>
      <c r="F21" s="137">
        <f t="shared" si="8"/>
        <v>744929.04749999999</v>
      </c>
      <c r="G21" s="137">
        <f t="shared" si="8"/>
        <v>1056894.5474999999</v>
      </c>
      <c r="H21" s="137">
        <f t="shared" si="8"/>
        <v>1391143.2974999999</v>
      </c>
      <c r="I21" s="137">
        <f t="shared" si="8"/>
        <v>1836808.2975000001</v>
      </c>
      <c r="J21" s="137">
        <f t="shared" si="8"/>
        <v>1836808.2975000001</v>
      </c>
      <c r="K21" s="137">
        <f t="shared" si="8"/>
        <v>1836808.2975000001</v>
      </c>
      <c r="L21" s="137">
        <f t="shared" si="8"/>
        <v>1836808.2975000001</v>
      </c>
      <c r="M21" s="137">
        <f t="shared" si="8"/>
        <v>1836808.2975000001</v>
      </c>
      <c r="N21" s="137">
        <f t="shared" si="8"/>
        <v>1836808.2975000001</v>
      </c>
    </row>
    <row r="22" spans="1:19" x14ac:dyDescent="0.3">
      <c r="A22" s="21" t="s">
        <v>53</v>
      </c>
      <c r="B22" s="308" t="s">
        <v>96</v>
      </c>
      <c r="C22" s="228" t="s">
        <v>55</v>
      </c>
      <c r="D22" s="229">
        <f>D17*(D11+D12)</f>
        <v>0</v>
      </c>
      <c r="E22" s="229">
        <f>E17*(E11+E12)</f>
        <v>125597.96428582253</v>
      </c>
      <c r="F22" s="229">
        <f t="shared" ref="F22:N22" si="9">F17*(F11+F12)</f>
        <v>-33227.597553661355</v>
      </c>
      <c r="G22" s="229">
        <f t="shared" si="9"/>
        <v>-377760.93001376302</v>
      </c>
      <c r="H22" s="229">
        <f t="shared" si="9"/>
        <v>-709266.16442930279</v>
      </c>
      <c r="I22" s="229">
        <f t="shared" si="9"/>
        <v>-876431.16541796993</v>
      </c>
      <c r="J22" s="229">
        <f t="shared" si="9"/>
        <v>-476868.16865675175</v>
      </c>
      <c r="K22" s="229">
        <f t="shared" si="9"/>
        <v>178502.52221937105</v>
      </c>
      <c r="L22" s="229">
        <f t="shared" si="9"/>
        <v>863852.66373847146</v>
      </c>
      <c r="M22" s="229">
        <f t="shared" si="9"/>
        <v>1589705.0238192715</v>
      </c>
      <c r="N22" s="229">
        <f t="shared" si="9"/>
        <v>2300226.802065453</v>
      </c>
    </row>
    <row r="23" spans="1:19" x14ac:dyDescent="0.3">
      <c r="A23" s="33" t="s">
        <v>53</v>
      </c>
      <c r="B23" s="309" t="s">
        <v>8</v>
      </c>
      <c r="C23" s="310" t="s">
        <v>55</v>
      </c>
      <c r="D23" s="311">
        <f>SUM(D19:D22)</f>
        <v>1227398.6400000001</v>
      </c>
      <c r="E23" s="311">
        <f t="shared" ref="E23:N23" si="10">SUM(E19:E22)</f>
        <v>3794972.8425028445</v>
      </c>
      <c r="F23" s="311">
        <f t="shared" si="10"/>
        <v>5910868.0836833203</v>
      </c>
      <c r="G23" s="311">
        <f t="shared" si="10"/>
        <v>7111219.4123034105</v>
      </c>
      <c r="H23" s="311">
        <f t="shared" si="10"/>
        <v>7984147.7048897762</v>
      </c>
      <c r="I23" s="311">
        <f t="shared" si="10"/>
        <v>8821158.0208965577</v>
      </c>
      <c r="J23" s="311">
        <f t="shared" si="10"/>
        <v>9612429.0730364583</v>
      </c>
      <c r="K23" s="311">
        <f t="shared" si="10"/>
        <v>10403882.06139157</v>
      </c>
      <c r="L23" s="311">
        <f t="shared" si="10"/>
        <v>11190204.481226429</v>
      </c>
      <c r="M23" s="311">
        <f t="shared" si="10"/>
        <v>11973274.942305362</v>
      </c>
      <c r="N23" s="311">
        <f t="shared" si="10"/>
        <v>12782337.750753054</v>
      </c>
    </row>
    <row r="24" spans="1:19" x14ac:dyDescent="0.3">
      <c r="B24" s="143"/>
      <c r="C24" s="143"/>
      <c r="D24" s="143"/>
      <c r="E24" s="143"/>
      <c r="F24" s="143"/>
      <c r="G24" s="143"/>
      <c r="H24" s="143"/>
      <c r="I24" s="143"/>
      <c r="J24" s="143"/>
      <c r="K24" s="143"/>
      <c r="L24" s="143"/>
      <c r="M24" s="143"/>
      <c r="N24" s="143"/>
    </row>
    <row r="25" spans="1:19" x14ac:dyDescent="0.3">
      <c r="D25" s="147">
        <f>NPV(discount_rate,E23:N23)</f>
        <v>62668392.160344832</v>
      </c>
    </row>
    <row r="26" spans="1:19" x14ac:dyDescent="0.3">
      <c r="E26" s="24"/>
      <c r="F26" s="24"/>
      <c r="G26" s="24"/>
      <c r="H26" s="24"/>
      <c r="I26" s="24"/>
      <c r="J26" s="24"/>
      <c r="K26" s="24"/>
      <c r="L26" s="24"/>
      <c r="M26" s="24"/>
      <c r="N26" s="24"/>
    </row>
    <row r="27" spans="1:19" x14ac:dyDescent="0.3">
      <c r="E27" s="45"/>
      <c r="F27" s="24"/>
      <c r="G27" s="24"/>
      <c r="H27" s="24"/>
      <c r="I27" s="24"/>
      <c r="J27" s="24"/>
      <c r="K27" s="24"/>
      <c r="L27" s="24"/>
      <c r="M27" s="24"/>
      <c r="N27" s="24"/>
    </row>
    <row r="28" spans="1:19" ht="15.6" x14ac:dyDescent="0.3">
      <c r="B28" s="63" t="s">
        <v>87</v>
      </c>
    </row>
    <row r="29" spans="1:19" s="19" customFormat="1" x14ac:dyDescent="0.3">
      <c r="B29" s="9" t="s">
        <v>566</v>
      </c>
      <c r="P29" s="343"/>
    </row>
    <row r="30" spans="1:19" s="9" customFormat="1" x14ac:dyDescent="0.3">
      <c r="A30" s="9" t="s">
        <v>88</v>
      </c>
      <c r="B30" s="9" t="s">
        <v>74</v>
      </c>
      <c r="C30" s="9" t="s">
        <v>1</v>
      </c>
      <c r="D30" s="44"/>
      <c r="E30" s="44">
        <f>E35*0.14*8760</f>
        <v>9308.6405130367566</v>
      </c>
      <c r="F30" s="44">
        <f t="shared" ref="F30:N30" si="11">F35*0.14*8760</f>
        <v>58852.769524591407</v>
      </c>
      <c r="G30" s="44">
        <f t="shared" si="11"/>
        <v>94079.03126973976</v>
      </c>
      <c r="H30" s="44">
        <f t="shared" si="11"/>
        <v>123085.19050313662</v>
      </c>
      <c r="I30" s="44">
        <f t="shared" si="11"/>
        <v>141702.20106965155</v>
      </c>
      <c r="J30" s="44">
        <f t="shared" si="11"/>
        <v>154759.13624894095</v>
      </c>
      <c r="K30" s="44">
        <f t="shared" si="11"/>
        <v>159295.21283157391</v>
      </c>
      <c r="L30" s="44">
        <f t="shared" si="11"/>
        <v>162660.95544209925</v>
      </c>
      <c r="M30" s="44">
        <f t="shared" si="11"/>
        <v>164568.2254753703</v>
      </c>
      <c r="N30" s="44">
        <f t="shared" si="11"/>
        <v>167852.92648208735</v>
      </c>
      <c r="O30" s="48"/>
      <c r="P30" s="70">
        <f>(N30/E30)^(1/($N$2-$D$2))-1</f>
        <v>0.33537815005856331</v>
      </c>
      <c r="Q30" s="48"/>
      <c r="R30" s="48"/>
      <c r="S30" s="6"/>
    </row>
    <row r="31" spans="1:19" x14ac:dyDescent="0.3">
      <c r="A31" t="s">
        <v>34</v>
      </c>
      <c r="B31" s="9" t="s">
        <v>74</v>
      </c>
      <c r="C31" s="9"/>
      <c r="D31" s="44"/>
      <c r="E31" s="44">
        <f t="shared" ref="E31:N33" si="12">E36*0.14*8760</f>
        <v>2452.8000000000002</v>
      </c>
      <c r="F31" s="44">
        <f t="shared" si="12"/>
        <v>14716.800000000001</v>
      </c>
      <c r="G31" s="44">
        <f t="shared" si="12"/>
        <v>25754.400000000005</v>
      </c>
      <c r="H31" s="44">
        <f t="shared" si="12"/>
        <v>35565.600000000006</v>
      </c>
      <c r="I31" s="44">
        <f t="shared" si="12"/>
        <v>44150.400000000009</v>
      </c>
      <c r="J31" s="44">
        <f t="shared" si="12"/>
        <v>51508.80000000001</v>
      </c>
      <c r="K31" s="44">
        <f t="shared" si="12"/>
        <v>57640.80000000001</v>
      </c>
      <c r="L31" s="44">
        <f t="shared" si="12"/>
        <v>63772.80000000001</v>
      </c>
      <c r="M31" s="44">
        <f t="shared" si="12"/>
        <v>69904.800000000003</v>
      </c>
      <c r="N31" s="44">
        <f t="shared" si="12"/>
        <v>76036.800000000017</v>
      </c>
      <c r="P31" s="70">
        <f>(N31/E31)^(1/($N$2-$D$2))-1</f>
        <v>0.40973073835554086</v>
      </c>
    </row>
    <row r="32" spans="1:19" x14ac:dyDescent="0.3">
      <c r="A32" t="s">
        <v>45</v>
      </c>
      <c r="B32" s="9" t="s">
        <v>74</v>
      </c>
      <c r="C32" s="9" t="s">
        <v>1</v>
      </c>
      <c r="D32" s="44"/>
      <c r="E32" s="44">
        <f t="shared" si="12"/>
        <v>6132.0000000000009</v>
      </c>
      <c r="F32" s="44">
        <f t="shared" si="12"/>
        <v>42924</v>
      </c>
      <c r="G32" s="44">
        <f t="shared" si="12"/>
        <v>73584</v>
      </c>
      <c r="H32" s="44">
        <f t="shared" si="12"/>
        <v>91980.000000000015</v>
      </c>
      <c r="I32" s="44">
        <f t="shared" si="12"/>
        <v>110376.00000000001</v>
      </c>
      <c r="J32" s="44">
        <f t="shared" si="12"/>
        <v>121413.60000000002</v>
      </c>
      <c r="K32" s="44">
        <f t="shared" si="12"/>
        <v>130519.62000000002</v>
      </c>
      <c r="L32" s="44">
        <f t="shared" si="12"/>
        <v>137045.60100000002</v>
      </c>
      <c r="M32" s="44">
        <f t="shared" si="12"/>
        <v>141156.96903000007</v>
      </c>
      <c r="N32" s="44">
        <f t="shared" si="12"/>
        <v>142568.53872030004</v>
      </c>
      <c r="P32" s="70">
        <f>(N32/E32)^(1/($N$2-$D$2))-1</f>
        <v>0.36975266857425715</v>
      </c>
    </row>
    <row r="33" spans="1:19" s="11" customFormat="1" x14ac:dyDescent="0.3">
      <c r="A33" s="11" t="s">
        <v>35</v>
      </c>
      <c r="B33" s="9" t="s">
        <v>74</v>
      </c>
      <c r="C33" s="9" t="s">
        <v>1</v>
      </c>
      <c r="D33" s="44"/>
      <c r="E33" s="44">
        <f t="shared" si="12"/>
        <v>18396</v>
      </c>
      <c r="F33" s="44">
        <f t="shared" si="12"/>
        <v>61320.000000000007</v>
      </c>
      <c r="G33" s="44">
        <f t="shared" si="12"/>
        <v>98112.000000000015</v>
      </c>
      <c r="H33" s="44">
        <f t="shared" si="12"/>
        <v>128772.00000000001</v>
      </c>
      <c r="I33" s="44">
        <f t="shared" si="12"/>
        <v>153300</v>
      </c>
      <c r="J33" s="44">
        <f t="shared" si="12"/>
        <v>171696</v>
      </c>
      <c r="K33" s="44">
        <f t="shared" si="12"/>
        <v>183960.00000000003</v>
      </c>
      <c r="L33" s="44">
        <f t="shared" si="12"/>
        <v>196224.00000000003</v>
      </c>
      <c r="M33" s="44">
        <f t="shared" si="12"/>
        <v>204808.80000000002</v>
      </c>
      <c r="N33" s="44">
        <f t="shared" si="12"/>
        <v>210940.80000000002</v>
      </c>
      <c r="O33" s="48"/>
      <c r="P33" s="70">
        <f>(N33/E33)^(1/($N$2-$D$2))-1</f>
        <v>0.27627340290575497</v>
      </c>
      <c r="Q33" s="48"/>
      <c r="R33" s="48"/>
      <c r="S33" s="6"/>
    </row>
    <row r="34" spans="1:19" s="11" customFormat="1" x14ac:dyDescent="0.3">
      <c r="D34" s="16"/>
      <c r="E34" s="16"/>
      <c r="F34" s="16"/>
      <c r="G34" s="16"/>
      <c r="H34" s="16"/>
      <c r="I34" s="16"/>
      <c r="J34" s="16"/>
      <c r="K34" s="16"/>
      <c r="L34" s="16"/>
      <c r="M34" s="16"/>
      <c r="N34" s="16"/>
      <c r="O34" s="48"/>
      <c r="P34" s="68"/>
      <c r="Q34" s="48"/>
      <c r="R34" s="48"/>
      <c r="S34" s="6"/>
    </row>
    <row r="35" spans="1:19" s="11" customFormat="1" x14ac:dyDescent="0.3">
      <c r="A35" s="9" t="s">
        <v>88</v>
      </c>
      <c r="B35" s="11" t="s">
        <v>567</v>
      </c>
      <c r="C35" s="11" t="s">
        <v>568</v>
      </c>
      <c r="D35" s="16"/>
      <c r="E35" s="16">
        <v>7.5902156825152929</v>
      </c>
      <c r="F35" s="16">
        <v>47.988233467540283</v>
      </c>
      <c r="G35" s="16">
        <v>76.711538869650809</v>
      </c>
      <c r="H35" s="16">
        <v>100.36300595493853</v>
      </c>
      <c r="I35" s="16">
        <v>115.54321678869172</v>
      </c>
      <c r="J35" s="16">
        <v>126.18977189248284</v>
      </c>
      <c r="K35" s="16">
        <v>129.88846447453841</v>
      </c>
      <c r="L35" s="16">
        <v>132.63287299584087</v>
      </c>
      <c r="M35" s="16">
        <v>134.18805077900382</v>
      </c>
      <c r="N35" s="16">
        <v>136.86637841005165</v>
      </c>
      <c r="O35" s="48"/>
      <c r="P35" s="68"/>
      <c r="Q35" s="48"/>
      <c r="R35" s="48"/>
      <c r="S35" s="6"/>
    </row>
    <row r="36" spans="1:19" s="11" customFormat="1" x14ac:dyDescent="0.3">
      <c r="A36" t="s">
        <v>34</v>
      </c>
      <c r="B36" s="11" t="s">
        <v>567</v>
      </c>
      <c r="C36" s="11" t="s">
        <v>568</v>
      </c>
      <c r="D36" s="16"/>
      <c r="E36" s="16">
        <v>2</v>
      </c>
      <c r="F36" s="16">
        <f>E36+10</f>
        <v>12</v>
      </c>
      <c r="G36" s="16">
        <f>F36+9</f>
        <v>21</v>
      </c>
      <c r="H36" s="16">
        <f>G36+8</f>
        <v>29</v>
      </c>
      <c r="I36" s="16">
        <f>H36+7</f>
        <v>36</v>
      </c>
      <c r="J36" s="16">
        <f>I36+6</f>
        <v>42</v>
      </c>
      <c r="K36" s="16">
        <f>J36+5</f>
        <v>47</v>
      </c>
      <c r="L36" s="16">
        <f>K36+5</f>
        <v>52</v>
      </c>
      <c r="M36" s="16">
        <f>L36+5</f>
        <v>57</v>
      </c>
      <c r="N36" s="16">
        <f>M36+5</f>
        <v>62</v>
      </c>
      <c r="O36" s="48"/>
      <c r="P36" s="68"/>
      <c r="Q36" s="48"/>
      <c r="R36" s="48"/>
      <c r="S36" s="6"/>
    </row>
    <row r="37" spans="1:19" s="11" customFormat="1" x14ac:dyDescent="0.3">
      <c r="A37" t="s">
        <v>45</v>
      </c>
      <c r="B37" s="11" t="s">
        <v>567</v>
      </c>
      <c r="C37" s="11" t="s">
        <v>568</v>
      </c>
      <c r="D37" s="16"/>
      <c r="E37" s="16">
        <v>5</v>
      </c>
      <c r="F37" s="16">
        <f>E37+30</f>
        <v>35</v>
      </c>
      <c r="G37" s="16">
        <f>F37+25</f>
        <v>60</v>
      </c>
      <c r="H37" s="16">
        <f>G37*(1.25)</f>
        <v>75</v>
      </c>
      <c r="I37" s="16">
        <f>H37*(1.2)</f>
        <v>90</v>
      </c>
      <c r="J37" s="16">
        <f>I37*(1.1)</f>
        <v>99.000000000000014</v>
      </c>
      <c r="K37" s="16">
        <f>J37*(1.075)</f>
        <v>106.42500000000001</v>
      </c>
      <c r="L37" s="16">
        <f>K37*(1.05)</f>
        <v>111.74625000000002</v>
      </c>
      <c r="M37" s="16">
        <f>L37*(1.03)</f>
        <v>115.09863750000002</v>
      </c>
      <c r="N37" s="16">
        <f>M37*(1.01)</f>
        <v>116.24962387500003</v>
      </c>
      <c r="O37" s="48"/>
      <c r="P37" s="68"/>
      <c r="Q37" s="48"/>
      <c r="R37" s="48"/>
      <c r="S37" s="6"/>
    </row>
    <row r="38" spans="1:19" x14ac:dyDescent="0.3">
      <c r="A38" s="11" t="s">
        <v>35</v>
      </c>
      <c r="B38" s="11" t="s">
        <v>567</v>
      </c>
      <c r="C38" s="11" t="s">
        <v>568</v>
      </c>
      <c r="D38" s="16"/>
      <c r="E38" s="16">
        <v>15</v>
      </c>
      <c r="F38" s="16">
        <f>E38+35</f>
        <v>50</v>
      </c>
      <c r="G38" s="16">
        <f>F38+30</f>
        <v>80</v>
      </c>
      <c r="H38" s="16">
        <f>G38+25</f>
        <v>105</v>
      </c>
      <c r="I38" s="16">
        <f>H38+20</f>
        <v>125</v>
      </c>
      <c r="J38" s="16">
        <f>I38+15</f>
        <v>140</v>
      </c>
      <c r="K38" s="16">
        <f>J38+10</f>
        <v>150</v>
      </c>
      <c r="L38" s="16">
        <f>K38+10</f>
        <v>160</v>
      </c>
      <c r="M38" s="16">
        <f>L38+7</f>
        <v>167</v>
      </c>
      <c r="N38" s="16">
        <f>M38+5</f>
        <v>172</v>
      </c>
    </row>
    <row r="39" spans="1:19" s="11" customFormat="1" x14ac:dyDescent="0.3">
      <c r="D39" s="16"/>
      <c r="E39" s="16"/>
      <c r="F39" s="16"/>
      <c r="G39" s="16"/>
      <c r="H39" s="16"/>
      <c r="I39" s="16"/>
      <c r="J39" s="16"/>
      <c r="K39" s="16"/>
      <c r="L39" s="16"/>
      <c r="M39" s="16"/>
      <c r="N39" s="16"/>
      <c r="O39" s="48"/>
      <c r="P39" s="68"/>
      <c r="Q39" s="48"/>
      <c r="R39" s="48"/>
      <c r="S39" s="6"/>
    </row>
    <row r="40" spans="1:19" s="11" customFormat="1" x14ac:dyDescent="0.3">
      <c r="A40" s="9" t="s">
        <v>88</v>
      </c>
      <c r="B40" s="11" t="s">
        <v>93</v>
      </c>
      <c r="C40" s="11" t="s">
        <v>5</v>
      </c>
      <c r="D40" s="16"/>
      <c r="E40" s="24"/>
      <c r="F40" s="24">
        <f t="shared" ref="F40:N40" si="13">F30/E30-1</f>
        <v>5.3223807431566481</v>
      </c>
      <c r="G40" s="24">
        <f t="shared" si="13"/>
        <v>0.59854892182141395</v>
      </c>
      <c r="H40" s="24">
        <f t="shared" si="13"/>
        <v>0.30831694206365201</v>
      </c>
      <c r="I40" s="24">
        <f t="shared" si="13"/>
        <v>0.15125305075626061</v>
      </c>
      <c r="J40" s="24">
        <f t="shared" si="13"/>
        <v>9.2143488814767638E-2</v>
      </c>
      <c r="K40" s="24">
        <f t="shared" si="13"/>
        <v>2.9310557635423562E-2</v>
      </c>
      <c r="L40" s="24">
        <f t="shared" si="13"/>
        <v>2.1128962701999043E-2</v>
      </c>
      <c r="M40" s="24">
        <f t="shared" si="13"/>
        <v>1.1725432376117784E-2</v>
      </c>
      <c r="N40" s="24">
        <f t="shared" si="13"/>
        <v>1.9959509177600365E-2</v>
      </c>
      <c r="O40" s="48"/>
      <c r="P40" s="68"/>
      <c r="Q40" s="48"/>
      <c r="R40" s="48"/>
      <c r="S40" s="6"/>
    </row>
    <row r="41" spans="1:19" s="11" customFormat="1" x14ac:dyDescent="0.3">
      <c r="A41" t="s">
        <v>34</v>
      </c>
      <c r="B41" s="11" t="s">
        <v>93</v>
      </c>
      <c r="C41" s="11" t="s">
        <v>5</v>
      </c>
      <c r="D41" s="16"/>
      <c r="E41" s="24">
        <v>0.15</v>
      </c>
      <c r="F41" s="24">
        <f t="shared" ref="F41:N41" si="14">F31/E31-1</f>
        <v>5</v>
      </c>
      <c r="G41" s="24">
        <f t="shared" si="14"/>
        <v>0.75000000000000022</v>
      </c>
      <c r="H41" s="24">
        <f t="shared" si="14"/>
        <v>0.38095238095238093</v>
      </c>
      <c r="I41" s="24">
        <f t="shared" si="14"/>
        <v>0.24137931034482762</v>
      </c>
      <c r="J41" s="24">
        <f t="shared" si="14"/>
        <v>0.16666666666666674</v>
      </c>
      <c r="K41" s="24">
        <f t="shared" si="14"/>
        <v>0.11904761904761907</v>
      </c>
      <c r="L41" s="24">
        <f t="shared" si="14"/>
        <v>0.1063829787234043</v>
      </c>
      <c r="M41" s="24">
        <f t="shared" si="14"/>
        <v>9.6153846153846034E-2</v>
      </c>
      <c r="N41" s="24">
        <f t="shared" si="14"/>
        <v>8.7719298245614308E-2</v>
      </c>
      <c r="O41" s="48"/>
      <c r="P41" s="68"/>
      <c r="Q41" s="48"/>
      <c r="R41" s="48"/>
      <c r="S41" s="6"/>
    </row>
    <row r="42" spans="1:19" s="11" customFormat="1" x14ac:dyDescent="0.3">
      <c r="A42" t="s">
        <v>45</v>
      </c>
      <c r="B42" s="11" t="s">
        <v>93</v>
      </c>
      <c r="C42" s="11" t="s">
        <v>5</v>
      </c>
      <c r="D42" s="16"/>
      <c r="E42" s="24">
        <f>E40/2</f>
        <v>0</v>
      </c>
      <c r="F42" s="24">
        <f t="shared" ref="F42:N42" si="15">F32/E32-1</f>
        <v>5.9999999999999991</v>
      </c>
      <c r="G42" s="24">
        <f t="shared" si="15"/>
        <v>0.71428571428571419</v>
      </c>
      <c r="H42" s="24">
        <f t="shared" si="15"/>
        <v>0.25000000000000022</v>
      </c>
      <c r="I42" s="24">
        <f t="shared" si="15"/>
        <v>0.19999999999999996</v>
      </c>
      <c r="J42" s="24">
        <f t="shared" si="15"/>
        <v>0.10000000000000009</v>
      </c>
      <c r="K42" s="24">
        <f t="shared" si="15"/>
        <v>7.4999999999999956E-2</v>
      </c>
      <c r="L42" s="24">
        <f t="shared" si="15"/>
        <v>5.0000000000000044E-2</v>
      </c>
      <c r="M42" s="24">
        <f t="shared" si="15"/>
        <v>3.0000000000000249E-2</v>
      </c>
      <c r="N42" s="24">
        <f t="shared" si="15"/>
        <v>9.9999999999997868E-3</v>
      </c>
      <c r="O42" s="48"/>
      <c r="P42" s="68"/>
      <c r="Q42" s="48"/>
      <c r="R42" s="48"/>
      <c r="S42" s="6"/>
    </row>
    <row r="43" spans="1:19" x14ac:dyDescent="0.3">
      <c r="A43" s="11" t="s">
        <v>35</v>
      </c>
      <c r="B43" s="11" t="s">
        <v>93</v>
      </c>
      <c r="C43" s="11" t="s">
        <v>5</v>
      </c>
      <c r="E43" s="24">
        <f>E40/1.25</f>
        <v>0</v>
      </c>
      <c r="F43" s="24">
        <v>3.5</v>
      </c>
      <c r="G43" s="24">
        <f>G40/1.25</f>
        <v>0.47883913745713114</v>
      </c>
      <c r="H43" s="24">
        <f t="shared" ref="H43:N43" si="16">H40/1.25</f>
        <v>0.24665355365092162</v>
      </c>
      <c r="I43" s="24">
        <f t="shared" si="16"/>
        <v>0.12100244060500849</v>
      </c>
      <c r="J43" s="24">
        <f t="shared" si="16"/>
        <v>7.371479105181411E-2</v>
      </c>
      <c r="K43" s="24">
        <f t="shared" si="16"/>
        <v>2.344844610833885E-2</v>
      </c>
      <c r="L43" s="24">
        <f t="shared" si="16"/>
        <v>1.6903170161599236E-2</v>
      </c>
      <c r="M43" s="24">
        <f t="shared" si="16"/>
        <v>9.3803459008942273E-3</v>
      </c>
      <c r="N43" s="24">
        <f t="shared" si="16"/>
        <v>1.5967607342080293E-2</v>
      </c>
    </row>
    <row r="44" spans="1:19" x14ac:dyDescent="0.3">
      <c r="A44" s="11"/>
    </row>
    <row r="45" spans="1:19" x14ac:dyDescent="0.3">
      <c r="A45" s="11"/>
    </row>
    <row r="46" spans="1:19" ht="15.6" x14ac:dyDescent="0.3">
      <c r="B46" s="63" t="s">
        <v>86</v>
      </c>
    </row>
    <row r="47" spans="1:19" x14ac:dyDescent="0.3">
      <c r="B47" t="s">
        <v>90</v>
      </c>
      <c r="D47" s="66">
        <f>E48-D48</f>
        <v>4.34</v>
      </c>
      <c r="E47">
        <v>3</v>
      </c>
      <c r="F47">
        <v>7</v>
      </c>
      <c r="G47">
        <v>7.5</v>
      </c>
      <c r="H47">
        <v>10</v>
      </c>
    </row>
    <row r="48" spans="1:19" x14ac:dyDescent="0.3">
      <c r="B48" t="s">
        <v>91</v>
      </c>
      <c r="D48" s="66">
        <v>11.36</v>
      </c>
      <c r="E48" s="66">
        <v>15.7</v>
      </c>
      <c r="F48" s="66">
        <v>16.715</v>
      </c>
      <c r="G48" s="66">
        <f>F48+F47</f>
        <v>23.715</v>
      </c>
      <c r="H48" s="66">
        <f t="shared" ref="H48:N48" si="17">G48+G47</f>
        <v>31.215</v>
      </c>
      <c r="I48" s="66">
        <f t="shared" si="17"/>
        <v>41.215000000000003</v>
      </c>
      <c r="J48" s="66">
        <f t="shared" si="17"/>
        <v>41.215000000000003</v>
      </c>
      <c r="K48" s="66">
        <f t="shared" si="17"/>
        <v>41.215000000000003</v>
      </c>
      <c r="L48" s="66">
        <f t="shared" si="17"/>
        <v>41.215000000000003</v>
      </c>
      <c r="M48" s="66">
        <f t="shared" si="17"/>
        <v>41.215000000000003</v>
      </c>
      <c r="N48" s="66">
        <f t="shared" si="17"/>
        <v>41.215000000000003</v>
      </c>
    </row>
    <row r="50" spans="2:16" ht="15" thickBot="1" x14ac:dyDescent="0.35"/>
    <row r="51" spans="2:16" s="78" customFormat="1" ht="40.200000000000003" customHeight="1" thickBot="1" x14ac:dyDescent="0.35">
      <c r="B51" s="79" t="s">
        <v>37</v>
      </c>
      <c r="C51" s="80" t="s">
        <v>38</v>
      </c>
      <c r="D51" s="81" t="s">
        <v>44</v>
      </c>
      <c r="G51" s="445" t="s">
        <v>549</v>
      </c>
      <c r="H51" s="446"/>
      <c r="I51" s="294" t="s">
        <v>551</v>
      </c>
      <c r="P51" s="82"/>
    </row>
    <row r="52" spans="2:16" x14ac:dyDescent="0.3">
      <c r="B52" s="27" t="s">
        <v>39</v>
      </c>
      <c r="C52" s="73">
        <v>0.65</v>
      </c>
      <c r="D52" s="74">
        <v>0</v>
      </c>
      <c r="G52" s="289" t="s">
        <v>550</v>
      </c>
      <c r="H52" s="296">
        <v>42735</v>
      </c>
      <c r="I52" s="299" t="s">
        <v>553</v>
      </c>
    </row>
    <row r="53" spans="2:16" x14ac:dyDescent="0.3">
      <c r="B53" s="27" t="s">
        <v>40</v>
      </c>
      <c r="C53" s="73">
        <v>0.6</v>
      </c>
      <c r="D53" s="74">
        <v>0</v>
      </c>
      <c r="G53" s="291">
        <f>1+H52</f>
        <v>42736</v>
      </c>
      <c r="H53" s="297">
        <v>43281</v>
      </c>
      <c r="I53" s="290">
        <v>0.06</v>
      </c>
    </row>
    <row r="54" spans="2:16" x14ac:dyDescent="0.3">
      <c r="B54" s="27" t="s">
        <v>41</v>
      </c>
      <c r="C54" s="73">
        <v>0.35</v>
      </c>
      <c r="D54" s="74">
        <v>0.03</v>
      </c>
      <c r="G54" s="291">
        <f>1+H53</f>
        <v>43282</v>
      </c>
      <c r="H54" s="297">
        <v>43646</v>
      </c>
      <c r="I54" s="290">
        <v>0.05</v>
      </c>
    </row>
    <row r="55" spans="2:16" x14ac:dyDescent="0.3">
      <c r="B55" s="27" t="s">
        <v>42</v>
      </c>
      <c r="C55" s="73">
        <v>0.7</v>
      </c>
      <c r="D55" s="74">
        <v>0.08</v>
      </c>
      <c r="G55" s="291">
        <f>1+H54</f>
        <v>43647</v>
      </c>
      <c r="H55" s="295" t="s">
        <v>552</v>
      </c>
      <c r="I55" s="290">
        <v>0.04</v>
      </c>
    </row>
    <row r="56" spans="2:16" ht="15" thickBot="1" x14ac:dyDescent="0.35">
      <c r="B56" s="28" t="s">
        <v>13</v>
      </c>
      <c r="C56" s="73">
        <v>0.15</v>
      </c>
      <c r="D56" s="74">
        <v>0.82</v>
      </c>
      <c r="G56" s="292">
        <f>1+H55</f>
        <v>44013</v>
      </c>
      <c r="H56" s="298" t="s">
        <v>552</v>
      </c>
      <c r="I56" s="293">
        <v>0.03</v>
      </c>
    </row>
    <row r="57" spans="2:16" x14ac:dyDescent="0.3">
      <c r="B57" s="27" t="s">
        <v>43</v>
      </c>
      <c r="C57" s="73">
        <v>0.2</v>
      </c>
      <c r="D57" s="74">
        <v>7.0000000000000007E-2</v>
      </c>
    </row>
    <row r="58" spans="2:16" x14ac:dyDescent="0.3">
      <c r="B58" s="76" t="s">
        <v>92</v>
      </c>
      <c r="C58" s="77">
        <f>SUMPRODUCT(C52:C57,D52:D57)</f>
        <v>0.20349999999999999</v>
      </c>
      <c r="D58" s="75"/>
    </row>
    <row r="61" spans="2:16" x14ac:dyDescent="0.3">
      <c r="B61" t="s">
        <v>514</v>
      </c>
    </row>
  </sheetData>
  <mergeCells count="1">
    <mergeCell ref="G51:H51"/>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W98"/>
  <sheetViews>
    <sheetView zoomScale="80" zoomScaleNormal="80" workbookViewId="0">
      <pane xSplit="3" ySplit="9" topLeftCell="D34" activePane="bottomRight" state="frozen"/>
      <selection pane="topRight" activeCell="D1" sqref="D1"/>
      <selection pane="bottomLeft" activeCell="A10" sqref="A10"/>
      <selection pane="bottomRight" activeCell="N73" sqref="N73"/>
    </sheetView>
  </sheetViews>
  <sheetFormatPr defaultRowHeight="14.4" x14ac:dyDescent="0.3"/>
  <cols>
    <col min="2" max="2" width="14.44140625" bestFit="1" customWidth="1"/>
    <col min="3" max="3" width="10" bestFit="1" customWidth="1"/>
    <col min="4" max="4" width="15.109375" bestFit="1" customWidth="1"/>
    <col min="5" max="6" width="14.44140625" bestFit="1" customWidth="1"/>
    <col min="7" max="7" width="15.44140625" bestFit="1" customWidth="1"/>
    <col min="8" max="14" width="15.88671875" bestFit="1" customWidth="1"/>
    <col min="15" max="15" width="11.109375" bestFit="1" customWidth="1"/>
    <col min="16" max="16" width="16.44140625" bestFit="1" customWidth="1"/>
    <col min="17" max="17" width="15.88671875" customWidth="1"/>
    <col min="18" max="18" width="13.5546875" bestFit="1" customWidth="1"/>
  </cols>
  <sheetData>
    <row r="1" spans="2:23" ht="15" thickBot="1" x14ac:dyDescent="0.35">
      <c r="D1" s="65" t="s">
        <v>584</v>
      </c>
      <c r="E1">
        <f>IF(FF_scenario="high",0.75,(IF(FF_scenario="low",1.3,1)))</f>
        <v>1</v>
      </c>
      <c r="F1" t="s">
        <v>586</v>
      </c>
    </row>
    <row r="2" spans="2:23" s="227" customFormat="1" ht="56.4" customHeight="1" x14ac:dyDescent="0.3">
      <c r="B2" s="224"/>
      <c r="C2" s="225" t="s">
        <v>63</v>
      </c>
      <c r="D2" s="225" t="s">
        <v>221</v>
      </c>
      <c r="E2" s="363" t="s">
        <v>577</v>
      </c>
      <c r="F2" s="225" t="s">
        <v>583</v>
      </c>
      <c r="G2" s="225" t="s">
        <v>64</v>
      </c>
      <c r="H2" s="225" t="s">
        <v>253</v>
      </c>
      <c r="I2" s="225" t="s">
        <v>216</v>
      </c>
      <c r="J2" s="225" t="s">
        <v>73</v>
      </c>
      <c r="K2" s="225" t="s">
        <v>246</v>
      </c>
      <c r="L2" s="225" t="s">
        <v>217</v>
      </c>
      <c r="M2" s="225" t="s">
        <v>218</v>
      </c>
      <c r="N2" s="225" t="s">
        <v>251</v>
      </c>
      <c r="O2" s="225" t="s">
        <v>219</v>
      </c>
      <c r="P2" s="226" t="s">
        <v>220</v>
      </c>
      <c r="Q2" s="227" t="s">
        <v>540</v>
      </c>
    </row>
    <row r="3" spans="2:23" x14ac:dyDescent="0.3">
      <c r="B3" s="207" t="s">
        <v>6</v>
      </c>
      <c r="C3" s="203">
        <f>assumptions!D21</f>
        <v>0.3</v>
      </c>
      <c r="D3" s="204">
        <f>M3-N3</f>
        <v>27.055346129235506</v>
      </c>
      <c r="E3" s="364">
        <f>F3*O3*$E$1</f>
        <v>768.61778776237225</v>
      </c>
      <c r="F3" s="85">
        <f>assumptions!D29</f>
        <v>25</v>
      </c>
      <c r="G3" s="366">
        <f>'Tier III PT'!E10/1000</f>
        <v>3.2666108454843723</v>
      </c>
      <c r="H3" s="48">
        <f>'Tier III PT'!D10</f>
        <v>26.461682942370523</v>
      </c>
      <c r="I3" s="48">
        <v>15</v>
      </c>
      <c r="J3" s="205">
        <v>0.75</v>
      </c>
      <c r="K3" s="48">
        <v>9232</v>
      </c>
      <c r="L3" s="233">
        <v>0.88</v>
      </c>
      <c r="M3" s="44">
        <f>H3*1000*I3*L3/K3</f>
        <v>37.835161919333935</v>
      </c>
      <c r="N3" s="44">
        <f>G3*I3*L3*(1-J3)</f>
        <v>10.779815790098429</v>
      </c>
      <c r="O3" s="44">
        <f>D3/L3</f>
        <v>30.744711510494891</v>
      </c>
      <c r="P3" s="208">
        <f>G3/D3*1000</f>
        <v>120.73809109226413</v>
      </c>
      <c r="Q3" s="47">
        <f>'Tier III PT'!F33</f>
        <v>3973.2216937969342</v>
      </c>
    </row>
    <row r="4" spans="2:23" x14ac:dyDescent="0.3">
      <c r="B4" s="207" t="s">
        <v>7</v>
      </c>
      <c r="C4" s="203">
        <f>assumptions!D22</f>
        <v>0.35</v>
      </c>
      <c r="D4" s="204">
        <f>M4-N4</f>
        <v>21.897073136915076</v>
      </c>
      <c r="E4" s="364">
        <f>F4*O4*$E$1</f>
        <v>656.91219410745225</v>
      </c>
      <c r="F4" s="85">
        <f>assumptions!D30</f>
        <v>30</v>
      </c>
      <c r="G4" s="366">
        <f>'Tier III PT'!E19/1000</f>
        <v>2.0271999999999997</v>
      </c>
      <c r="H4" s="48">
        <f>'Tier III PT'!D19</f>
        <v>29.948</v>
      </c>
      <c r="I4" s="48">
        <v>8</v>
      </c>
      <c r="J4" s="205">
        <v>0.75</v>
      </c>
      <c r="K4" s="48">
        <v>9232</v>
      </c>
      <c r="L4" s="234">
        <v>1</v>
      </c>
      <c r="M4" s="44">
        <f>H4*1000*I4*L4/K4</f>
        <v>25.951473136915077</v>
      </c>
      <c r="N4" s="44">
        <f>G4*I4*L4*(1-J4)</f>
        <v>4.0543999999999993</v>
      </c>
      <c r="O4" s="44">
        <f>D4/L4</f>
        <v>21.897073136915076</v>
      </c>
      <c r="P4" s="208">
        <f>G4/D4*1000</f>
        <v>92.578582869253623</v>
      </c>
      <c r="Q4" s="47">
        <f>'Tier III PT'!F34</f>
        <v>4707.8256000000001</v>
      </c>
    </row>
    <row r="5" spans="2:23" x14ac:dyDescent="0.3">
      <c r="B5" s="207" t="s">
        <v>26</v>
      </c>
      <c r="C5" s="203">
        <f>assumptions!D23</f>
        <v>0.15</v>
      </c>
      <c r="D5" s="204">
        <f>M5-N5</f>
        <v>56.000000000000007</v>
      </c>
      <c r="E5" s="364">
        <f>F5*O5*$E$1</f>
        <v>1120.0000000000002</v>
      </c>
      <c r="F5" s="85">
        <f>assumptions!D31</f>
        <v>20</v>
      </c>
      <c r="G5" s="375">
        <v>0</v>
      </c>
      <c r="H5" s="375">
        <f>'Tier III PT'!D40</f>
        <v>17.233066666666669</v>
      </c>
      <c r="I5" s="48">
        <v>30</v>
      </c>
      <c r="J5" s="205">
        <v>0.75</v>
      </c>
      <c r="K5" s="48">
        <v>9232</v>
      </c>
      <c r="L5" s="234">
        <v>1</v>
      </c>
      <c r="M5" s="206">
        <f>H5*1000*I5*L5/K5</f>
        <v>56.000000000000007</v>
      </c>
      <c r="N5" s="44">
        <f>G5*I5*L5*(1-J5)</f>
        <v>0</v>
      </c>
      <c r="O5" s="44">
        <f>D5/L5</f>
        <v>56.000000000000007</v>
      </c>
      <c r="P5" s="208">
        <f>G5/D5*1000</f>
        <v>0</v>
      </c>
      <c r="Q5" s="47">
        <f>'Tier III PT'!F40</f>
        <v>2587.5449600000006</v>
      </c>
    </row>
    <row r="6" spans="2:23" x14ac:dyDescent="0.3">
      <c r="B6" s="207" t="s">
        <v>25</v>
      </c>
      <c r="C6" s="203">
        <f>assumptions!D24</f>
        <v>0.15</v>
      </c>
      <c r="D6" s="204">
        <f>M6-N6</f>
        <v>6596.5201429809358</v>
      </c>
      <c r="E6" s="364">
        <f>F6*O6*$E$1</f>
        <v>79158.241715771233</v>
      </c>
      <c r="F6" s="85">
        <f>assumptions!D32</f>
        <v>12</v>
      </c>
      <c r="G6" s="375">
        <f>6649*0.029</f>
        <v>192.821</v>
      </c>
      <c r="H6" s="375">
        <v>2475</v>
      </c>
      <c r="I6" s="48">
        <v>30</v>
      </c>
      <c r="J6" s="205">
        <v>0.75</v>
      </c>
      <c r="K6" s="48">
        <v>9232</v>
      </c>
      <c r="L6" s="234">
        <v>1</v>
      </c>
      <c r="M6" s="44">
        <f>H6*1000*I6*L6/K6</f>
        <v>8042.6776429809361</v>
      </c>
      <c r="N6" s="44">
        <f>G6*I6*L6*(1-J6)</f>
        <v>1446.1575</v>
      </c>
      <c r="O6" s="206">
        <f>D6/L6</f>
        <v>6596.5201429809358</v>
      </c>
      <c r="P6" s="208">
        <f>G6/D6*1000</f>
        <v>29.23071495585021</v>
      </c>
      <c r="Q6" s="47">
        <f>57*O6</f>
        <v>376001.64814991335</v>
      </c>
    </row>
    <row r="7" spans="2:23" ht="15" thickBot="1" x14ac:dyDescent="0.35">
      <c r="B7" s="209" t="s">
        <v>72</v>
      </c>
      <c r="C7" s="210">
        <f>assumptions!D25</f>
        <v>0.05</v>
      </c>
      <c r="D7" s="211">
        <v>1</v>
      </c>
      <c r="E7" s="365"/>
      <c r="F7" s="212"/>
      <c r="G7" s="236"/>
      <c r="H7" s="236">
        <v>8</v>
      </c>
      <c r="I7" s="236">
        <v>1</v>
      </c>
      <c r="J7" s="213"/>
      <c r="K7" s="235"/>
      <c r="L7" s="235">
        <v>1</v>
      </c>
      <c r="M7" s="215">
        <v>1</v>
      </c>
      <c r="N7" s="214">
        <v>1</v>
      </c>
      <c r="O7" s="215">
        <f>D7/L7</f>
        <v>1</v>
      </c>
      <c r="P7" s="216">
        <f>G7/D7*1000</f>
        <v>0</v>
      </c>
      <c r="Q7" s="47">
        <f>emissions!C24</f>
        <v>842</v>
      </c>
    </row>
    <row r="9" spans="2:23" s="14" customFormat="1" x14ac:dyDescent="0.3">
      <c r="C9" s="14" t="s">
        <v>57</v>
      </c>
      <c r="D9" s="15">
        <v>2017</v>
      </c>
      <c r="E9" s="15">
        <v>2018</v>
      </c>
      <c r="F9" s="15">
        <v>2019</v>
      </c>
      <c r="G9" s="15">
        <v>2020</v>
      </c>
      <c r="H9" s="15">
        <v>2021</v>
      </c>
      <c r="I9" s="15">
        <v>2022</v>
      </c>
      <c r="J9" s="15">
        <v>2023</v>
      </c>
      <c r="K9" s="15">
        <v>2024</v>
      </c>
      <c r="L9" s="15">
        <v>2025</v>
      </c>
      <c r="M9" s="15">
        <v>2026</v>
      </c>
      <c r="N9" s="15">
        <v>2027</v>
      </c>
      <c r="O9" s="15"/>
      <c r="P9" s="15"/>
      <c r="Q9" s="15"/>
      <c r="R9" s="15"/>
      <c r="S9" s="15"/>
      <c r="T9" s="15"/>
      <c r="U9" s="15"/>
      <c r="V9" s="15"/>
      <c r="W9" s="15"/>
    </row>
    <row r="11" spans="2:23" x14ac:dyDescent="0.3">
      <c r="B11" t="s">
        <v>70</v>
      </c>
      <c r="D11" s="16">
        <f>requirements!D13</f>
        <v>108312.99125999998</v>
      </c>
      <c r="E11" s="16">
        <f>requirements!E13</f>
        <v>144417.32167999999</v>
      </c>
      <c r="F11" s="16">
        <f>requirements!F13</f>
        <v>178036.38508246423</v>
      </c>
      <c r="G11" s="16">
        <f>requirements!G13</f>
        <v>211477.19705818561</v>
      </c>
      <c r="H11" s="16">
        <f>requirements!H13</f>
        <v>244485.25826414852</v>
      </c>
      <c r="I11" s="16">
        <f>requirements!I13</f>
        <v>277192.23104739416</v>
      </c>
      <c r="J11" s="16">
        <f>requirements!J13</f>
        <v>310930.98918808805</v>
      </c>
      <c r="K11" s="16">
        <f>requirements!K13</f>
        <v>345768.77843706717</v>
      </c>
      <c r="L11" s="16">
        <f>requirements!L13</f>
        <v>381366.68000827247</v>
      </c>
      <c r="M11" s="16">
        <f>requirements!M13</f>
        <v>417028.47493958945</v>
      </c>
      <c r="N11" s="16">
        <f>requirements!N13</f>
        <v>452964.36615783896</v>
      </c>
    </row>
    <row r="13" spans="2:23" x14ac:dyDescent="0.3">
      <c r="B13" s="20" t="s">
        <v>71</v>
      </c>
    </row>
    <row r="14" spans="2:23" x14ac:dyDescent="0.3">
      <c r="B14" t="s">
        <v>6</v>
      </c>
      <c r="D14" s="18">
        <f>$C3*D$11</f>
        <v>32493.897377999994</v>
      </c>
      <c r="E14" s="18">
        <f t="shared" ref="E14:N14" si="0">$C3*E$11</f>
        <v>43325.196504</v>
      </c>
      <c r="F14" s="18">
        <f t="shared" si="0"/>
        <v>53410.91552473927</v>
      </c>
      <c r="G14" s="18">
        <f t="shared" si="0"/>
        <v>63443.159117455682</v>
      </c>
      <c r="H14" s="18">
        <f t="shared" si="0"/>
        <v>73345.577479244559</v>
      </c>
      <c r="I14" s="18">
        <f t="shared" si="0"/>
        <v>83157.669314218248</v>
      </c>
      <c r="J14" s="18">
        <f t="shared" si="0"/>
        <v>93279.296756426411</v>
      </c>
      <c r="K14" s="18">
        <f t="shared" si="0"/>
        <v>103730.63353112015</v>
      </c>
      <c r="L14" s="18">
        <f t="shared" si="0"/>
        <v>114410.00400248174</v>
      </c>
      <c r="M14" s="18">
        <f t="shared" si="0"/>
        <v>125108.54248187682</v>
      </c>
      <c r="N14" s="18">
        <f t="shared" si="0"/>
        <v>135889.30984735169</v>
      </c>
    </row>
    <row r="15" spans="2:23" x14ac:dyDescent="0.3">
      <c r="B15" t="s">
        <v>7</v>
      </c>
      <c r="D15" s="18">
        <f t="shared" ref="D15:N18" si="1">$C4*D$11</f>
        <v>37909.546940999993</v>
      </c>
      <c r="E15" s="18">
        <f t="shared" si="1"/>
        <v>50546.062587999993</v>
      </c>
      <c r="F15" s="18">
        <f t="shared" si="1"/>
        <v>62312.734778862476</v>
      </c>
      <c r="G15" s="18">
        <f t="shared" si="1"/>
        <v>74017.018970364967</v>
      </c>
      <c r="H15" s="18">
        <f t="shared" si="1"/>
        <v>85569.840392451981</v>
      </c>
      <c r="I15" s="18">
        <f t="shared" si="1"/>
        <v>97017.280866587957</v>
      </c>
      <c r="J15" s="18">
        <f t="shared" si="1"/>
        <v>108825.84621583081</v>
      </c>
      <c r="K15" s="18">
        <f t="shared" si="1"/>
        <v>121019.0724529735</v>
      </c>
      <c r="L15" s="18">
        <f t="shared" si="1"/>
        <v>133478.33800289535</v>
      </c>
      <c r="M15" s="18">
        <f t="shared" si="1"/>
        <v>145959.9662288563</v>
      </c>
      <c r="N15" s="18">
        <f t="shared" si="1"/>
        <v>158537.52815524364</v>
      </c>
    </row>
    <row r="16" spans="2:23" x14ac:dyDescent="0.3">
      <c r="B16" t="s">
        <v>26</v>
      </c>
      <c r="D16" s="18">
        <f t="shared" si="1"/>
        <v>16246.948688999997</v>
      </c>
      <c r="E16" s="18">
        <f t="shared" si="1"/>
        <v>21662.598252</v>
      </c>
      <c r="F16" s="18">
        <f t="shared" si="1"/>
        <v>26705.457762369635</v>
      </c>
      <c r="G16" s="18">
        <f t="shared" si="1"/>
        <v>31721.579558727841</v>
      </c>
      <c r="H16" s="18">
        <f t="shared" si="1"/>
        <v>36672.78873962228</v>
      </c>
      <c r="I16" s="18">
        <f t="shared" si="1"/>
        <v>41578.834657109124</v>
      </c>
      <c r="J16" s="18">
        <f t="shared" si="1"/>
        <v>46639.648378213205</v>
      </c>
      <c r="K16" s="18">
        <f t="shared" si="1"/>
        <v>51865.316765560077</v>
      </c>
      <c r="L16" s="18">
        <f t="shared" si="1"/>
        <v>57205.002001240871</v>
      </c>
      <c r="M16" s="18">
        <f t="shared" si="1"/>
        <v>62554.271240938411</v>
      </c>
      <c r="N16" s="18">
        <f t="shared" si="1"/>
        <v>67944.654923675844</v>
      </c>
      <c r="Q16" s="336">
        <f>458211/D4</f>
        <v>20925.673359857723</v>
      </c>
    </row>
    <row r="17" spans="2:18" x14ac:dyDescent="0.3">
      <c r="B17" t="s">
        <v>25</v>
      </c>
      <c r="D17" s="18">
        <f t="shared" si="1"/>
        <v>16246.948688999997</v>
      </c>
      <c r="E17" s="18">
        <f t="shared" si="1"/>
        <v>21662.598252</v>
      </c>
      <c r="F17" s="18">
        <f t="shared" si="1"/>
        <v>26705.457762369635</v>
      </c>
      <c r="G17" s="18">
        <f t="shared" si="1"/>
        <v>31721.579558727841</v>
      </c>
      <c r="H17" s="18">
        <f t="shared" si="1"/>
        <v>36672.78873962228</v>
      </c>
      <c r="I17" s="18">
        <f t="shared" si="1"/>
        <v>41578.834657109124</v>
      </c>
      <c r="J17" s="18">
        <f t="shared" si="1"/>
        <v>46639.648378213205</v>
      </c>
      <c r="K17" s="18">
        <f t="shared" si="1"/>
        <v>51865.316765560077</v>
      </c>
      <c r="L17" s="18">
        <f t="shared" si="1"/>
        <v>57205.002001240871</v>
      </c>
      <c r="M17" s="18">
        <f t="shared" si="1"/>
        <v>62554.271240938411</v>
      </c>
      <c r="N17" s="18">
        <f t="shared" si="1"/>
        <v>67944.654923675844</v>
      </c>
    </row>
    <row r="18" spans="2:18" x14ac:dyDescent="0.3">
      <c r="B18" t="s">
        <v>72</v>
      </c>
      <c r="D18" s="18">
        <f t="shared" si="1"/>
        <v>5415.649562999999</v>
      </c>
      <c r="E18" s="18">
        <f t="shared" si="1"/>
        <v>7220.8660840000002</v>
      </c>
      <c r="F18" s="18">
        <f t="shared" si="1"/>
        <v>8901.8192541232111</v>
      </c>
      <c r="G18" s="18">
        <f t="shared" si="1"/>
        <v>10573.859852909281</v>
      </c>
      <c r="H18" s="18">
        <f t="shared" si="1"/>
        <v>12224.262913207427</v>
      </c>
      <c r="I18" s="18">
        <f t="shared" si="1"/>
        <v>13859.611552369708</v>
      </c>
      <c r="J18" s="18">
        <f t="shared" si="1"/>
        <v>15546.549459404403</v>
      </c>
      <c r="K18" s="18">
        <f t="shared" si="1"/>
        <v>17288.438921853358</v>
      </c>
      <c r="L18" s="18">
        <f t="shared" si="1"/>
        <v>19068.334000413623</v>
      </c>
      <c r="M18" s="18">
        <f t="shared" si="1"/>
        <v>20851.423746979475</v>
      </c>
      <c r="N18" s="18">
        <f t="shared" si="1"/>
        <v>22648.218307891948</v>
      </c>
    </row>
    <row r="20" spans="2:18" x14ac:dyDescent="0.3">
      <c r="B20" s="20" t="s">
        <v>76</v>
      </c>
    </row>
    <row r="21" spans="2:18" x14ac:dyDescent="0.3">
      <c r="B21" t="s">
        <v>6</v>
      </c>
      <c r="D21" s="18">
        <f>D14/$D3</f>
        <v>1201.0157705167073</v>
      </c>
      <c r="E21" s="18">
        <f>E14/$D3</f>
        <v>1601.3543606889432</v>
      </c>
      <c r="F21" s="18">
        <f>F14/$D3</f>
        <v>1974.1353619950337</v>
      </c>
      <c r="G21" s="18">
        <f t="shared" ref="G21:N21" si="2">G14/$D3</f>
        <v>2344.9398434751561</v>
      </c>
      <c r="H21" s="18">
        <f t="shared" si="2"/>
        <v>2710.9458193177093</v>
      </c>
      <c r="I21" s="18">
        <f t="shared" si="2"/>
        <v>3073.613211858325</v>
      </c>
      <c r="J21" s="18">
        <f t="shared" si="2"/>
        <v>3447.7214340876803</v>
      </c>
      <c r="K21" s="18">
        <f t="shared" si="2"/>
        <v>3834.0161325465638</v>
      </c>
      <c r="L21" s="18">
        <f t="shared" si="2"/>
        <v>4228.7392464313152</v>
      </c>
      <c r="M21" s="18">
        <f t="shared" si="2"/>
        <v>4624.1708342694919</v>
      </c>
      <c r="N21" s="18">
        <f t="shared" si="2"/>
        <v>5022.6417063100225</v>
      </c>
    </row>
    <row r="22" spans="2:18" x14ac:dyDescent="0.3">
      <c r="B22" t="s">
        <v>7</v>
      </c>
      <c r="D22" s="18">
        <f t="shared" ref="D22:N25" si="3">D15/$D4</f>
        <v>1731.2609180215215</v>
      </c>
      <c r="E22" s="18">
        <f t="shared" si="3"/>
        <v>2308.3478906953624</v>
      </c>
      <c r="F22" s="18">
        <f t="shared" si="3"/>
        <v>2845.710675086199</v>
      </c>
      <c r="G22" s="18">
        <f t="shared" si="3"/>
        <v>3380.2243116037153</v>
      </c>
      <c r="H22" s="18">
        <f t="shared" si="3"/>
        <v>3907.8209154900469</v>
      </c>
      <c r="I22" s="18">
        <f t="shared" si="3"/>
        <v>4430.604960762169</v>
      </c>
      <c r="J22" s="18">
        <f t="shared" si="3"/>
        <v>4969.8809304503475</v>
      </c>
      <c r="K22" s="18">
        <f t="shared" si="3"/>
        <v>5526.7236719849134</v>
      </c>
      <c r="L22" s="18">
        <f t="shared" si="3"/>
        <v>6095.7159510908123</v>
      </c>
      <c r="M22" s="18">
        <f t="shared" si="3"/>
        <v>6665.7294934449656</v>
      </c>
      <c r="N22" s="18">
        <f>N15/$D4</f>
        <v>7240.1241555874385</v>
      </c>
    </row>
    <row r="23" spans="2:18" x14ac:dyDescent="0.3">
      <c r="B23" t="s">
        <v>26</v>
      </c>
      <c r="D23" s="18">
        <f t="shared" si="3"/>
        <v>290.12408373214276</v>
      </c>
      <c r="E23" s="18">
        <f t="shared" si="3"/>
        <v>386.83211164285711</v>
      </c>
      <c r="F23" s="18">
        <f t="shared" si="3"/>
        <v>476.88317432802916</v>
      </c>
      <c r="G23" s="18">
        <f t="shared" si="3"/>
        <v>566.45677783442568</v>
      </c>
      <c r="H23" s="18">
        <f t="shared" si="3"/>
        <v>654.87122749325488</v>
      </c>
      <c r="I23" s="18">
        <f t="shared" si="3"/>
        <v>742.47919030551998</v>
      </c>
      <c r="J23" s="18">
        <f t="shared" si="3"/>
        <v>832.85086389666424</v>
      </c>
      <c r="K23" s="18">
        <f t="shared" si="3"/>
        <v>926.16637081357271</v>
      </c>
      <c r="L23" s="18">
        <f t="shared" si="3"/>
        <v>1021.5178928793011</v>
      </c>
      <c r="M23" s="18">
        <f t="shared" si="3"/>
        <v>1117.0405578739001</v>
      </c>
      <c r="N23" s="18">
        <f t="shared" si="3"/>
        <v>1213.2974093513542</v>
      </c>
    </row>
    <row r="24" spans="2:18" x14ac:dyDescent="0.3">
      <c r="B24" t="s">
        <v>25</v>
      </c>
      <c r="D24" s="18">
        <f t="shared" si="3"/>
        <v>2.4629574892282644</v>
      </c>
      <c r="E24" s="18">
        <f t="shared" si="3"/>
        <v>3.2839433189710197</v>
      </c>
      <c r="F24" s="18">
        <f t="shared" si="3"/>
        <v>4.0484160107940736</v>
      </c>
      <c r="G24" s="18">
        <f t="shared" si="3"/>
        <v>4.8088353967176714</v>
      </c>
      <c r="H24" s="18">
        <f t="shared" si="3"/>
        <v>5.5594143494951904</v>
      </c>
      <c r="I24" s="18">
        <f t="shared" si="3"/>
        <v>6.3031467737351363</v>
      </c>
      <c r="J24" s="18">
        <f t="shared" si="3"/>
        <v>7.07034123557409</v>
      </c>
      <c r="K24" s="18">
        <f t="shared" si="3"/>
        <v>7.8625268537605635</v>
      </c>
      <c r="L24" s="18">
        <f t="shared" si="3"/>
        <v>8.6719968652123605</v>
      </c>
      <c r="M24" s="18">
        <f t="shared" si="3"/>
        <v>9.4829197645215455</v>
      </c>
      <c r="N24" s="18">
        <f t="shared" si="3"/>
        <v>10.300075411120018</v>
      </c>
    </row>
    <row r="25" spans="2:18" x14ac:dyDescent="0.3">
      <c r="B25" t="s">
        <v>72</v>
      </c>
      <c r="D25" s="18">
        <f t="shared" si="3"/>
        <v>5415.649562999999</v>
      </c>
      <c r="E25" s="18">
        <f t="shared" si="3"/>
        <v>7220.8660840000002</v>
      </c>
      <c r="F25" s="18">
        <f t="shared" si="3"/>
        <v>8901.8192541232111</v>
      </c>
      <c r="G25" s="18">
        <f t="shared" si="3"/>
        <v>10573.859852909281</v>
      </c>
      <c r="H25" s="18">
        <f t="shared" si="3"/>
        <v>12224.262913207427</v>
      </c>
      <c r="I25" s="18">
        <f t="shared" si="3"/>
        <v>13859.611552369708</v>
      </c>
      <c r="J25" s="18">
        <f t="shared" si="3"/>
        <v>15546.549459404403</v>
      </c>
      <c r="K25" s="18">
        <f t="shared" si="3"/>
        <v>17288.438921853358</v>
      </c>
      <c r="L25" s="18">
        <f t="shared" si="3"/>
        <v>19068.334000413623</v>
      </c>
      <c r="M25" s="18">
        <f t="shared" si="3"/>
        <v>20851.423746979475</v>
      </c>
      <c r="N25" s="18">
        <f t="shared" si="3"/>
        <v>22648.218307891948</v>
      </c>
    </row>
    <row r="26" spans="2:18" x14ac:dyDescent="0.3">
      <c r="D26" s="18"/>
      <c r="E26" s="18"/>
      <c r="F26" s="18"/>
      <c r="G26" s="18"/>
      <c r="H26" s="18"/>
      <c r="I26" s="18"/>
      <c r="J26" s="18"/>
      <c r="K26" s="18"/>
      <c r="L26" s="18"/>
      <c r="M26" s="18"/>
      <c r="N26" s="18"/>
      <c r="R26" s="45"/>
    </row>
    <row r="27" spans="2:18" x14ac:dyDescent="0.3">
      <c r="B27" s="20" t="s">
        <v>173</v>
      </c>
    </row>
    <row r="28" spans="2:18" x14ac:dyDescent="0.3">
      <c r="B28" t="s">
        <v>6</v>
      </c>
      <c r="D28" s="18">
        <f>SUM($D21:D21)</f>
        <v>1201.0157705167073</v>
      </c>
      <c r="E28" s="18">
        <f>SUM($D21:E21)</f>
        <v>2802.3701312056505</v>
      </c>
      <c r="F28" s="18">
        <f>SUM($D21:F21)</f>
        <v>4776.5054932006842</v>
      </c>
      <c r="G28" s="18">
        <f>SUM($D21:G21)</f>
        <v>7121.4453366758407</v>
      </c>
      <c r="H28" s="18">
        <f>SUM($D21:H21)</f>
        <v>9832.3911559935495</v>
      </c>
      <c r="I28" s="18">
        <f>SUM($D21:I21)</f>
        <v>12906.004367851874</v>
      </c>
      <c r="J28" s="18">
        <f>SUM($D21:J21)</f>
        <v>16353.725801939554</v>
      </c>
      <c r="K28" s="18">
        <f>SUM($D21:K21)</f>
        <v>20187.741934486119</v>
      </c>
      <c r="L28" s="18">
        <f>SUM($D21:L21)</f>
        <v>24416.481180917435</v>
      </c>
      <c r="M28" s="18">
        <f>SUM($D21:M21)</f>
        <v>29040.652015186926</v>
      </c>
      <c r="N28" s="18">
        <f>SUM($D21:N21)</f>
        <v>34063.29372149695</v>
      </c>
    </row>
    <row r="29" spans="2:18" x14ac:dyDescent="0.3">
      <c r="B29" t="s">
        <v>7</v>
      </c>
      <c r="D29" s="18">
        <f>SUM($D22:D22)</f>
        <v>1731.2609180215215</v>
      </c>
      <c r="E29" s="18">
        <f>SUM($D22:E22)</f>
        <v>4039.6088087168837</v>
      </c>
      <c r="F29" s="18">
        <f>SUM($D22:F22)</f>
        <v>6885.3194838030831</v>
      </c>
      <c r="G29" s="18">
        <f>SUM($D22:G22)</f>
        <v>10265.543795406798</v>
      </c>
      <c r="H29" s="18">
        <f>SUM($D22:H22)</f>
        <v>14173.364710896845</v>
      </c>
      <c r="I29" s="18">
        <f>SUM($D22:I22)</f>
        <v>18603.969671659015</v>
      </c>
      <c r="J29" s="18">
        <f>SUM($D22:J22)</f>
        <v>23573.850602109364</v>
      </c>
      <c r="K29" s="18">
        <f>SUM($D22:K22)</f>
        <v>29100.574274094277</v>
      </c>
      <c r="L29" s="18">
        <f>SUM($E22:L22)</f>
        <v>33465.029307163568</v>
      </c>
      <c r="M29" s="18">
        <f>SUM($F22:M22)</f>
        <v>37822.410909913167</v>
      </c>
      <c r="N29" s="18">
        <f>SUM($G22:N22)</f>
        <v>42216.824390414411</v>
      </c>
    </row>
    <row r="30" spans="2:18" x14ac:dyDescent="0.3">
      <c r="B30" t="s">
        <v>26</v>
      </c>
      <c r="D30" s="18">
        <f>SUM($D23:D23)</f>
        <v>290.12408373214276</v>
      </c>
      <c r="E30" s="18">
        <f>SUM($D23:E23)</f>
        <v>676.95619537499988</v>
      </c>
      <c r="F30" s="18">
        <f>SUM($D23:F23)</f>
        <v>1153.839369703029</v>
      </c>
      <c r="G30" s="18">
        <f>SUM($D23:G23)</f>
        <v>1720.2961475374545</v>
      </c>
      <c r="H30" s="18">
        <f>SUM($D23:H23)</f>
        <v>2375.1673750307095</v>
      </c>
      <c r="I30" s="18">
        <f>SUM($D23:I23)</f>
        <v>3117.6465653362293</v>
      </c>
      <c r="J30" s="18">
        <f>SUM($D23:J23)</f>
        <v>3950.4974292328934</v>
      </c>
      <c r="K30" s="18">
        <f>SUM($D23:K23)</f>
        <v>4876.6638000464663</v>
      </c>
      <c r="L30" s="18">
        <f>SUM($D23:L23)</f>
        <v>5898.1816929257675</v>
      </c>
      <c r="M30" s="18">
        <f>SUM($D23:M23)</f>
        <v>7015.2222507996676</v>
      </c>
      <c r="N30" s="18">
        <f>SUM($D23:N23)</f>
        <v>8228.5196601510215</v>
      </c>
    </row>
    <row r="31" spans="2:18" x14ac:dyDescent="0.3">
      <c r="B31" t="s">
        <v>25</v>
      </c>
      <c r="D31" s="18">
        <f>SUM($D24:D24)</f>
        <v>2.4629574892282644</v>
      </c>
      <c r="E31" s="18">
        <f>SUM($D24:E24)</f>
        <v>5.7469008081992836</v>
      </c>
      <c r="F31" s="18">
        <f>SUM($D24:F24)</f>
        <v>9.7953168189933564</v>
      </c>
      <c r="G31" s="18">
        <f>SUM($D24:G24)</f>
        <v>14.604152215711029</v>
      </c>
      <c r="H31" s="18">
        <f>SUM($D24:H24)</f>
        <v>20.163566565206217</v>
      </c>
      <c r="I31" s="18">
        <f>SUM($D24:I24)</f>
        <v>26.466713338941354</v>
      </c>
      <c r="J31" s="18">
        <f>SUM($D24:J24)</f>
        <v>33.537054574515444</v>
      </c>
      <c r="K31" s="18">
        <f>SUM($D24:K24)</f>
        <v>41.399581428276008</v>
      </c>
      <c r="L31" s="18">
        <f>SUM($D24:L24)</f>
        <v>50.071578293488372</v>
      </c>
      <c r="M31" s="18">
        <f>SUM($D24:M24)</f>
        <v>59.554498058009919</v>
      </c>
      <c r="N31" s="18">
        <f>SUM($D24:N24)</f>
        <v>69.854573469129932</v>
      </c>
    </row>
    <row r="32" spans="2:18" x14ac:dyDescent="0.3">
      <c r="B32" t="s">
        <v>72</v>
      </c>
      <c r="D32" s="18">
        <f>D25</f>
        <v>5415.649562999999</v>
      </c>
      <c r="E32" s="18">
        <f t="shared" ref="E32:N32" si="4">E25</f>
        <v>7220.8660840000002</v>
      </c>
      <c r="F32" s="18">
        <f t="shared" si="4"/>
        <v>8901.8192541232111</v>
      </c>
      <c r="G32" s="18">
        <f t="shared" si="4"/>
        <v>10573.859852909281</v>
      </c>
      <c r="H32" s="18">
        <f t="shared" si="4"/>
        <v>12224.262913207427</v>
      </c>
      <c r="I32" s="18">
        <f t="shared" si="4"/>
        <v>13859.611552369708</v>
      </c>
      <c r="J32" s="18">
        <f t="shared" si="4"/>
        <v>15546.549459404403</v>
      </c>
      <c r="K32" s="18">
        <f t="shared" si="4"/>
        <v>17288.438921853358</v>
      </c>
      <c r="L32" s="18">
        <f t="shared" si="4"/>
        <v>19068.334000413623</v>
      </c>
      <c r="M32" s="18">
        <f t="shared" si="4"/>
        <v>20851.423746979475</v>
      </c>
      <c r="N32" s="18">
        <f t="shared" si="4"/>
        <v>22648.218307891948</v>
      </c>
    </row>
    <row r="34" spans="2:14" x14ac:dyDescent="0.3">
      <c r="B34" s="20" t="s">
        <v>77</v>
      </c>
    </row>
    <row r="35" spans="2:14" x14ac:dyDescent="0.3">
      <c r="B35" t="s">
        <v>6</v>
      </c>
      <c r="C35" t="s">
        <v>78</v>
      </c>
      <c r="D35" s="32"/>
      <c r="E35" s="32">
        <f t="shared" ref="E35:N35" si="5">E21*$E3*(1+CCHP_incentive_escalation)^(E9-$E$9)</f>
        <v>1230829.4461363633</v>
      </c>
      <c r="F35" s="32">
        <f t="shared" si="5"/>
        <v>1517355.5546800927</v>
      </c>
      <c r="G35" s="32">
        <f t="shared" si="5"/>
        <v>1802362.4749277178</v>
      </c>
      <c r="H35" s="32">
        <f t="shared" si="5"/>
        <v>2083681.1783876293</v>
      </c>
      <c r="I35" s="32">
        <f t="shared" si="5"/>
        <v>2362433.7873357455</v>
      </c>
      <c r="J35" s="32">
        <f t="shared" si="5"/>
        <v>2649980.0214893864</v>
      </c>
      <c r="K35" s="32">
        <f t="shared" si="5"/>
        <v>2946892.998043186</v>
      </c>
      <c r="L35" s="32">
        <f t="shared" si="5"/>
        <v>3250284.2046159585</v>
      </c>
      <c r="M35" s="32">
        <f t="shared" si="5"/>
        <v>3554219.9568715002</v>
      </c>
      <c r="N35" s="32">
        <f t="shared" si="5"/>
        <v>3860491.757027036</v>
      </c>
    </row>
    <row r="36" spans="2:14" x14ac:dyDescent="0.3">
      <c r="B36" t="s">
        <v>7</v>
      </c>
      <c r="C36" t="s">
        <v>78</v>
      </c>
      <c r="D36" s="32"/>
      <c r="E36" s="32">
        <f t="shared" ref="E36:N36" si="6">E22*$E4*(1+EV_incentive_escalation)^(E$9-$E$9)</f>
        <v>1516381.8776399998</v>
      </c>
      <c r="F36" s="32">
        <f t="shared" si="6"/>
        <v>1869382.0433658741</v>
      </c>
      <c r="G36" s="32">
        <f t="shared" si="6"/>
        <v>2220510.5691109491</v>
      </c>
      <c r="H36" s="32">
        <f t="shared" si="6"/>
        <v>2567095.2117735595</v>
      </c>
      <c r="I36" s="32">
        <f t="shared" si="6"/>
        <v>2910518.4259976386</v>
      </c>
      <c r="J36" s="32">
        <f t="shared" si="6"/>
        <v>3264775.3864749242</v>
      </c>
      <c r="K36" s="32">
        <f t="shared" si="6"/>
        <v>3630572.1735892049</v>
      </c>
      <c r="L36" s="32">
        <f t="shared" si="6"/>
        <v>4004350.1400868604</v>
      </c>
      <c r="M36" s="32">
        <f t="shared" si="6"/>
        <v>4378798.9868656881</v>
      </c>
      <c r="N36" s="32">
        <f t="shared" si="6"/>
        <v>4756125.8446573094</v>
      </c>
    </row>
    <row r="37" spans="2:14" x14ac:dyDescent="0.3">
      <c r="B37" t="s">
        <v>26</v>
      </c>
      <c r="C37" t="s">
        <v>78</v>
      </c>
      <c r="D37" s="32"/>
      <c r="E37" s="32">
        <f t="shared" ref="E37:N37" si="7">E23*$E5*(1+wx_incentive_escalation)^(E$9-$E$9)</f>
        <v>433251.96504000004</v>
      </c>
      <c r="F37" s="32">
        <f t="shared" si="7"/>
        <v>534109.15524739271</v>
      </c>
      <c r="G37" s="32">
        <f t="shared" si="7"/>
        <v>634431.59117455687</v>
      </c>
      <c r="H37" s="32">
        <f t="shared" si="7"/>
        <v>733455.77479244559</v>
      </c>
      <c r="I37" s="32">
        <f t="shared" si="7"/>
        <v>831576.69314218254</v>
      </c>
      <c r="J37" s="32">
        <f t="shared" si="7"/>
        <v>932792.96756426408</v>
      </c>
      <c r="K37" s="32">
        <f t="shared" si="7"/>
        <v>1037306.3353112016</v>
      </c>
      <c r="L37" s="32">
        <f t="shared" si="7"/>
        <v>1144100.0400248175</v>
      </c>
      <c r="M37" s="32">
        <f t="shared" si="7"/>
        <v>1251085.4248187684</v>
      </c>
      <c r="N37" s="32">
        <f t="shared" si="7"/>
        <v>1358893.098473517</v>
      </c>
    </row>
    <row r="38" spans="2:14" x14ac:dyDescent="0.3">
      <c r="B38" t="s">
        <v>25</v>
      </c>
      <c r="C38" t="s">
        <v>78</v>
      </c>
      <c r="D38" s="32"/>
      <c r="E38" s="32">
        <f t="shared" ref="E38:N38" si="8">E24*$E6*(1+custom_incentive_escalation)^(E$9-$E$9)</f>
        <v>259951.17902400001</v>
      </c>
      <c r="F38" s="32">
        <f t="shared" si="8"/>
        <v>368535.3171207009</v>
      </c>
      <c r="G38" s="32">
        <f t="shared" si="8"/>
        <v>503421.46759701078</v>
      </c>
      <c r="H38" s="32">
        <f t="shared" si="8"/>
        <v>669296.73089247616</v>
      </c>
      <c r="I38" s="32">
        <f t="shared" si="8"/>
        <v>872659.7001960054</v>
      </c>
      <c r="J38" s="32">
        <f t="shared" si="8"/>
        <v>1125707.9038559019</v>
      </c>
      <c r="K38" s="32">
        <f t="shared" si="8"/>
        <v>1439611.551685554</v>
      </c>
      <c r="L38" s="32">
        <f t="shared" si="8"/>
        <v>1825997.3110266628</v>
      </c>
      <c r="M38" s="32">
        <f t="shared" si="8"/>
        <v>2296259.3505060025</v>
      </c>
      <c r="N38" s="32">
        <f t="shared" si="8"/>
        <v>2868250.6886241511</v>
      </c>
    </row>
    <row r="39" spans="2:14" x14ac:dyDescent="0.3">
      <c r="B39" s="21" t="s">
        <v>72</v>
      </c>
      <c r="C39" s="21" t="s">
        <v>78</v>
      </c>
      <c r="D39" s="86"/>
      <c r="E39" s="86">
        <f>E25*'Tier II'!E17</f>
        <v>50546.062588000001</v>
      </c>
      <c r="F39" s="86">
        <f>F25*'Tier II'!F17</f>
        <v>115723.65030360174</v>
      </c>
      <c r="G39" s="86">
        <f>G25*'Tier II'!G17</f>
        <v>200903.33720527636</v>
      </c>
      <c r="H39" s="86">
        <f>H25*'Tier II'!H17</f>
        <v>268933.78409056342</v>
      </c>
      <c r="I39" s="86">
        <f>I25*'Tier II'!I17</f>
        <v>318771.06570450327</v>
      </c>
      <c r="J39" s="86">
        <f>J25*'Tier II'!J17</f>
        <v>373117.1870257057</v>
      </c>
      <c r="K39" s="86">
        <f>K25*'Tier II'!K17</f>
        <v>414922.53412448056</v>
      </c>
      <c r="L39" s="86">
        <f>L25*'Tier II'!L17</f>
        <v>457640.01600992691</v>
      </c>
      <c r="M39" s="86">
        <f>M25*'Tier II'!M17</f>
        <v>500434.16992750741</v>
      </c>
      <c r="N39" s="86">
        <f>N25*'Tier II'!N17</f>
        <v>543557.23938940675</v>
      </c>
    </row>
    <row r="40" spans="2:14" x14ac:dyDescent="0.3">
      <c r="B40" t="s">
        <v>8</v>
      </c>
      <c r="C40" t="s">
        <v>78</v>
      </c>
      <c r="D40" s="32"/>
      <c r="E40" s="32">
        <f>SUM(E35:E39)</f>
        <v>3490960.5304283639</v>
      </c>
      <c r="F40" s="32">
        <f t="shared" ref="F40:N40" si="9">SUM(F35:F39)</f>
        <v>4405105.7207176611</v>
      </c>
      <c r="G40" s="32">
        <f t="shared" si="9"/>
        <v>5361629.4400155116</v>
      </c>
      <c r="H40" s="32">
        <f t="shared" si="9"/>
        <v>6322462.6799366735</v>
      </c>
      <c r="I40" s="32">
        <f t="shared" si="9"/>
        <v>7295959.6723760748</v>
      </c>
      <c r="J40" s="32">
        <f t="shared" si="9"/>
        <v>8346373.4664101824</v>
      </c>
      <c r="K40" s="32">
        <f t="shared" si="9"/>
        <v>9469305.5927536264</v>
      </c>
      <c r="L40" s="32">
        <f t="shared" si="9"/>
        <v>10682371.711764226</v>
      </c>
      <c r="M40" s="32">
        <f t="shared" si="9"/>
        <v>11980797.888989467</v>
      </c>
      <c r="N40" s="32">
        <f t="shared" si="9"/>
        <v>13387318.62817142</v>
      </c>
    </row>
    <row r="41" spans="2:14" x14ac:dyDescent="0.3">
      <c r="D41" s="32"/>
      <c r="E41" s="32"/>
      <c r="F41" s="32"/>
      <c r="G41" s="32"/>
      <c r="H41" s="32"/>
      <c r="I41" s="32"/>
      <c r="J41" s="32"/>
      <c r="K41" s="32"/>
      <c r="L41" s="32"/>
      <c r="M41" s="32"/>
      <c r="N41" s="32"/>
    </row>
    <row r="42" spans="2:14" x14ac:dyDescent="0.3">
      <c r="B42" t="s">
        <v>578</v>
      </c>
      <c r="D42" s="32"/>
      <c r="E42" s="32">
        <f>Tier3_Overhead</f>
        <v>200000</v>
      </c>
      <c r="F42" s="32">
        <f t="shared" ref="F42:N42" si="10">E42*(1+overhead_escalation)</f>
        <v>206000</v>
      </c>
      <c r="G42" s="32">
        <f t="shared" si="10"/>
        <v>212180</v>
      </c>
      <c r="H42" s="32">
        <f t="shared" si="10"/>
        <v>218545.4</v>
      </c>
      <c r="I42" s="32">
        <f t="shared" si="10"/>
        <v>225101.76199999999</v>
      </c>
      <c r="J42" s="32">
        <f t="shared" si="10"/>
        <v>231854.81485999998</v>
      </c>
      <c r="K42" s="32">
        <f t="shared" si="10"/>
        <v>238810.4593058</v>
      </c>
      <c r="L42" s="32">
        <f t="shared" si="10"/>
        <v>245974.773084974</v>
      </c>
      <c r="M42" s="32">
        <f t="shared" si="10"/>
        <v>253354.01627752322</v>
      </c>
      <c r="N42" s="32">
        <f t="shared" si="10"/>
        <v>260954.63676584893</v>
      </c>
    </row>
    <row r="44" spans="2:14" x14ac:dyDescent="0.3">
      <c r="B44" s="20" t="s">
        <v>508</v>
      </c>
    </row>
    <row r="45" spans="2:14" s="143" customFormat="1" x14ac:dyDescent="0.3">
      <c r="B45" s="143" t="s">
        <v>6</v>
      </c>
      <c r="C45" s="143" t="s">
        <v>1</v>
      </c>
      <c r="D45" s="232"/>
      <c r="E45" s="232">
        <f>E28*$G3</f>
        <v>9154.2526636578423</v>
      </c>
      <c r="F45" s="232">
        <f t="shared" ref="F45:N45" si="11">F28*$G3</f>
        <v>15602.984647605035</v>
      </c>
      <c r="G45" s="232">
        <f t="shared" si="11"/>
        <v>23262.990572309409</v>
      </c>
      <c r="H45" s="232">
        <f>H28*$G3</f>
        <v>32118.595587213153</v>
      </c>
      <c r="I45" s="232">
        <f t="shared" si="11"/>
        <v>42158.893839893615</v>
      </c>
      <c r="J45" s="232">
        <f t="shared" si="11"/>
        <v>53421.258068693358</v>
      </c>
      <c r="K45" s="232">
        <f t="shared" si="11"/>
        <v>65945.496749032012</v>
      </c>
      <c r="L45" s="232">
        <f t="shared" si="11"/>
        <v>79759.142234149971</v>
      </c>
      <c r="M45" s="232">
        <f t="shared" si="11"/>
        <v>94864.508832747204</v>
      </c>
      <c r="N45" s="232">
        <f t="shared" si="11"/>
        <v>111271.52470356166</v>
      </c>
    </row>
    <row r="46" spans="2:14" s="143" customFormat="1" x14ac:dyDescent="0.3">
      <c r="B46" s="143" t="s">
        <v>7</v>
      </c>
      <c r="C46" s="143" t="s">
        <v>1</v>
      </c>
      <c r="D46" s="232"/>
      <c r="E46" s="232">
        <f>E29*$G4</f>
        <v>8189.0949770308653</v>
      </c>
      <c r="F46" s="232">
        <f t="shared" ref="F46:N46" si="12">F29*$G4</f>
        <v>13957.919657565608</v>
      </c>
      <c r="G46" s="232">
        <f t="shared" si="12"/>
        <v>20810.310382048658</v>
      </c>
      <c r="H46" s="232">
        <f t="shared" si="12"/>
        <v>28732.244941930079</v>
      </c>
      <c r="I46" s="232">
        <f t="shared" si="12"/>
        <v>37713.967318387149</v>
      </c>
      <c r="J46" s="232">
        <f t="shared" si="12"/>
        <v>47788.909940596095</v>
      </c>
      <c r="K46" s="232">
        <f t="shared" si="12"/>
        <v>58992.684168443906</v>
      </c>
      <c r="L46" s="232">
        <f t="shared" si="12"/>
        <v>67840.307411481976</v>
      </c>
      <c r="M46" s="232">
        <f t="shared" si="12"/>
        <v>76673.591396575954</v>
      </c>
      <c r="N46" s="232">
        <f t="shared" si="12"/>
        <v>85581.946404248083</v>
      </c>
    </row>
    <row r="47" spans="2:14" s="143" customFormat="1" x14ac:dyDescent="0.3">
      <c r="B47" s="143" t="s">
        <v>26</v>
      </c>
      <c r="C47" s="143" t="s">
        <v>1</v>
      </c>
      <c r="D47" s="232"/>
      <c r="E47" s="232">
        <f t="shared" ref="E47:N47" si="13">E30*$G5</f>
        <v>0</v>
      </c>
      <c r="F47" s="232">
        <f t="shared" si="13"/>
        <v>0</v>
      </c>
      <c r="G47" s="232">
        <f t="shared" si="13"/>
        <v>0</v>
      </c>
      <c r="H47" s="232">
        <f t="shared" si="13"/>
        <v>0</v>
      </c>
      <c r="I47" s="232">
        <f t="shared" si="13"/>
        <v>0</v>
      </c>
      <c r="J47" s="232">
        <f t="shared" si="13"/>
        <v>0</v>
      </c>
      <c r="K47" s="232">
        <f t="shared" si="13"/>
        <v>0</v>
      </c>
      <c r="L47" s="232">
        <f t="shared" si="13"/>
        <v>0</v>
      </c>
      <c r="M47" s="232">
        <f t="shared" si="13"/>
        <v>0</v>
      </c>
      <c r="N47" s="232">
        <f t="shared" si="13"/>
        <v>0</v>
      </c>
    </row>
    <row r="48" spans="2:14" s="143" customFormat="1" x14ac:dyDescent="0.3">
      <c r="B48" s="128" t="s">
        <v>25</v>
      </c>
      <c r="C48" s="128" t="s">
        <v>1</v>
      </c>
      <c r="D48" s="230"/>
      <c r="E48" s="230">
        <f t="shared" ref="E48:N48" si="14">E31*$G6</f>
        <v>1108.123160737794</v>
      </c>
      <c r="F48" s="230">
        <f t="shared" si="14"/>
        <v>1888.7427843551179</v>
      </c>
      <c r="G48" s="230">
        <f t="shared" si="14"/>
        <v>2815.9872343856164</v>
      </c>
      <c r="H48" s="230">
        <f t="shared" si="14"/>
        <v>3887.9590686696279</v>
      </c>
      <c r="I48" s="230">
        <f t="shared" si="14"/>
        <v>5103.3381327280104</v>
      </c>
      <c r="J48" s="230">
        <f t="shared" si="14"/>
        <v>6466.6484001126428</v>
      </c>
      <c r="K48" s="230">
        <f t="shared" si="14"/>
        <v>7982.7086905816077</v>
      </c>
      <c r="L48" s="230">
        <f t="shared" si="14"/>
        <v>9654.8517981287205</v>
      </c>
      <c r="M48" s="230">
        <f t="shared" si="14"/>
        <v>11483.35787004353</v>
      </c>
      <c r="N48" s="230">
        <f t="shared" si="14"/>
        <v>13469.428710891103</v>
      </c>
    </row>
    <row r="49" spans="2:16" s="143" customFormat="1" x14ac:dyDescent="0.3">
      <c r="B49" s="228" t="s">
        <v>72</v>
      </c>
      <c r="C49" s="228" t="s">
        <v>1</v>
      </c>
      <c r="D49" s="253"/>
      <c r="E49" s="253">
        <f t="shared" ref="E49:N49" si="15">E32*$G7</f>
        <v>0</v>
      </c>
      <c r="F49" s="253">
        <f t="shared" si="15"/>
        <v>0</v>
      </c>
      <c r="G49" s="253">
        <f t="shared" si="15"/>
        <v>0</v>
      </c>
      <c r="H49" s="253">
        <f t="shared" si="15"/>
        <v>0</v>
      </c>
      <c r="I49" s="253">
        <f t="shared" si="15"/>
        <v>0</v>
      </c>
      <c r="J49" s="253">
        <f t="shared" si="15"/>
        <v>0</v>
      </c>
      <c r="K49" s="253">
        <f t="shared" si="15"/>
        <v>0</v>
      </c>
      <c r="L49" s="253">
        <f t="shared" si="15"/>
        <v>0</v>
      </c>
      <c r="M49" s="253">
        <f t="shared" si="15"/>
        <v>0</v>
      </c>
      <c r="N49" s="253">
        <f t="shared" si="15"/>
        <v>0</v>
      </c>
    </row>
    <row r="50" spans="2:16" s="16" customFormat="1" x14ac:dyDescent="0.3">
      <c r="B50" s="16" t="s">
        <v>8</v>
      </c>
      <c r="C50" s="16" t="s">
        <v>1</v>
      </c>
      <c r="E50" s="16">
        <f t="shared" ref="E50:N50" si="16">SUM(E45:E49)</f>
        <v>18451.470801426498</v>
      </c>
      <c r="F50" s="16">
        <f t="shared" si="16"/>
        <v>31449.647089525763</v>
      </c>
      <c r="G50" s="16">
        <f t="shared" si="16"/>
        <v>46889.288188743689</v>
      </c>
      <c r="H50" s="16">
        <f t="shared" si="16"/>
        <v>64738.799597812853</v>
      </c>
      <c r="I50" s="16">
        <f t="shared" si="16"/>
        <v>84976.199291008772</v>
      </c>
      <c r="J50" s="16">
        <f t="shared" si="16"/>
        <v>107676.81640940209</v>
      </c>
      <c r="K50" s="16">
        <f t="shared" si="16"/>
        <v>132920.88960805754</v>
      </c>
      <c r="L50" s="16">
        <f t="shared" si="16"/>
        <v>157254.30144376066</v>
      </c>
      <c r="M50" s="16">
        <f t="shared" si="16"/>
        <v>183021.45809936666</v>
      </c>
      <c r="N50" s="16">
        <f t="shared" si="16"/>
        <v>210322.89981870085</v>
      </c>
    </row>
    <row r="52" spans="2:16" x14ac:dyDescent="0.3">
      <c r="B52" s="20" t="s">
        <v>170</v>
      </c>
    </row>
    <row r="53" spans="2:16" x14ac:dyDescent="0.3">
      <c r="B53" t="s">
        <v>6</v>
      </c>
      <c r="C53" t="s">
        <v>1</v>
      </c>
      <c r="D53" s="32"/>
      <c r="E53" s="32">
        <f>E45*Retail_Rate_yr1*(1+Retail_Rate_escalation)^('Tier III'!E$9-base_year)</f>
        <v>1641357.5025938512</v>
      </c>
      <c r="F53" s="32">
        <f>F45*Retail_Rate_yr1*(1+Retail_Rate_escalation)^('Tier III'!F$9-base_year)</f>
        <v>2859162.6805565259</v>
      </c>
      <c r="G53" s="32">
        <f>G45*Retail_Rate_yr1*(1+Retail_Rate_escalation)^('Tier III'!G$9-base_year)</f>
        <v>4356599.3850755943</v>
      </c>
      <c r="H53" s="32">
        <f>H45*Retail_Rate_yr1*(1+Retail_Rate_escalation)^('Tier III'!H$9-base_year)</f>
        <v>6147372.4164352836</v>
      </c>
      <c r="I53" s="32">
        <f>I45*Retail_Rate_yr1*(1+Retail_Rate_escalation)^('Tier III'!I$9-base_year)</f>
        <v>8246564.8799540363</v>
      </c>
      <c r="J53" s="32">
        <f>J45*Retail_Rate_yr1*(1+Retail_Rate_escalation)^('Tier III'!J$9-base_year)</f>
        <v>10679449.833195468</v>
      </c>
      <c r="K53" s="32">
        <f>K45*Retail_Rate_yr1*(1+Retail_Rate_escalation)^('Tier III'!K$9-base_year)</f>
        <v>13473201.605708431</v>
      </c>
      <c r="L53" s="32">
        <f>L45*Retail_Rate_yr1*(1+Retail_Rate_escalation)^('Tier III'!L$9-base_year)</f>
        <v>16653941.503686028</v>
      </c>
      <c r="M53" s="32">
        <f>M45*Retail_Rate_yr1*(1+Retail_Rate_escalation)^('Tier III'!M$9-base_year)</f>
        <v>20243761.796179865</v>
      </c>
      <c r="N53" s="32">
        <f>N45*Retail_Rate_yr1*(1+Retail_Rate_escalation)^('Tier III'!N$9-base_year)</f>
        <v>24267352.062644988</v>
      </c>
    </row>
    <row r="54" spans="2:16" x14ac:dyDescent="0.3">
      <c r="B54" t="s">
        <v>7</v>
      </c>
      <c r="C54" t="s">
        <v>1</v>
      </c>
      <c r="D54" s="32"/>
      <c r="E54" s="32">
        <f>E46*Retail_Rate_yr1*(1+Retail_Rate_escalation)^('Tier III'!E$9-base_year)</f>
        <v>1468304.7293816342</v>
      </c>
      <c r="F54" s="32">
        <f>F46*Retail_Rate_yr1*(1+Retail_Rate_escalation)^('Tier III'!F$9-base_year)</f>
        <v>2557713.404482747</v>
      </c>
      <c r="G54" s="32">
        <f>G46*Retail_Rate_yr1*(1+Retail_Rate_escalation)^('Tier III'!G$9-base_year)</f>
        <v>3897271.2958747093</v>
      </c>
      <c r="H54" s="32">
        <f>H46*Retail_Rate_yr1*(1+Retail_Rate_escalation)^('Tier III'!H$9-base_year)</f>
        <v>5499238.269577424</v>
      </c>
      <c r="I54" s="32">
        <f>I46*Retail_Rate_yr1*(1+Retail_Rate_escalation)^('Tier III'!I$9-base_year)</f>
        <v>7377107.1782069933</v>
      </c>
      <c r="J54" s="32">
        <f>J46*Retail_Rate_yr1*(1+Retail_Rate_escalation)^('Tier III'!J$9-base_year)</f>
        <v>9553486.4723221436</v>
      </c>
      <c r="K54" s="32">
        <f>K46*Retail_Rate_yr1*(1+Retail_Rate_escalation)^('Tier III'!K$9-base_year)</f>
        <v>12052685.418204779</v>
      </c>
      <c r="L54" s="32">
        <f>L46*Retail_Rate_yr1*(1+Retail_Rate_escalation)^('Tier III'!L$9-base_year)</f>
        <v>14165254.033275642</v>
      </c>
      <c r="M54" s="32">
        <f>M46*Retail_Rate_yr1*(1+Retail_Rate_escalation)^('Tier III'!M$9-base_year)</f>
        <v>16361882.219054967</v>
      </c>
      <c r="N54" s="32">
        <f>N46*Retail_Rate_yr1*(1+Retail_Rate_escalation)^('Tier III'!N$9-base_year)</f>
        <v>18664678.399358947</v>
      </c>
    </row>
    <row r="55" spans="2:16" x14ac:dyDescent="0.3">
      <c r="B55" t="s">
        <v>26</v>
      </c>
      <c r="C55" t="s">
        <v>1</v>
      </c>
      <c r="D55" s="32"/>
      <c r="E55" s="32">
        <f>E47*Retail_Rate_yr1*(1+Retail_Rate_escalation)^('Tier III'!E$9-base_year)</f>
        <v>0</v>
      </c>
      <c r="F55" s="32">
        <f>F47*Retail_Rate_yr1*(1+Retail_Rate_escalation)^('Tier III'!F$9-base_year)</f>
        <v>0</v>
      </c>
      <c r="G55" s="32">
        <f>G47*Retail_Rate_yr1*(1+Retail_Rate_escalation)^('Tier III'!G$9-base_year)</f>
        <v>0</v>
      </c>
      <c r="H55" s="32">
        <f>H47*Retail_Rate_yr1*(1+Retail_Rate_escalation)^('Tier III'!H$9-base_year)</f>
        <v>0</v>
      </c>
      <c r="I55" s="32">
        <f>I47*Retail_Rate_yr1*(1+Retail_Rate_escalation)^('Tier III'!I$9-base_year)</f>
        <v>0</v>
      </c>
      <c r="J55" s="32">
        <f>J47*Retail_Rate_yr1*(1+Retail_Rate_escalation)^('Tier III'!J$9-base_year)</f>
        <v>0</v>
      </c>
      <c r="K55" s="32">
        <f>K47*Retail_Rate_yr1*(1+Retail_Rate_escalation)^('Tier III'!K$9-base_year)</f>
        <v>0</v>
      </c>
      <c r="L55" s="32">
        <f>L47*Retail_Rate_yr1*(1+Retail_Rate_escalation)^('Tier III'!L$9-base_year)</f>
        <v>0</v>
      </c>
      <c r="M55" s="32">
        <f>M47*Retail_Rate_yr1*(1+Retail_Rate_escalation)^('Tier III'!M$9-base_year)</f>
        <v>0</v>
      </c>
      <c r="N55" s="32">
        <f>N47*Retail_Rate_yr1*(1+Retail_Rate_escalation)^('Tier III'!N$9-base_year)</f>
        <v>0</v>
      </c>
    </row>
    <row r="56" spans="2:16" x14ac:dyDescent="0.3">
      <c r="B56" t="s">
        <v>25</v>
      </c>
      <c r="C56" t="s">
        <v>1</v>
      </c>
      <c r="D56" s="32"/>
      <c r="E56" s="32">
        <f>E48*Retail_Rate_yr1*(1+Retail_Rate_escalation)^('Tier III'!E$9-base_year)</f>
        <v>198686.48272028647</v>
      </c>
      <c r="F56" s="32">
        <f>F48*Retail_Rate_yr1*(1+Retail_Rate_escalation)^('Tier III'!F$9-base_year)</f>
        <v>346101.91602203989</v>
      </c>
      <c r="G56" s="32">
        <f>G48*Retail_Rate_yr1*(1+Retail_Rate_escalation)^('Tier III'!G$9-base_year)</f>
        <v>527366.77236624074</v>
      </c>
      <c r="H56" s="32">
        <f>H48*Retail_Rate_yr1*(1+Retail_Rate_escalation)^('Tier III'!H$9-base_year)</f>
        <v>744140.01913845481</v>
      </c>
      <c r="I56" s="32">
        <f>I48*Retail_Rate_yr1*(1+Retail_Rate_escalation)^('Tier III'!I$9-base_year)</f>
        <v>998247.46768050455</v>
      </c>
      <c r="J56" s="32">
        <f>J48*Retail_Rate_yr1*(1+Retail_Rate_escalation)^('Tier III'!J$9-base_year)</f>
        <v>1292748.4240283796</v>
      </c>
      <c r="K56" s="32">
        <f>K48*Retail_Rate_yr1*(1+Retail_Rate_escalation)^('Tier III'!K$9-base_year)</f>
        <v>1630932.3433737799</v>
      </c>
      <c r="L56" s="32">
        <f>L48*Retail_Rate_yr1*(1+Retail_Rate_escalation)^('Tier III'!L$9-base_year)</f>
        <v>2015961.2123304473</v>
      </c>
      <c r="M56" s="32">
        <f>M48*Retail_Rate_yr1*(1+Retail_Rate_escalation)^('Tier III'!M$9-base_year)</f>
        <v>2450509.3021806832</v>
      </c>
      <c r="N56" s="32">
        <f>N48*Retail_Rate_yr1*(1+Retail_Rate_escalation)^('Tier III'!N$9-base_year)</f>
        <v>2937565.2888796106</v>
      </c>
    </row>
    <row r="57" spans="2:16" x14ac:dyDescent="0.3">
      <c r="B57" t="s">
        <v>72</v>
      </c>
      <c r="C57" t="s">
        <v>1</v>
      </c>
      <c r="D57" s="32"/>
      <c r="E57" s="32">
        <f>E49*Retail_Rate_yr1*(1+Retail_Rate_escalation)^('Tier III'!E$9-base_year)</f>
        <v>0</v>
      </c>
      <c r="F57" s="32">
        <f>F49*Retail_Rate_yr1*(1+Retail_Rate_escalation)^('Tier III'!F$9-base_year)</f>
        <v>0</v>
      </c>
      <c r="G57" s="32">
        <f>G49*Retail_Rate_yr1*(1+Retail_Rate_escalation)^('Tier III'!G$9-base_year)</f>
        <v>0</v>
      </c>
      <c r="H57" s="32">
        <f>H49*Retail_Rate_yr1*(1+Retail_Rate_escalation)^('Tier III'!H$9-base_year)</f>
        <v>0</v>
      </c>
      <c r="I57" s="32">
        <f>I49*Retail_Rate_yr1*(1+Retail_Rate_escalation)^('Tier III'!I$9-base_year)</f>
        <v>0</v>
      </c>
      <c r="J57" s="32">
        <f>J49*Retail_Rate_yr1*(1+Retail_Rate_escalation)^('Tier III'!J$9-base_year)</f>
        <v>0</v>
      </c>
      <c r="K57" s="32">
        <f>K49*Retail_Rate_yr1*(1+Retail_Rate_escalation)^('Tier III'!K$9-base_year)</f>
        <v>0</v>
      </c>
      <c r="L57" s="32">
        <f>L49*Retail_Rate_yr1*(1+Retail_Rate_escalation)^('Tier III'!L$9-base_year)</f>
        <v>0</v>
      </c>
      <c r="M57" s="32">
        <f>M49*Retail_Rate_yr1*(1+Retail_Rate_escalation)^('Tier III'!M$9-base_year)</f>
        <v>0</v>
      </c>
      <c r="N57" s="32">
        <f>N49*Retail_Rate_yr1*(1+Retail_Rate_escalation)^('Tier III'!N$9-base_year)</f>
        <v>0</v>
      </c>
    </row>
    <row r="58" spans="2:16" x14ac:dyDescent="0.3">
      <c r="B58" s="99" t="s">
        <v>8</v>
      </c>
      <c r="C58" s="99" t="s">
        <v>1</v>
      </c>
      <c r="D58" s="139"/>
      <c r="E58" s="139">
        <f t="shared" ref="E58:N58" si="17">SUM(E53:E57)</f>
        <v>3308348.7146957722</v>
      </c>
      <c r="F58" s="139">
        <f t="shared" si="17"/>
        <v>5762978.0010613129</v>
      </c>
      <c r="G58" s="139">
        <f t="shared" si="17"/>
        <v>8781237.4533165451</v>
      </c>
      <c r="H58" s="139">
        <f t="shared" si="17"/>
        <v>12390750.705151163</v>
      </c>
      <c r="I58" s="139">
        <f t="shared" si="17"/>
        <v>16621919.525841534</v>
      </c>
      <c r="J58" s="139">
        <f t="shared" si="17"/>
        <v>21525684.729545992</v>
      </c>
      <c r="K58" s="139">
        <f t="shared" si="17"/>
        <v>27156819.367286991</v>
      </c>
      <c r="L58" s="139">
        <f t="shared" si="17"/>
        <v>32835156.749292113</v>
      </c>
      <c r="M58" s="139">
        <f t="shared" si="17"/>
        <v>39056153.317415513</v>
      </c>
      <c r="N58" s="139">
        <f t="shared" si="17"/>
        <v>45869595.750883542</v>
      </c>
      <c r="P58" s="147">
        <f>NPV(discount_rate,E58:N58)</f>
        <v>140425907.85311586</v>
      </c>
    </row>
    <row r="60" spans="2:16" x14ac:dyDescent="0.3">
      <c r="B60" s="20" t="s">
        <v>171</v>
      </c>
    </row>
    <row r="61" spans="2:16" x14ac:dyDescent="0.3">
      <c r="B61" t="s">
        <v>6</v>
      </c>
      <c r="C61" t="s">
        <v>78</v>
      </c>
      <c r="D61" s="32">
        <f>D45*'price forecasts'!E33</f>
        <v>0</v>
      </c>
      <c r="E61" s="32">
        <f>E45*'price forecasts'!E33</f>
        <v>473823.94810397032</v>
      </c>
      <c r="F61" s="32">
        <f>F45*'price forecasts'!F33</f>
        <v>793413.86322862934</v>
      </c>
      <c r="G61" s="32">
        <f>G45*'price forecasts'!G33</f>
        <v>1193773.4628229614</v>
      </c>
      <c r="H61" s="32">
        <f>H45*'price forecasts'!H33</f>
        <v>1693590.9350107552</v>
      </c>
      <c r="I61" s="32">
        <f>I45*'price forecasts'!I33</f>
        <v>2227067.1578492401</v>
      </c>
      <c r="J61" s="32">
        <f>J45*'price forecasts'!J33</f>
        <v>2806573.9522496616</v>
      </c>
      <c r="K61" s="32">
        <f>K45*'price forecasts'!K33</f>
        <v>3711670.0312217143</v>
      </c>
      <c r="L61" s="32">
        <f>L45*'price forecasts'!L33</f>
        <v>4398384.4649674594</v>
      </c>
      <c r="M61" s="32">
        <f>M45*'price forecasts'!M33</f>
        <v>5346746.9482219564</v>
      </c>
      <c r="N61" s="32">
        <f>N45*'price forecasts'!N33</f>
        <v>6542395.0930911377</v>
      </c>
    </row>
    <row r="62" spans="2:16" x14ac:dyDescent="0.3">
      <c r="B62" t="s">
        <v>7</v>
      </c>
      <c r="C62" t="s">
        <v>78</v>
      </c>
      <c r="D62" s="32">
        <f>D54*Retail_Rate_yr1</f>
        <v>0</v>
      </c>
      <c r="E62" s="32">
        <f>E46*'price forecasts'!E34</f>
        <v>395579.65755612182</v>
      </c>
      <c r="F62" s="32">
        <f>F46*'price forecasts'!F34</f>
        <v>661796.23242199759</v>
      </c>
      <c r="G62" s="32">
        <f>G46*'price forecasts'!G34</f>
        <v>994989.64816186402</v>
      </c>
      <c r="H62" s="32">
        <f>H46*'price forecasts'!H34</f>
        <v>1411130.4952240838</v>
      </c>
      <c r="I62" s="32">
        <f>I46*'price forecasts'!I34</f>
        <v>1856303.5501916516</v>
      </c>
      <c r="J62" s="32">
        <f>J46*'price forecasts'!J34</f>
        <v>2339848.6548585002</v>
      </c>
      <c r="K62" s="32">
        <f>K46*'price forecasts'!K34</f>
        <v>3093411.8608694831</v>
      </c>
      <c r="L62" s="32">
        <f>L46*'price forecasts'!L34</f>
        <v>3487207.5159299518</v>
      </c>
      <c r="M62" s="32">
        <f>M46*'price forecasts'!M34</f>
        <v>4028842.7116338783</v>
      </c>
      <c r="N62" s="32">
        <f>N46*'price forecasts'!N34</f>
        <v>4691022.8285551481</v>
      </c>
    </row>
    <row r="63" spans="2:16" x14ac:dyDescent="0.3">
      <c r="B63" t="s">
        <v>26</v>
      </c>
      <c r="C63" t="s">
        <v>78</v>
      </c>
      <c r="D63" s="32">
        <f>D55*Retail_Rate_yr1</f>
        <v>0</v>
      </c>
      <c r="E63" s="32">
        <f>E47*'price forecasts'!E35</f>
        <v>0</v>
      </c>
      <c r="F63" s="32">
        <f>F47*'price forecasts'!F35</f>
        <v>0</v>
      </c>
      <c r="G63" s="32">
        <f>G47*'price forecasts'!G35</f>
        <v>0</v>
      </c>
      <c r="H63" s="32">
        <f>H47*'price forecasts'!H35</f>
        <v>0</v>
      </c>
      <c r="I63" s="32">
        <f>I47*'price forecasts'!I35</f>
        <v>0</v>
      </c>
      <c r="J63" s="32">
        <f>J47*'price forecasts'!J35</f>
        <v>0</v>
      </c>
      <c r="K63" s="32">
        <f>K47*'price forecasts'!K35</f>
        <v>0</v>
      </c>
      <c r="L63" s="32">
        <f>L47*'price forecasts'!L35</f>
        <v>0</v>
      </c>
      <c r="M63" s="32">
        <f>M47*'price forecasts'!M35</f>
        <v>0</v>
      </c>
      <c r="N63" s="32">
        <f>N47*'price forecasts'!N35</f>
        <v>0</v>
      </c>
    </row>
    <row r="64" spans="2:16" x14ac:dyDescent="0.3">
      <c r="B64" t="s">
        <v>25</v>
      </c>
      <c r="C64" t="s">
        <v>78</v>
      </c>
      <c r="D64" s="32">
        <f>D56*Retail_Rate_yr1</f>
        <v>0</v>
      </c>
      <c r="E64" s="32">
        <f>E48*'price forecasts'!E36</f>
        <v>54964.052425994931</v>
      </c>
      <c r="F64" s="32">
        <f>F48*'price forecasts'!F36</f>
        <v>91986.203987278321</v>
      </c>
      <c r="G64" s="32">
        <f>G48*'price forecasts'!G36</f>
        <v>138339.2349571934</v>
      </c>
      <c r="H64" s="32">
        <f>H48*'price forecasts'!H36</f>
        <v>196222.15495163234</v>
      </c>
      <c r="I64" s="32">
        <f>I48*'price forecasts'!I36</f>
        <v>258088.31627527624</v>
      </c>
      <c r="J64" s="32">
        <f>J48*'price forecasts'!J36</f>
        <v>325289.22189425677</v>
      </c>
      <c r="K64" s="32">
        <f>K48*'price forecasts'!K36</f>
        <v>430106.1199653087</v>
      </c>
      <c r="L64" s="32">
        <f>L48*'price forecasts'!L36</f>
        <v>509840.62410991779</v>
      </c>
      <c r="M64" s="32">
        <f>M48*'price forecasts'!M36</f>
        <v>619832.43634490937</v>
      </c>
      <c r="N64" s="32">
        <f>N48*'price forecasts'!N36</f>
        <v>758423.38244583283</v>
      </c>
    </row>
    <row r="65" spans="2:16" x14ac:dyDescent="0.3">
      <c r="B65" t="s">
        <v>72</v>
      </c>
      <c r="C65" s="21" t="s">
        <v>78</v>
      </c>
      <c r="D65" s="32">
        <f>D57*Retail_Rate_yr1</f>
        <v>0</v>
      </c>
      <c r="E65" s="32">
        <f>E57*Retail_Rate_yr1*(1+Retail_Rate_escalation)^('Tier III'!E$9-'Tier III'!$D$9)</f>
        <v>0</v>
      </c>
      <c r="F65" s="32">
        <f>F57*Retail_Rate_yr1*(1+Retail_Rate_escalation)^('Tier III'!F$9-'Tier III'!$D$9)</f>
        <v>0</v>
      </c>
      <c r="G65" s="32">
        <f>G57*Retail_Rate_yr1*(1+Retail_Rate_escalation)^('Tier III'!G$9-'Tier III'!$D$9)</f>
        <v>0</v>
      </c>
      <c r="H65" s="32">
        <f>H57*Retail_Rate_yr1*(1+Retail_Rate_escalation)^('Tier III'!H$9-'Tier III'!$D$9)</f>
        <v>0</v>
      </c>
      <c r="I65" s="32">
        <f>I57*Retail_Rate_yr1*(1+Retail_Rate_escalation)^('Tier III'!I$9-'Tier III'!$D$9)</f>
        <v>0</v>
      </c>
      <c r="J65" s="32">
        <f>J57*Retail_Rate_yr1*(1+Retail_Rate_escalation)^('Tier III'!J$9-'Tier III'!$D$9)</f>
        <v>0</v>
      </c>
      <c r="K65" s="32">
        <f>K57*Retail_Rate_yr1*(1+Retail_Rate_escalation)^('Tier III'!K$9-'Tier III'!$D$9)</f>
        <v>0</v>
      </c>
      <c r="L65" s="32">
        <f>L57*Retail_Rate_yr1*(1+Retail_Rate_escalation)^('Tier III'!L$9-'Tier III'!$D$9)</f>
        <v>0</v>
      </c>
      <c r="M65" s="32">
        <f>M57*Retail_Rate_yr1*(1+Retail_Rate_escalation)^('Tier III'!M$9-'Tier III'!$D$9)</f>
        <v>0</v>
      </c>
      <c r="N65" s="32">
        <f>N57*Retail_Rate_yr1*(1+Retail_Rate_escalation)^('Tier III'!N$9-'Tier III'!$D$9)</f>
        <v>0</v>
      </c>
    </row>
    <row r="66" spans="2:16" x14ac:dyDescent="0.3">
      <c r="B66" s="99" t="s">
        <v>8</v>
      </c>
      <c r="C66" t="s">
        <v>78</v>
      </c>
      <c r="D66" s="139"/>
      <c r="E66" s="139">
        <f t="shared" ref="E66:N66" si="18">SUM(E61:E65)</f>
        <v>924367.65808608697</v>
      </c>
      <c r="F66" s="139">
        <f t="shared" si="18"/>
        <v>1547196.2996379051</v>
      </c>
      <c r="G66" s="139">
        <f t="shared" si="18"/>
        <v>2327102.345942019</v>
      </c>
      <c r="H66" s="139">
        <f t="shared" si="18"/>
        <v>3300943.5851864717</v>
      </c>
      <c r="I66" s="139">
        <f t="shared" si="18"/>
        <v>4341459.0243161675</v>
      </c>
      <c r="J66" s="139">
        <f t="shared" si="18"/>
        <v>5471711.8290024186</v>
      </c>
      <c r="K66" s="139">
        <f t="shared" si="18"/>
        <v>7235188.0120565062</v>
      </c>
      <c r="L66" s="139">
        <f t="shared" si="18"/>
        <v>8395432.60500733</v>
      </c>
      <c r="M66" s="139">
        <f t="shared" si="18"/>
        <v>9995422.0962007437</v>
      </c>
      <c r="N66" s="139">
        <f t="shared" si="18"/>
        <v>11991841.304092119</v>
      </c>
    </row>
    <row r="68" spans="2:16" x14ac:dyDescent="0.3">
      <c r="B68" s="20" t="s">
        <v>195</v>
      </c>
    </row>
    <row r="69" spans="2:16" x14ac:dyDescent="0.3">
      <c r="B69" t="s">
        <v>6</v>
      </c>
      <c r="C69" t="s">
        <v>78</v>
      </c>
      <c r="D69" s="85">
        <f>D61+D35</f>
        <v>0</v>
      </c>
      <c r="E69" s="85">
        <f>E61+E35</f>
        <v>1704653.3942403337</v>
      </c>
      <c r="F69" s="85">
        <f t="shared" ref="F69:N69" si="19">F61+F35</f>
        <v>2310769.4179087221</v>
      </c>
      <c r="G69" s="85">
        <f t="shared" si="19"/>
        <v>2996135.9377506794</v>
      </c>
      <c r="H69" s="85">
        <f t="shared" si="19"/>
        <v>3777272.1133983843</v>
      </c>
      <c r="I69" s="85">
        <f t="shared" si="19"/>
        <v>4589500.9451849852</v>
      </c>
      <c r="J69" s="85">
        <f t="shared" si="19"/>
        <v>5456553.9737390485</v>
      </c>
      <c r="K69" s="85">
        <f t="shared" si="19"/>
        <v>6658563.0292649008</v>
      </c>
      <c r="L69" s="85">
        <f t="shared" si="19"/>
        <v>7648668.6695834175</v>
      </c>
      <c r="M69" s="85">
        <f t="shared" si="19"/>
        <v>8900966.9050934575</v>
      </c>
      <c r="N69" s="85">
        <f t="shared" si="19"/>
        <v>10402886.850118173</v>
      </c>
    </row>
    <row r="70" spans="2:16" x14ac:dyDescent="0.3">
      <c r="B70" t="s">
        <v>7</v>
      </c>
      <c r="C70" t="s">
        <v>78</v>
      </c>
      <c r="D70" s="85">
        <f t="shared" ref="D70:N70" si="20">D62+D36</f>
        <v>0</v>
      </c>
      <c r="E70" s="85">
        <f>E62+E36</f>
        <v>1911961.5351961218</v>
      </c>
      <c r="F70" s="85">
        <f t="shared" si="20"/>
        <v>2531178.2757878718</v>
      </c>
      <c r="G70" s="85">
        <f t="shared" si="20"/>
        <v>3215500.217272813</v>
      </c>
      <c r="H70" s="85">
        <f t="shared" si="20"/>
        <v>3978225.7069976432</v>
      </c>
      <c r="I70" s="85">
        <f t="shared" si="20"/>
        <v>4766821.9761892902</v>
      </c>
      <c r="J70" s="85">
        <f t="shared" si="20"/>
        <v>5604624.0413334239</v>
      </c>
      <c r="K70" s="85">
        <f t="shared" si="20"/>
        <v>6723984.0344586875</v>
      </c>
      <c r="L70" s="85">
        <f t="shared" si="20"/>
        <v>7491557.6560168117</v>
      </c>
      <c r="M70" s="85">
        <f t="shared" si="20"/>
        <v>8407641.6984995659</v>
      </c>
      <c r="N70" s="85">
        <f t="shared" si="20"/>
        <v>9447148.6732124574</v>
      </c>
    </row>
    <row r="71" spans="2:16" x14ac:dyDescent="0.3">
      <c r="B71" t="s">
        <v>26</v>
      </c>
      <c r="C71" t="s">
        <v>78</v>
      </c>
      <c r="D71" s="85">
        <f t="shared" ref="D71:N71" si="21">D63+D37</f>
        <v>0</v>
      </c>
      <c r="E71" s="85">
        <f t="shared" si="21"/>
        <v>433251.96504000004</v>
      </c>
      <c r="F71" s="85">
        <f t="shared" si="21"/>
        <v>534109.15524739271</v>
      </c>
      <c r="G71" s="85">
        <f t="shared" si="21"/>
        <v>634431.59117455687</v>
      </c>
      <c r="H71" s="85">
        <f t="shared" si="21"/>
        <v>733455.77479244559</v>
      </c>
      <c r="I71" s="85">
        <f t="shared" si="21"/>
        <v>831576.69314218254</v>
      </c>
      <c r="J71" s="85">
        <f t="shared" si="21"/>
        <v>932792.96756426408</v>
      </c>
      <c r="K71" s="85">
        <f t="shared" si="21"/>
        <v>1037306.3353112016</v>
      </c>
      <c r="L71" s="85">
        <f t="shared" si="21"/>
        <v>1144100.0400248175</v>
      </c>
      <c r="M71" s="85">
        <f t="shared" si="21"/>
        <v>1251085.4248187684</v>
      </c>
      <c r="N71" s="85">
        <f t="shared" si="21"/>
        <v>1358893.098473517</v>
      </c>
    </row>
    <row r="72" spans="2:16" x14ac:dyDescent="0.3">
      <c r="B72" t="s">
        <v>25</v>
      </c>
      <c r="C72" t="s">
        <v>78</v>
      </c>
      <c r="D72" s="85">
        <f t="shared" ref="D72:N72" si="22">D64+D38</f>
        <v>0</v>
      </c>
      <c r="E72" s="85">
        <f t="shared" si="22"/>
        <v>314915.23144999496</v>
      </c>
      <c r="F72" s="85">
        <f t="shared" si="22"/>
        <v>460521.52110797924</v>
      </c>
      <c r="G72" s="85">
        <f t="shared" si="22"/>
        <v>641760.70255420415</v>
      </c>
      <c r="H72" s="85">
        <f t="shared" si="22"/>
        <v>865518.88584410853</v>
      </c>
      <c r="I72" s="85">
        <f t="shared" si="22"/>
        <v>1130748.0164712816</v>
      </c>
      <c r="J72" s="85">
        <f t="shared" si="22"/>
        <v>1450997.1257501587</v>
      </c>
      <c r="K72" s="85">
        <f t="shared" si="22"/>
        <v>1869717.6716508628</v>
      </c>
      <c r="L72" s="85">
        <f t="shared" si="22"/>
        <v>2335837.9351365808</v>
      </c>
      <c r="M72" s="85">
        <f t="shared" si="22"/>
        <v>2916091.786850912</v>
      </c>
      <c r="N72" s="85">
        <f t="shared" si="22"/>
        <v>3626674.0710699838</v>
      </c>
    </row>
    <row r="73" spans="2:16" x14ac:dyDescent="0.3">
      <c r="B73" t="s">
        <v>72</v>
      </c>
      <c r="C73" s="21" t="s">
        <v>78</v>
      </c>
      <c r="D73" s="86">
        <f t="shared" ref="D73:N73" si="23">D65+D39</f>
        <v>0</v>
      </c>
      <c r="E73" s="86">
        <f t="shared" si="23"/>
        <v>50546.062588000001</v>
      </c>
      <c r="F73" s="86">
        <f t="shared" si="23"/>
        <v>115723.65030360174</v>
      </c>
      <c r="G73" s="86">
        <f t="shared" si="23"/>
        <v>200903.33720527636</v>
      </c>
      <c r="H73" s="86">
        <f t="shared" si="23"/>
        <v>268933.78409056342</v>
      </c>
      <c r="I73" s="86">
        <f t="shared" si="23"/>
        <v>318771.06570450327</v>
      </c>
      <c r="J73" s="86">
        <f t="shared" si="23"/>
        <v>373117.1870257057</v>
      </c>
      <c r="K73" s="86">
        <f t="shared" si="23"/>
        <v>414922.53412448056</v>
      </c>
      <c r="L73" s="86">
        <f t="shared" si="23"/>
        <v>457640.01600992691</v>
      </c>
      <c r="M73" s="86">
        <f t="shared" si="23"/>
        <v>500434.16992750741</v>
      </c>
      <c r="N73" s="86">
        <f t="shared" si="23"/>
        <v>543557.23938940675</v>
      </c>
    </row>
    <row r="74" spans="2:16" x14ac:dyDescent="0.3">
      <c r="B74" s="99" t="s">
        <v>8</v>
      </c>
      <c r="C74" t="s">
        <v>78</v>
      </c>
      <c r="D74" s="139"/>
      <c r="E74" s="139">
        <f>SUM(E69:E73)+E42</f>
        <v>4615328.1885144506</v>
      </c>
      <c r="F74" s="139">
        <f t="shared" ref="F74:N74" si="24">SUM(F69:F73)+F42</f>
        <v>6158302.0203555673</v>
      </c>
      <c r="G74" s="139">
        <f t="shared" si="24"/>
        <v>7900911.7859575301</v>
      </c>
      <c r="H74" s="139">
        <f t="shared" si="24"/>
        <v>9841951.6651231442</v>
      </c>
      <c r="I74" s="139">
        <f t="shared" si="24"/>
        <v>11862520.458692245</v>
      </c>
      <c r="J74" s="139">
        <f t="shared" si="24"/>
        <v>14049940.110272599</v>
      </c>
      <c r="K74" s="139">
        <f t="shared" si="24"/>
        <v>16943304.064115934</v>
      </c>
      <c r="L74" s="139">
        <f t="shared" si="24"/>
        <v>19323779.089856528</v>
      </c>
      <c r="M74" s="139">
        <f t="shared" si="24"/>
        <v>22229574.001467731</v>
      </c>
      <c r="N74" s="139">
        <f t="shared" si="24"/>
        <v>25640114.569029383</v>
      </c>
      <c r="P74" s="147">
        <f>NPV(discount_rate,E74:N74)</f>
        <v>93900673.954464197</v>
      </c>
    </row>
    <row r="76" spans="2:16" s="143" customFormat="1" x14ac:dyDescent="0.3">
      <c r="B76" s="20" t="s">
        <v>252</v>
      </c>
    </row>
    <row r="77" spans="2:16" s="143" customFormat="1" x14ac:dyDescent="0.3">
      <c r="B77" s="143" t="s">
        <v>6</v>
      </c>
      <c r="D77" s="137"/>
      <c r="E77" s="230">
        <f>E28*$H$3</f>
        <v>74155.429899133203</v>
      </c>
      <c r="F77" s="230">
        <f t="shared" ref="F77:M77" si="25">F28*$H$3</f>
        <v>126394.37393356765</v>
      </c>
      <c r="G77" s="230">
        <f>G28*$H$3</f>
        <v>188445.4285905392</v>
      </c>
      <c r="H77" s="230">
        <f t="shared" si="25"/>
        <v>260181.61733526929</v>
      </c>
      <c r="I77" s="230">
        <f t="shared" si="25"/>
        <v>341514.59563494538</v>
      </c>
      <c r="J77" s="230">
        <f t="shared" si="25"/>
        <v>432747.10709738859</v>
      </c>
      <c r="K77" s="230">
        <f t="shared" si="25"/>
        <v>534201.62639276939</v>
      </c>
      <c r="L77" s="230">
        <f t="shared" si="25"/>
        <v>646101.18357779377</v>
      </c>
      <c r="M77" s="230">
        <f t="shared" si="25"/>
        <v>768464.52606558998</v>
      </c>
      <c r="N77" s="230">
        <f>N28*$H$3</f>
        <v>901372.07843109278</v>
      </c>
    </row>
    <row r="78" spans="2:16" s="143" customFormat="1" x14ac:dyDescent="0.3">
      <c r="B78" s="143" t="s">
        <v>7</v>
      </c>
      <c r="D78" s="137"/>
      <c r="E78" s="230">
        <f>E29*$H$4</f>
        <v>120978.20460345324</v>
      </c>
      <c r="F78" s="230">
        <f t="shared" ref="F78:M78" si="26">F29*$H$4</f>
        <v>206201.54790093473</v>
      </c>
      <c r="G78" s="230">
        <f t="shared" si="26"/>
        <v>307432.50558484282</v>
      </c>
      <c r="H78" s="230">
        <f t="shared" si="26"/>
        <v>424463.92636193871</v>
      </c>
      <c r="I78" s="230">
        <f t="shared" si="26"/>
        <v>557151.68372684414</v>
      </c>
      <c r="J78" s="230">
        <f t="shared" si="26"/>
        <v>705989.6778319712</v>
      </c>
      <c r="K78" s="230">
        <f t="shared" si="26"/>
        <v>871503.99836057541</v>
      </c>
      <c r="L78" s="230">
        <f t="shared" si="26"/>
        <v>1002210.6976909345</v>
      </c>
      <c r="M78" s="230">
        <f t="shared" si="26"/>
        <v>1132705.5619300795</v>
      </c>
      <c r="N78" s="230">
        <f>N29*$H$4</f>
        <v>1264309.4568441308</v>
      </c>
    </row>
    <row r="79" spans="2:16" s="143" customFormat="1" x14ac:dyDescent="0.3">
      <c r="B79" s="143" t="s">
        <v>26</v>
      </c>
      <c r="D79" s="137"/>
      <c r="E79" s="230">
        <f>E30*$H$5</f>
        <v>11666.0312453104</v>
      </c>
      <c r="F79" s="230">
        <f t="shared" ref="F79:N79" si="27">F30*$H$5</f>
        <v>19884.190780716948</v>
      </c>
      <c r="G79" s="230">
        <f t="shared" si="27"/>
        <v>29645.978196922795</v>
      </c>
      <c r="H79" s="230">
        <f t="shared" si="27"/>
        <v>40931.417718395889</v>
      </c>
      <c r="I79" s="230">
        <f t="shared" si="27"/>
        <v>53726.611103543604</v>
      </c>
      <c r="J79" s="230">
        <f t="shared" si="27"/>
        <v>68079.185564465748</v>
      </c>
      <c r="K79" s="230">
        <f t="shared" si="27"/>
        <v>84039.872377120773</v>
      </c>
      <c r="L79" s="230">
        <f t="shared" si="27"/>
        <v>101643.75832630263</v>
      </c>
      <c r="M79" s="230">
        <f t="shared" si="27"/>
        <v>120893.79272951408</v>
      </c>
      <c r="N79" s="230">
        <f t="shared" si="27"/>
        <v>141802.62787135993</v>
      </c>
    </row>
    <row r="80" spans="2:16" s="143" customFormat="1" x14ac:dyDescent="0.3">
      <c r="B80" s="143" t="s">
        <v>25</v>
      </c>
      <c r="D80" s="137"/>
      <c r="E80" s="230">
        <f>E31*$H$6</f>
        <v>14223.579500293226</v>
      </c>
      <c r="F80" s="230">
        <f t="shared" ref="F80:N80" si="28">F31*$H$6</f>
        <v>24243.409127008556</v>
      </c>
      <c r="G80" s="230">
        <f t="shared" si="28"/>
        <v>36145.276733884799</v>
      </c>
      <c r="H80" s="230">
        <f t="shared" si="28"/>
        <v>49904.827248885391</v>
      </c>
      <c r="I80" s="230">
        <f t="shared" si="28"/>
        <v>65505.115513879849</v>
      </c>
      <c r="J80" s="230">
        <f t="shared" si="28"/>
        <v>83004.210071925729</v>
      </c>
      <c r="K80" s="230">
        <f t="shared" si="28"/>
        <v>102463.96403498312</v>
      </c>
      <c r="L80" s="230">
        <f t="shared" si="28"/>
        <v>123927.15627638371</v>
      </c>
      <c r="M80" s="230">
        <f t="shared" si="28"/>
        <v>147397.38269357456</v>
      </c>
      <c r="N80" s="230">
        <f t="shared" si="28"/>
        <v>172890.06933609658</v>
      </c>
    </row>
    <row r="81" spans="2:17" s="143" customFormat="1" ht="15" thickBot="1" x14ac:dyDescent="0.35">
      <c r="B81" s="143" t="s">
        <v>72</v>
      </c>
      <c r="C81" s="228"/>
      <c r="D81" s="229"/>
      <c r="E81" s="414">
        <f>E32*$H$7</f>
        <v>57766.928672000002</v>
      </c>
      <c r="F81" s="414">
        <f t="shared" ref="F81:N81" si="29">F32*$H$7</f>
        <v>71214.554032985689</v>
      </c>
      <c r="G81" s="414">
        <f t="shared" si="29"/>
        <v>84590.878823274252</v>
      </c>
      <c r="H81" s="414">
        <f t="shared" si="29"/>
        <v>97794.103305659417</v>
      </c>
      <c r="I81" s="414">
        <f t="shared" si="29"/>
        <v>110876.89241895766</v>
      </c>
      <c r="J81" s="414">
        <f t="shared" si="29"/>
        <v>124372.39567523522</v>
      </c>
      <c r="K81" s="414">
        <f t="shared" si="29"/>
        <v>138307.51137482686</v>
      </c>
      <c r="L81" s="414">
        <f t="shared" si="29"/>
        <v>152546.67200330898</v>
      </c>
      <c r="M81" s="414">
        <f t="shared" si="29"/>
        <v>166811.3899758358</v>
      </c>
      <c r="N81" s="414">
        <f t="shared" si="29"/>
        <v>181185.74646313558</v>
      </c>
    </row>
    <row r="82" spans="2:17" s="232" customFormat="1" x14ac:dyDescent="0.3">
      <c r="B82" s="231" t="s">
        <v>8</v>
      </c>
      <c r="D82" s="231"/>
      <c r="E82" s="230">
        <f t="shared" ref="E82:N82" si="30">SUM(E77:E81)</f>
        <v>278790.17392019008</v>
      </c>
      <c r="F82" s="231">
        <f t="shared" si="30"/>
        <v>447938.0757752136</v>
      </c>
      <c r="G82" s="231">
        <f t="shared" si="30"/>
        <v>646260.06792946393</v>
      </c>
      <c r="H82" s="231">
        <f t="shared" si="30"/>
        <v>873275.89197014866</v>
      </c>
      <c r="I82" s="231">
        <f t="shared" si="30"/>
        <v>1128774.8983981707</v>
      </c>
      <c r="J82" s="231">
        <f t="shared" si="30"/>
        <v>1414192.5762409866</v>
      </c>
      <c r="K82" s="231">
        <f t="shared" si="30"/>
        <v>1730516.9725402757</v>
      </c>
      <c r="L82" s="231">
        <f t="shared" si="30"/>
        <v>2026429.4678747235</v>
      </c>
      <c r="M82" s="231">
        <f t="shared" si="30"/>
        <v>2336272.6533945939</v>
      </c>
      <c r="N82" s="231">
        <f t="shared" si="30"/>
        <v>2661559.9789458159</v>
      </c>
      <c r="Q82" s="410"/>
    </row>
    <row r="83" spans="2:17" s="143" customFormat="1" x14ac:dyDescent="0.3"/>
    <row r="84" spans="2:17" s="143" customFormat="1" x14ac:dyDescent="0.3">
      <c r="B84" s="263" t="s">
        <v>513</v>
      </c>
      <c r="E84" s="232"/>
      <c r="F84" s="232"/>
      <c r="G84" s="232"/>
      <c r="H84" s="232"/>
      <c r="I84" s="232"/>
      <c r="J84" s="232"/>
      <c r="K84" s="232"/>
      <c r="L84" s="232"/>
      <c r="M84" s="232"/>
      <c r="N84" s="232"/>
    </row>
    <row r="85" spans="2:17" s="143" customFormat="1" x14ac:dyDescent="0.3">
      <c r="B85" s="143" t="s">
        <v>6</v>
      </c>
      <c r="D85" s="137"/>
      <c r="E85" s="230">
        <f>E28*$Q3</f>
        <v>11134437.799354851</v>
      </c>
      <c r="F85" s="230">
        <f t="shared" ref="F85:N85" si="31">F28*$Q3</f>
        <v>18978115.246125184</v>
      </c>
      <c r="G85" s="230">
        <f t="shared" si="31"/>
        <v>28295081.102869462</v>
      </c>
      <c r="H85" s="230">
        <f t="shared" si="31"/>
        <v>39066269.842890687</v>
      </c>
      <c r="I85" s="230">
        <f t="shared" si="31"/>
        <v>51278416.534587055</v>
      </c>
      <c r="J85" s="230">
        <f t="shared" si="31"/>
        <v>64976978.130672902</v>
      </c>
      <c r="K85" s="230">
        <f t="shared" si="31"/>
        <v>80210374.202874333</v>
      </c>
      <c r="L85" s="230">
        <f t="shared" si="31"/>
        <v>97012092.714205742</v>
      </c>
      <c r="M85" s="230">
        <f t="shared" si="31"/>
        <v>115384948.58874835</v>
      </c>
      <c r="N85" s="230">
        <f t="shared" si="31"/>
        <v>135341017.57642859</v>
      </c>
    </row>
    <row r="86" spans="2:17" s="143" customFormat="1" x14ac:dyDescent="0.3">
      <c r="B86" s="143" t="s">
        <v>7</v>
      </c>
      <c r="D86" s="137"/>
      <c r="E86" s="230">
        <f>E29*$Q4</f>
        <v>19017773.763662849</v>
      </c>
      <c r="F86" s="230">
        <f t="shared" ref="F86:N86" si="32">F29*$Q4</f>
        <v>32414883.33002694</v>
      </c>
      <c r="G86" s="230">
        <f t="shared" si="32"/>
        <v>48328389.877937287</v>
      </c>
      <c r="H86" s="230">
        <f t="shared" si="32"/>
        <v>66725729.224096768</v>
      </c>
      <c r="I86" s="230">
        <f t="shared" si="32"/>
        <v>87584244.68185991</v>
      </c>
      <c r="J86" s="230">
        <f t="shared" si="32"/>
        <v>110981577.35518588</v>
      </c>
      <c r="K86" s="230">
        <f t="shared" si="32"/>
        <v>137000428.54228246</v>
      </c>
      <c r="L86" s="230">
        <f t="shared" si="32"/>
        <v>157547521.67701492</v>
      </c>
      <c r="M86" s="230">
        <f t="shared" si="32"/>
        <v>178061314.33540851</v>
      </c>
      <c r="N86" s="230">
        <f t="shared" si="32"/>
        <v>198749446.61589736</v>
      </c>
    </row>
    <row r="87" spans="2:17" s="143" customFormat="1" x14ac:dyDescent="0.3">
      <c r="B87" s="143" t="s">
        <v>26</v>
      </c>
      <c r="D87" s="137"/>
      <c r="E87" s="230">
        <f>E30*$Q5</f>
        <v>1751654.5914833567</v>
      </c>
      <c r="F87" s="230">
        <f t="shared" ref="F87:N87" si="33">F30*$Q5</f>
        <v>2985611.2457246501</v>
      </c>
      <c r="G87" s="230">
        <f t="shared" si="33"/>
        <v>4451343.6262679584</v>
      </c>
      <c r="H87" s="230">
        <f t="shared" si="33"/>
        <v>6145852.3704171441</v>
      </c>
      <c r="I87" s="230">
        <f t="shared" si="33"/>
        <v>8067050.6571970731</v>
      </c>
      <c r="J87" s="230">
        <f t="shared" si="33"/>
        <v>10222089.712504532</v>
      </c>
      <c r="K87" s="230">
        <f t="shared" si="33"/>
        <v>12618586.837424684</v>
      </c>
      <c r="L87" s="230">
        <f t="shared" si="33"/>
        <v>15261810.312694341</v>
      </c>
      <c r="M87" s="230">
        <f t="shared" si="33"/>
        <v>18152202.978336539</v>
      </c>
      <c r="N87" s="230">
        <f t="shared" si="33"/>
        <v>21291664.574884694</v>
      </c>
    </row>
    <row r="88" spans="2:17" s="143" customFormat="1" x14ac:dyDescent="0.3">
      <c r="B88" s="143" t="s">
        <v>25</v>
      </c>
      <c r="D88" s="137"/>
      <c r="E88" s="230">
        <f>E31*$Q6</f>
        <v>2160844.1756369998</v>
      </c>
      <c r="F88" s="230">
        <f t="shared" ref="F88:N88" si="34">F31*$Q6</f>
        <v>3683055.2680920684</v>
      </c>
      <c r="G88" s="230">
        <f t="shared" si="34"/>
        <v>5491185.3029395556</v>
      </c>
      <c r="H88" s="230">
        <f t="shared" si="34"/>
        <v>7581534.2610980254</v>
      </c>
      <c r="I88" s="230">
        <f t="shared" si="34"/>
        <v>9951527.8365532458</v>
      </c>
      <c r="J88" s="230">
        <f t="shared" si="34"/>
        <v>12609987.794111399</v>
      </c>
      <c r="K88" s="230">
        <f t="shared" si="34"/>
        <v>15566310.849748323</v>
      </c>
      <c r="L88" s="230">
        <f t="shared" si="34"/>
        <v>18826995.963819053</v>
      </c>
      <c r="M88" s="230">
        <f t="shared" si="34"/>
        <v>22392589.424552545</v>
      </c>
      <c r="N88" s="230">
        <f t="shared" si="34"/>
        <v>26265434.755202066</v>
      </c>
    </row>
    <row r="89" spans="2:17" s="143" customFormat="1" x14ac:dyDescent="0.3">
      <c r="B89" s="143" t="s">
        <v>72</v>
      </c>
      <c r="C89" s="228"/>
      <c r="D89" s="229"/>
      <c r="E89" s="253">
        <f>E32*$Q7</f>
        <v>6079969.2427280005</v>
      </c>
      <c r="F89" s="253">
        <f t="shared" ref="F89:N89" si="35">F32*$Q7</f>
        <v>7495331.8119717436</v>
      </c>
      <c r="G89" s="253">
        <f t="shared" si="35"/>
        <v>8903189.9961496145</v>
      </c>
      <c r="H89" s="253">
        <f t="shared" si="35"/>
        <v>10292829.372920653</v>
      </c>
      <c r="I89" s="253">
        <f t="shared" si="35"/>
        <v>11669792.927095294</v>
      </c>
      <c r="J89" s="253">
        <f t="shared" si="35"/>
        <v>13090194.644818507</v>
      </c>
      <c r="K89" s="253">
        <f t="shared" si="35"/>
        <v>14556865.572200527</v>
      </c>
      <c r="L89" s="253">
        <f t="shared" si="35"/>
        <v>16055537.22834827</v>
      </c>
      <c r="M89" s="253">
        <f t="shared" si="35"/>
        <v>17556898.794956718</v>
      </c>
      <c r="N89" s="253">
        <f t="shared" si="35"/>
        <v>19069799.815245021</v>
      </c>
    </row>
    <row r="90" spans="2:17" s="143" customFormat="1" x14ac:dyDescent="0.3">
      <c r="B90" s="264" t="s">
        <v>8</v>
      </c>
      <c r="D90" s="265"/>
      <c r="E90" s="231">
        <f t="shared" ref="E90:N90" si="36">SUM(E85:E89)</f>
        <v>40144679.57286606</v>
      </c>
      <c r="F90" s="231">
        <f t="shared" si="36"/>
        <v>65556996.901940584</v>
      </c>
      <c r="G90" s="231">
        <f t="shared" si="36"/>
        <v>95469189.906163871</v>
      </c>
      <c r="H90" s="231">
        <f t="shared" si="36"/>
        <v>129812215.07142328</v>
      </c>
      <c r="I90" s="231">
        <f t="shared" si="36"/>
        <v>168551032.63729259</v>
      </c>
      <c r="J90" s="231">
        <f t="shared" si="36"/>
        <v>211880827.63729325</v>
      </c>
      <c r="K90" s="231">
        <f t="shared" si="36"/>
        <v>259952566.00453034</v>
      </c>
      <c r="L90" s="231">
        <f t="shared" si="36"/>
        <v>304703957.89608228</v>
      </c>
      <c r="M90" s="231">
        <f t="shared" si="36"/>
        <v>351547954.12200266</v>
      </c>
      <c r="N90" s="231">
        <f t="shared" si="36"/>
        <v>400717363.33765775</v>
      </c>
    </row>
    <row r="91" spans="2:17" s="58" customFormat="1" x14ac:dyDescent="0.3"/>
    <row r="92" spans="2:17" s="273" customFormat="1" x14ac:dyDescent="0.3">
      <c r="B92" s="273" t="s">
        <v>532</v>
      </c>
    </row>
    <row r="93" spans="2:17" s="232" customFormat="1" x14ac:dyDescent="0.3">
      <c r="B93" s="232" t="s">
        <v>6</v>
      </c>
      <c r="D93" s="230"/>
      <c r="E93" s="230">
        <f>E77-E45*3.412</f>
        <v>42921.119810732649</v>
      </c>
      <c r="F93" s="230">
        <f t="shared" ref="F93:N93" si="37">F77-F45*3.412</f>
        <v>73156.990315939271</v>
      </c>
      <c r="G93" s="230">
        <f t="shared" si="37"/>
        <v>109072.1047578195</v>
      </c>
      <c r="H93" s="230">
        <f t="shared" si="37"/>
        <v>150592.96919169801</v>
      </c>
      <c r="I93" s="230">
        <f t="shared" si="37"/>
        <v>197668.44985322838</v>
      </c>
      <c r="J93" s="230">
        <f t="shared" si="37"/>
        <v>250473.77456700685</v>
      </c>
      <c r="K93" s="230">
        <f t="shared" si="37"/>
        <v>309195.59148507216</v>
      </c>
      <c r="L93" s="230">
        <f t="shared" si="37"/>
        <v>373962.99027487409</v>
      </c>
      <c r="M93" s="230">
        <f t="shared" si="37"/>
        <v>444786.82192825654</v>
      </c>
      <c r="N93" s="230">
        <f t="shared" si="37"/>
        <v>521713.63614254037</v>
      </c>
    </row>
    <row r="94" spans="2:17" s="232" customFormat="1" x14ac:dyDescent="0.3">
      <c r="B94" s="232" t="s">
        <v>7</v>
      </c>
      <c r="D94" s="230"/>
      <c r="E94" s="230">
        <f t="shared" ref="E94:N97" si="38">E78-E46*3.412</f>
        <v>93037.012541823933</v>
      </c>
      <c r="F94" s="230">
        <f t="shared" si="38"/>
        <v>158577.12602932088</v>
      </c>
      <c r="G94" s="230">
        <f t="shared" si="38"/>
        <v>236427.7265612928</v>
      </c>
      <c r="H94" s="230">
        <f t="shared" si="38"/>
        <v>326429.50662007328</v>
      </c>
      <c r="I94" s="230">
        <f t="shared" si="38"/>
        <v>428471.62723650719</v>
      </c>
      <c r="J94" s="230">
        <f t="shared" si="38"/>
        <v>542933.91711465735</v>
      </c>
      <c r="K94" s="230">
        <f t="shared" si="38"/>
        <v>670220.95997784485</v>
      </c>
      <c r="L94" s="230">
        <f t="shared" si="38"/>
        <v>770739.56880295801</v>
      </c>
      <c r="M94" s="230">
        <f t="shared" si="38"/>
        <v>871095.26808496239</v>
      </c>
      <c r="N94" s="230">
        <f t="shared" si="38"/>
        <v>972303.85571283638</v>
      </c>
    </row>
    <row r="95" spans="2:17" s="232" customFormat="1" x14ac:dyDescent="0.3">
      <c r="B95" s="232" t="s">
        <v>26</v>
      </c>
      <c r="D95" s="230"/>
      <c r="E95" s="230">
        <f t="shared" si="38"/>
        <v>11666.0312453104</v>
      </c>
      <c r="F95" s="230">
        <f t="shared" si="38"/>
        <v>19884.190780716948</v>
      </c>
      <c r="G95" s="230">
        <f t="shared" si="38"/>
        <v>29645.978196922795</v>
      </c>
      <c r="H95" s="230">
        <f t="shared" si="38"/>
        <v>40931.417718395889</v>
      </c>
      <c r="I95" s="230">
        <f t="shared" si="38"/>
        <v>53726.611103543604</v>
      </c>
      <c r="J95" s="230">
        <f t="shared" si="38"/>
        <v>68079.185564465748</v>
      </c>
      <c r="K95" s="230">
        <f t="shared" si="38"/>
        <v>84039.872377120773</v>
      </c>
      <c r="L95" s="230">
        <f t="shared" si="38"/>
        <v>101643.75832630263</v>
      </c>
      <c r="M95" s="230">
        <f t="shared" si="38"/>
        <v>120893.79272951408</v>
      </c>
      <c r="N95" s="230">
        <f t="shared" si="38"/>
        <v>141802.62787135993</v>
      </c>
    </row>
    <row r="96" spans="2:17" s="232" customFormat="1" x14ac:dyDescent="0.3">
      <c r="B96" s="232" t="s">
        <v>25</v>
      </c>
      <c r="D96" s="230"/>
      <c r="E96" s="230">
        <f t="shared" si="38"/>
        <v>10442.663275855874</v>
      </c>
      <c r="F96" s="230">
        <f t="shared" si="38"/>
        <v>17799.018746788894</v>
      </c>
      <c r="G96" s="230">
        <f t="shared" si="38"/>
        <v>26537.128290161076</v>
      </c>
      <c r="H96" s="230">
        <f t="shared" si="38"/>
        <v>36639.110906584625</v>
      </c>
      <c r="I96" s="230">
        <f t="shared" si="38"/>
        <v>48092.525805011879</v>
      </c>
      <c r="J96" s="230">
        <f t="shared" si="38"/>
        <v>60940.005730741395</v>
      </c>
      <c r="K96" s="230">
        <f t="shared" si="38"/>
        <v>75226.961982718669</v>
      </c>
      <c r="L96" s="230">
        <f t="shared" si="38"/>
        <v>90984.801941168524</v>
      </c>
      <c r="M96" s="230">
        <f t="shared" si="38"/>
        <v>108216.16564098603</v>
      </c>
      <c r="N96" s="230">
        <f t="shared" si="38"/>
        <v>126932.37857453614</v>
      </c>
    </row>
    <row r="97" spans="2:14" s="232" customFormat="1" x14ac:dyDescent="0.3">
      <c r="B97" s="232" t="s">
        <v>72</v>
      </c>
      <c r="C97" s="253"/>
      <c r="D97" s="253"/>
      <c r="E97" s="230">
        <f t="shared" si="38"/>
        <v>57766.928672000002</v>
      </c>
      <c r="F97" s="230">
        <f t="shared" si="38"/>
        <v>71214.554032985689</v>
      </c>
      <c r="G97" s="230">
        <f t="shared" si="38"/>
        <v>84590.878823274252</v>
      </c>
      <c r="H97" s="230">
        <f t="shared" si="38"/>
        <v>97794.103305659417</v>
      </c>
      <c r="I97" s="230">
        <f t="shared" si="38"/>
        <v>110876.89241895766</v>
      </c>
      <c r="J97" s="230">
        <f t="shared" si="38"/>
        <v>124372.39567523522</v>
      </c>
      <c r="K97" s="230">
        <f t="shared" si="38"/>
        <v>138307.51137482686</v>
      </c>
      <c r="L97" s="230">
        <f t="shared" si="38"/>
        <v>152546.67200330898</v>
      </c>
      <c r="M97" s="230">
        <f t="shared" si="38"/>
        <v>166811.3899758358</v>
      </c>
      <c r="N97" s="230">
        <f t="shared" si="38"/>
        <v>181185.74646313558</v>
      </c>
    </row>
    <row r="98" spans="2:14" s="232" customFormat="1" x14ac:dyDescent="0.3">
      <c r="B98" s="231" t="s">
        <v>8</v>
      </c>
      <c r="D98" s="231"/>
      <c r="E98" s="231">
        <f t="shared" ref="E98:N98" si="39">SUM(E93:E97)</f>
        <v>215833.75554572287</v>
      </c>
      <c r="F98" s="231">
        <f t="shared" si="39"/>
        <v>340631.87990575167</v>
      </c>
      <c r="G98" s="231">
        <f t="shared" si="39"/>
        <v>486273.81662947044</v>
      </c>
      <c r="H98" s="231">
        <f t="shared" si="39"/>
        <v>652387.1077424112</v>
      </c>
      <c r="I98" s="231">
        <f t="shared" si="39"/>
        <v>838836.10641724861</v>
      </c>
      <c r="J98" s="231">
        <f t="shared" si="39"/>
        <v>1046799.2786521065</v>
      </c>
      <c r="K98" s="231">
        <f t="shared" si="39"/>
        <v>1276990.8971975832</v>
      </c>
      <c r="L98" s="231">
        <f t="shared" si="39"/>
        <v>1489877.7913486122</v>
      </c>
      <c r="M98" s="231">
        <f t="shared" si="39"/>
        <v>1711803.4383595551</v>
      </c>
      <c r="N98" s="231">
        <f t="shared" si="39"/>
        <v>1943938.2447644086</v>
      </c>
    </row>
  </sheetData>
  <pageMargins left="0.7" right="0.7" top="0.75" bottom="0.75" header="0.3" footer="0.3"/>
  <pageSetup orientation="portrait"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36</vt:i4>
      </vt:variant>
    </vt:vector>
  </HeadingPairs>
  <TitlesOfParts>
    <vt:vector size="50" baseType="lpstr">
      <vt:lpstr>Notes</vt:lpstr>
      <vt:lpstr>Summary</vt:lpstr>
      <vt:lpstr>assumptions</vt:lpstr>
      <vt:lpstr>loads</vt:lpstr>
      <vt:lpstr>requirements</vt:lpstr>
      <vt:lpstr>impact</vt:lpstr>
      <vt:lpstr>Tier I</vt:lpstr>
      <vt:lpstr>Tier II</vt:lpstr>
      <vt:lpstr>Tier III</vt:lpstr>
      <vt:lpstr>price forecasts</vt:lpstr>
      <vt:lpstr>emissions</vt:lpstr>
      <vt:lpstr>Tier III PT</vt:lpstr>
      <vt:lpstr>Tier III incentives</vt:lpstr>
      <vt:lpstr>AEO- reference</vt:lpstr>
      <vt:lpstr>base_year</vt:lpstr>
      <vt:lpstr>CCHP_incentive_escalation</vt:lpstr>
      <vt:lpstr>CCHP_LMP_multiplier</vt:lpstr>
      <vt:lpstr>COS_depreciation</vt:lpstr>
      <vt:lpstr>COS_inflation</vt:lpstr>
      <vt:lpstr>COS_market</vt:lpstr>
      <vt:lpstr>custom_incentive_escalation</vt:lpstr>
      <vt:lpstr>Custom_LMP_multiplier</vt:lpstr>
      <vt:lpstr>depreciation_rate</vt:lpstr>
      <vt:lpstr>discount_rate</vt:lpstr>
      <vt:lpstr>equip_cost_CCHP_space</vt:lpstr>
      <vt:lpstr>equip_cost_trend_CCHP</vt:lpstr>
      <vt:lpstr>EV_incentive_escalation</vt:lpstr>
      <vt:lpstr>EV_LMP_multiplier</vt:lpstr>
      <vt:lpstr>FCM_coincidence</vt:lpstr>
      <vt:lpstr>FF_scenario</vt:lpstr>
      <vt:lpstr>fuel_cons_trans_EV</vt:lpstr>
      <vt:lpstr>High_FF_esc</vt:lpstr>
      <vt:lpstr>htg_load_baseline_space</vt:lpstr>
      <vt:lpstr>htg_load_baseline_water</vt:lpstr>
      <vt:lpstr>htg_load_CCHP_backup</vt:lpstr>
      <vt:lpstr>htg_load_CCHP_space</vt:lpstr>
      <vt:lpstr>inflation_rate</vt:lpstr>
      <vt:lpstr>Low_FF_esc</vt:lpstr>
      <vt:lpstr>Mid_FF_esc</vt:lpstr>
      <vt:lpstr>NM_escalation</vt:lpstr>
      <vt:lpstr>overhead_escalation</vt:lpstr>
      <vt:lpstr>assumptions!Print_Area</vt:lpstr>
      <vt:lpstr>impact!Print_Area</vt:lpstr>
      <vt:lpstr>REC_scenario</vt:lpstr>
      <vt:lpstr>Retail_Rate_escalation</vt:lpstr>
      <vt:lpstr>Retail_Rate_yr1</vt:lpstr>
      <vt:lpstr>RNS_coincidence</vt:lpstr>
      <vt:lpstr>Tier3_Overhead</vt:lpstr>
      <vt:lpstr>UEC_window_clg</vt:lpstr>
      <vt:lpstr>wx_incentive_escalation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Fischer, Maria</dc:creator>
  <cp:lastModifiedBy>Paruch, Susan</cp:lastModifiedBy>
  <cp:lastPrinted>2019-01-15T18:38:38Z</cp:lastPrinted>
  <dcterms:created xsi:type="dcterms:W3CDTF">2018-10-10T17:04:59Z</dcterms:created>
  <dcterms:modified xsi:type="dcterms:W3CDTF">2019-07-11T18:55:59Z</dcterms:modified>
</cp:coreProperties>
</file>