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KWH &amp; Rev 2012" sheetId="1" r:id="rId1"/>
    <sheet name="Ranking" sheetId="2" r:id="rId2"/>
  </sheets>
  <definedNames>
    <definedName name="_Key1" hidden="1">'Ranking'!$A$57:$A$74</definedName>
    <definedName name="_Key2" hidden="1">'Ranking'!$F$57:$F$74</definedName>
    <definedName name="_Order1" hidden="1">255</definedName>
    <definedName name="_Order2" hidden="1">255</definedName>
    <definedName name="_Sort" hidden="1">'Ranking'!$A$57:$G$74</definedName>
    <definedName name="_xlnm.Print_Area" localSheetId="0">'KWH &amp; Rev 2012'!$A$5:$M$90</definedName>
    <definedName name="_xlnm.Print_Area" localSheetId="1">'Ranking'!$A$1:$G$101</definedName>
    <definedName name="T2.3A_D">'Ranking'!$A$3:$G$103</definedName>
  </definedNames>
  <calcPr fullCalcOnLoad="1"/>
</workbook>
</file>

<file path=xl/sharedStrings.xml><?xml version="1.0" encoding="utf-8"?>
<sst xmlns="http://schemas.openxmlformats.org/spreadsheetml/2006/main" count="232" uniqueCount="111">
  <si>
    <t xml:space="preserve">Company </t>
  </si>
  <si>
    <t xml:space="preserve">Residential Rev </t>
  </si>
  <si>
    <t>kWh</t>
  </si>
  <si>
    <t>Residential Customers</t>
  </si>
  <si>
    <t>Avg Res Use (kWh)</t>
  </si>
  <si>
    <t>Rev/kWh (cents)</t>
  </si>
  <si>
    <t>Rank by Rev/kWh</t>
  </si>
  <si>
    <t>Barton</t>
  </si>
  <si>
    <t>BED</t>
  </si>
  <si>
    <t>Enosburg</t>
  </si>
  <si>
    <t>GMP</t>
  </si>
  <si>
    <t>Hardwick</t>
  </si>
  <si>
    <t>Hyde Park</t>
  </si>
  <si>
    <t>Jacksonville</t>
  </si>
  <si>
    <t>Johnson</t>
  </si>
  <si>
    <t>Ludlow</t>
  </si>
  <si>
    <t>Lyndonville</t>
  </si>
  <si>
    <t>Morrisville</t>
  </si>
  <si>
    <t>Northfield</t>
  </si>
  <si>
    <t>Orleans</t>
  </si>
  <si>
    <t>Stowe</t>
  </si>
  <si>
    <t>Swanton</t>
  </si>
  <si>
    <t>VEC</t>
  </si>
  <si>
    <t>WEC</t>
  </si>
  <si>
    <t>Total</t>
  </si>
  <si>
    <t>Commercial Revenue</t>
  </si>
  <si>
    <t>Commercial Customers</t>
  </si>
  <si>
    <t>Avg  Com Use (kWh)</t>
  </si>
  <si>
    <t>Com Rev/kWh (cents)</t>
  </si>
  <si>
    <t xml:space="preserve"> </t>
  </si>
  <si>
    <t xml:space="preserve">Industrial Revenue </t>
  </si>
  <si>
    <t>Industrial Customers</t>
  </si>
  <si>
    <t>Avg Ind Use (kWh)</t>
  </si>
  <si>
    <t>Ind Rev/kWh (cents)</t>
  </si>
  <si>
    <t>Total Rate Revenue</t>
  </si>
  <si>
    <t>Total Customers</t>
  </si>
  <si>
    <t>-</t>
  </si>
  <si>
    <t>Residential</t>
  </si>
  <si>
    <t xml:space="preserve"> Vermont Electric Utilities: Revenue and Usage,</t>
  </si>
  <si>
    <t>Commercial</t>
  </si>
  <si>
    <t>Industrial</t>
  </si>
  <si>
    <t xml:space="preserve"> Vermont Electric Utilities: Revenue and Usage</t>
  </si>
  <si>
    <t>Totals</t>
  </si>
  <si>
    <t>STATE OF VERMONT</t>
  </si>
  <si>
    <t>Other and</t>
  </si>
  <si>
    <t>Total Sales</t>
  </si>
  <si>
    <t>Public Street</t>
  </si>
  <si>
    <t>to Ultimate</t>
  </si>
  <si>
    <t>Sales</t>
  </si>
  <si>
    <t>&amp; Highway</t>
  </si>
  <si>
    <t>Authorities</t>
  </si>
  <si>
    <t>Consumers</t>
  </si>
  <si>
    <t>for Resale</t>
  </si>
  <si>
    <t>check</t>
  </si>
  <si>
    <t>BARTON</t>
  </si>
  <si>
    <t>BURLINGTON</t>
  </si>
  <si>
    <t>ENOSBURG FALLS</t>
  </si>
  <si>
    <t>HARDWICK</t>
  </si>
  <si>
    <t>HYDE PARK</t>
  </si>
  <si>
    <t>JACKSONVILLE</t>
  </si>
  <si>
    <t>JOHNSON</t>
  </si>
  <si>
    <t>LUDLOW</t>
  </si>
  <si>
    <t>LYNDONVILLE</t>
  </si>
  <si>
    <t>MORRISVILLE</t>
  </si>
  <si>
    <t>NORTHFIELD</t>
  </si>
  <si>
    <t>ORLEANS</t>
  </si>
  <si>
    <t>STOWE</t>
  </si>
  <si>
    <t>SWANTON</t>
  </si>
  <si>
    <t>Total Rate</t>
  </si>
  <si>
    <t>Total Utility</t>
  </si>
  <si>
    <t>Number of</t>
  </si>
  <si>
    <t xml:space="preserve">Number of </t>
  </si>
  <si>
    <t>Electric Companies</t>
  </si>
  <si>
    <t>Vermont</t>
  </si>
  <si>
    <t>Note 1--INCLUDES UNBILLED REVENUES</t>
  </si>
  <si>
    <r>
      <t xml:space="preserve">CENTRAL VT </t>
    </r>
    <r>
      <rPr>
        <b/>
        <sz val="8"/>
        <rFont val="Arial"/>
        <family val="2"/>
      </rPr>
      <t>(See Note 1)</t>
    </r>
  </si>
  <si>
    <r>
      <t>GMP</t>
    </r>
    <r>
      <rPr>
        <b/>
        <sz val="8"/>
        <rFont val="Arial"/>
        <family val="2"/>
      </rPr>
      <t xml:space="preserve"> (see Note 1)</t>
    </r>
  </si>
  <si>
    <t>Public</t>
  </si>
  <si>
    <t xml:space="preserve"> Public</t>
  </si>
  <si>
    <t>Note 1--INCLUDES MWh RELATING TO UNBILLED REVENUE</t>
  </si>
  <si>
    <t>Page 2 of 2</t>
  </si>
  <si>
    <t>Page 1 of 2</t>
  </si>
  <si>
    <t>rounding</t>
  </si>
  <si>
    <t>Rounding +/- 1</t>
  </si>
  <si>
    <t>Comments</t>
  </si>
  <si>
    <t xml:space="preserve">VEC </t>
  </si>
  <si>
    <t xml:space="preserve">     CVPS &amp; GMP revenue adjusted for Provision for Rate Refunds (account 449.1)</t>
  </si>
  <si>
    <t>Sales for Resale</t>
  </si>
  <si>
    <t>Note 2</t>
  </si>
  <si>
    <t>5 lowest</t>
  </si>
  <si>
    <t>kWh SALES 2012</t>
  </si>
  <si>
    <t>RATE REVENUE 2012</t>
  </si>
  <si>
    <t>kWh 2012</t>
  </si>
  <si>
    <t>Customers 2012</t>
  </si>
  <si>
    <t>Revenue 2012</t>
  </si>
  <si>
    <t>Total other Operating</t>
  </si>
  <si>
    <t xml:space="preserve">Total </t>
  </si>
  <si>
    <t>Sources:   2012 Annual Reports sent to the DPS from the responding utilities</t>
  </si>
  <si>
    <t>FILE:kWh Revenue &amp; Ranking 2012.xls</t>
  </si>
  <si>
    <t>Problem</t>
  </si>
  <si>
    <t>2012 Reports not in yet - Estimated Figures 6/4/2012</t>
  </si>
  <si>
    <t xml:space="preserve">    GMP includes 49,433 MWh</t>
  </si>
  <si>
    <t xml:space="preserve">    CVPS INCLUDES 49,908 MWh</t>
  </si>
  <si>
    <t xml:space="preserve">     CVPS includes $8,440,614 of unbilled revenues</t>
  </si>
  <si>
    <t xml:space="preserve">     GMP includes $7,549,112 for unbilled revenues</t>
  </si>
  <si>
    <t xml:space="preserve">    Central Vermont Public Service was sold to Green Mountain Power Corporation  October 1, 2012.</t>
  </si>
  <si>
    <r>
      <t xml:space="preserve">CENTRAL VT </t>
    </r>
    <r>
      <rPr>
        <b/>
        <sz val="8"/>
        <rFont val="Arial"/>
        <family val="2"/>
      </rPr>
      <t>(See Note 1 &amp; 2)</t>
    </r>
  </si>
  <si>
    <r>
      <t>GMP</t>
    </r>
    <r>
      <rPr>
        <b/>
        <sz val="8"/>
        <rFont val="Arial"/>
        <family val="2"/>
      </rPr>
      <t xml:space="preserve"> (see Note 1 &amp; 2)</t>
    </r>
  </si>
  <si>
    <t>VERMONT PUBLIC SERVICE DEPARTMENT</t>
  </si>
  <si>
    <t>Prepared by: Nellie Gillander, Utiltities Rate Analyst, Vermont Public Service Department</t>
  </si>
  <si>
    <t>Note 1- Central Vermont Public Service was sold to Green Mountain Power Corporation  October 1, 2012.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</si>
</sst>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_)"/>
    <numFmt numFmtId="166" formatCode="&quot;$&quot;#,##0.00"/>
    <numFmt numFmtId="167" formatCode="&quot;$&quot;#,##0"/>
    <numFmt numFmtId="168" formatCode="_(* #,##0_);_(* \(#,##0\);_(* &quot;-&quot;??_);_(@_)"/>
  </numFmts>
  <fonts count="58">
    <font>
      <sz val="10"/>
      <name val="Geneva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Tms Rmn"/>
      <family val="0"/>
    </font>
    <font>
      <sz val="12"/>
      <color indexed="8"/>
      <name val="Arial"/>
      <family val="2"/>
    </font>
    <font>
      <sz val="10"/>
      <color indexed="8"/>
      <name val="Geneva"/>
      <family val="0"/>
    </font>
    <font>
      <sz val="10"/>
      <color indexed="8"/>
      <name val="Arial"/>
      <family val="2"/>
    </font>
    <font>
      <b/>
      <sz val="14"/>
      <name val="Geneva"/>
      <family val="0"/>
    </font>
    <font>
      <sz val="12"/>
      <color indexed="8"/>
      <name val="Times New Roman"/>
      <family val="1"/>
    </font>
    <font>
      <sz val="12"/>
      <name val="Arial"/>
      <family val="2"/>
    </font>
    <font>
      <b/>
      <sz val="12"/>
      <color indexed="8"/>
      <name val="Arial"/>
      <family val="2"/>
    </font>
    <font>
      <b/>
      <u val="single"/>
      <sz val="12"/>
      <name val="Arial"/>
      <family val="2"/>
    </font>
    <font>
      <b/>
      <u val="single"/>
      <sz val="12"/>
      <color indexed="9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b/>
      <sz val="10"/>
      <name val="Geneva"/>
      <family val="0"/>
    </font>
    <font>
      <b/>
      <sz val="8"/>
      <name val="Arial"/>
      <family val="2"/>
    </font>
    <font>
      <b/>
      <sz val="12"/>
      <color indexed="10"/>
      <name val="Arial"/>
      <family val="2"/>
    </font>
    <font>
      <b/>
      <i/>
      <sz val="10"/>
      <name val="Arial"/>
      <family val="2"/>
    </font>
    <font>
      <b/>
      <i/>
      <sz val="10"/>
      <name val="Geneva"/>
      <family val="0"/>
    </font>
    <font>
      <b/>
      <i/>
      <sz val="12"/>
      <name val="Arial"/>
      <family val="2"/>
    </font>
    <font>
      <b/>
      <i/>
      <sz val="12"/>
      <color indexed="10"/>
      <name val="Arial"/>
      <family val="2"/>
    </font>
    <font>
      <b/>
      <i/>
      <sz val="10"/>
      <color indexed="8"/>
      <name val="Arial"/>
      <family val="2"/>
    </font>
    <font>
      <b/>
      <i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/>
      <top style="medium"/>
      <bottom style="thin"/>
    </border>
  </borders>
  <cellStyleXfs count="62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16">
    <xf numFmtId="164" fontId="0" fillId="0" borderId="0" xfId="0" applyAlignment="1">
      <alignment/>
    </xf>
    <xf numFmtId="164" fontId="0" fillId="0" borderId="0" xfId="0" applyFont="1" applyAlignment="1" applyProtection="1">
      <alignment/>
      <protection/>
    </xf>
    <xf numFmtId="164" fontId="3" fillId="0" borderId="0" xfId="0" applyFont="1" applyAlignment="1" applyProtection="1">
      <alignment/>
      <protection/>
    </xf>
    <xf numFmtId="164" fontId="5" fillId="0" borderId="0" xfId="0" applyFont="1" applyAlignment="1" applyProtection="1">
      <alignment/>
      <protection/>
    </xf>
    <xf numFmtId="164" fontId="2" fillId="0" borderId="0" xfId="0" applyFont="1" applyAlignment="1" applyProtection="1">
      <alignment/>
      <protection/>
    </xf>
    <xf numFmtId="37" fontId="6" fillId="0" borderId="0" xfId="0" applyNumberFormat="1" applyFont="1" applyAlignment="1" applyProtection="1">
      <alignment/>
      <protection/>
    </xf>
    <xf numFmtId="10" fontId="6" fillId="0" borderId="0" xfId="0" applyNumberFormat="1" applyFont="1" applyAlignment="1" applyProtection="1">
      <alignment/>
      <protection/>
    </xf>
    <xf numFmtId="164" fontId="0" fillId="0" borderId="0" xfId="0" applyFont="1" applyFill="1" applyAlignment="1" applyProtection="1">
      <alignment/>
      <protection/>
    </xf>
    <xf numFmtId="164" fontId="5" fillId="0" borderId="0" xfId="0" applyFont="1" applyAlignment="1" applyProtection="1">
      <alignment horizontal="centerContinuous"/>
      <protection/>
    </xf>
    <xf numFmtId="164" fontId="7" fillId="0" borderId="0" xfId="0" applyFont="1" applyAlignment="1" applyProtection="1">
      <alignment/>
      <protection/>
    </xf>
    <xf numFmtId="37" fontId="8" fillId="0" borderId="0" xfId="0" applyNumberFormat="1" applyFont="1" applyAlignment="1" applyProtection="1">
      <alignment/>
      <protection/>
    </xf>
    <xf numFmtId="39" fontId="8" fillId="0" borderId="0" xfId="0" applyNumberFormat="1" applyFont="1" applyAlignment="1" applyProtection="1">
      <alignment/>
      <protection/>
    </xf>
    <xf numFmtId="164" fontId="10" fillId="0" borderId="0" xfId="0" applyFont="1" applyAlignment="1" applyProtection="1">
      <alignment horizontal="centerContinuous"/>
      <protection/>
    </xf>
    <xf numFmtId="37" fontId="10" fillId="0" borderId="0" xfId="0" applyNumberFormat="1" applyFont="1" applyAlignment="1" applyProtection="1">
      <alignment horizontal="centerContinuous"/>
      <protection/>
    </xf>
    <xf numFmtId="39" fontId="10" fillId="0" borderId="0" xfId="0" applyNumberFormat="1" applyFont="1" applyAlignment="1" applyProtection="1">
      <alignment horizontal="centerContinuous"/>
      <protection/>
    </xf>
    <xf numFmtId="164" fontId="9" fillId="0" borderId="0" xfId="0" applyFont="1" applyAlignment="1" applyProtection="1">
      <alignment/>
      <protection/>
    </xf>
    <xf numFmtId="164" fontId="4" fillId="0" borderId="0" xfId="0" applyFont="1" applyAlignment="1" applyProtection="1">
      <alignment horizontal="centerContinuous"/>
      <protection/>
    </xf>
    <xf numFmtId="37" fontId="4" fillId="0" borderId="0" xfId="0" applyNumberFormat="1" applyFont="1" applyFill="1" applyAlignment="1" applyProtection="1">
      <alignment/>
      <protection/>
    </xf>
    <xf numFmtId="39" fontId="4" fillId="0" borderId="0" xfId="0" applyNumberFormat="1" applyFont="1" applyFill="1" applyAlignment="1" applyProtection="1">
      <alignment/>
      <protection/>
    </xf>
    <xf numFmtId="164" fontId="4" fillId="0" borderId="0" xfId="0" applyFont="1" applyFill="1" applyAlignment="1" applyProtection="1">
      <alignment/>
      <protection/>
    </xf>
    <xf numFmtId="164" fontId="10" fillId="0" borderId="0" xfId="0" applyFont="1" applyFill="1" applyAlignment="1" applyProtection="1">
      <alignment horizontal="centerContinuous" vertical="center"/>
      <protection/>
    </xf>
    <xf numFmtId="164" fontId="4" fillId="0" borderId="0" xfId="0" applyFont="1" applyFill="1" applyAlignment="1" applyProtection="1">
      <alignment horizontal="centerContinuous" vertical="center"/>
      <protection/>
    </xf>
    <xf numFmtId="164" fontId="4" fillId="0" borderId="0" xfId="0" applyFont="1" applyFill="1" applyAlignment="1" applyProtection="1">
      <alignment/>
      <protection/>
    </xf>
    <xf numFmtId="37" fontId="4" fillId="0" borderId="0" xfId="0" applyNumberFormat="1" applyFont="1" applyFill="1" applyAlignment="1" applyProtection="1">
      <alignment/>
      <protection/>
    </xf>
    <xf numFmtId="39" fontId="4" fillId="0" borderId="0" xfId="0" applyNumberFormat="1" applyFont="1" applyFill="1" applyAlignment="1" applyProtection="1">
      <alignment/>
      <protection/>
    </xf>
    <xf numFmtId="164" fontId="4" fillId="0" borderId="0" xfId="0" applyFont="1" applyFill="1" applyAlignment="1" applyProtection="1">
      <alignment/>
      <protection locked="0"/>
    </xf>
    <xf numFmtId="164" fontId="10" fillId="0" borderId="0" xfId="0" applyFont="1" applyFill="1" applyAlignment="1" applyProtection="1">
      <alignment/>
      <protection/>
    </xf>
    <xf numFmtId="5" fontId="4" fillId="0" borderId="0" xfId="0" applyNumberFormat="1" applyFont="1" applyFill="1" applyAlignment="1" applyProtection="1">
      <alignment/>
      <protection locked="0"/>
    </xf>
    <xf numFmtId="37" fontId="4" fillId="0" borderId="0" xfId="0" applyNumberFormat="1" applyFont="1" applyFill="1" applyAlignment="1" applyProtection="1">
      <alignment/>
      <protection locked="0"/>
    </xf>
    <xf numFmtId="164" fontId="5" fillId="0" borderId="0" xfId="0" applyFont="1" applyFill="1" applyAlignment="1">
      <alignment/>
    </xf>
    <xf numFmtId="164" fontId="5" fillId="0" borderId="0" xfId="0" applyFont="1" applyAlignment="1">
      <alignment/>
    </xf>
    <xf numFmtId="164" fontId="4" fillId="0" borderId="0" xfId="0" applyFont="1" applyFill="1" applyBorder="1" applyAlignment="1">
      <alignment horizontal="center"/>
    </xf>
    <xf numFmtId="164" fontId="5" fillId="0" borderId="0" xfId="0" applyFont="1" applyBorder="1" applyAlignment="1" applyProtection="1">
      <alignment/>
      <protection/>
    </xf>
    <xf numFmtId="164" fontId="4" fillId="0" borderId="0" xfId="0" applyFont="1" applyFill="1" applyBorder="1" applyAlignment="1" applyProtection="1">
      <alignment horizontal="center"/>
      <protection/>
    </xf>
    <xf numFmtId="5" fontId="4" fillId="0" borderId="0" xfId="0" applyNumberFormat="1" applyFont="1" applyFill="1" applyBorder="1" applyAlignment="1" applyProtection="1">
      <alignment/>
      <protection/>
    </xf>
    <xf numFmtId="164" fontId="9" fillId="0" borderId="0" xfId="0" applyFont="1" applyFill="1" applyAlignment="1" applyProtection="1">
      <alignment/>
      <protection/>
    </xf>
    <xf numFmtId="164" fontId="11" fillId="0" borderId="0" xfId="0" applyFont="1" applyBorder="1" applyAlignment="1" applyProtection="1">
      <alignment/>
      <protection/>
    </xf>
    <xf numFmtId="164" fontId="12" fillId="0" borderId="0" xfId="0" applyFont="1" applyFill="1" applyBorder="1" applyAlignment="1" applyProtection="1">
      <alignment/>
      <protection/>
    </xf>
    <xf numFmtId="164" fontId="0" fillId="0" borderId="0" xfId="0" applyFont="1" applyBorder="1" applyAlignment="1">
      <alignment/>
    </xf>
    <xf numFmtId="164" fontId="11" fillId="0" borderId="0" xfId="0" applyFont="1" applyBorder="1" applyAlignment="1" applyProtection="1">
      <alignment/>
      <protection/>
    </xf>
    <xf numFmtId="164" fontId="10" fillId="0" borderId="0" xfId="0" applyFont="1" applyFill="1" applyBorder="1" applyAlignment="1" applyProtection="1">
      <alignment/>
      <protection/>
    </xf>
    <xf numFmtId="0" fontId="13" fillId="0" borderId="0" xfId="55" applyNumberFormat="1" applyFont="1" applyAlignment="1">
      <alignment/>
      <protection/>
    </xf>
    <xf numFmtId="0" fontId="9" fillId="0" borderId="0" xfId="55" applyNumberFormat="1" applyFont="1" applyAlignment="1">
      <alignment/>
      <protection/>
    </xf>
    <xf numFmtId="14" fontId="9" fillId="0" borderId="0" xfId="55" applyNumberFormat="1" applyFont="1" applyAlignment="1">
      <alignment horizontal="left"/>
      <protection/>
    </xf>
    <xf numFmtId="14" fontId="9" fillId="0" borderId="0" xfId="55" applyNumberFormat="1" applyFont="1" applyAlignment="1">
      <alignment/>
      <protection/>
    </xf>
    <xf numFmtId="22" fontId="9" fillId="0" borderId="0" xfId="55" applyNumberFormat="1" applyFont="1" applyAlignment="1">
      <alignment/>
      <protection/>
    </xf>
    <xf numFmtId="0" fontId="9" fillId="0" borderId="0" xfId="55" applyNumberFormat="1" applyFont="1" applyProtection="1">
      <alignment/>
      <protection locked="0"/>
    </xf>
    <xf numFmtId="0" fontId="9" fillId="0" borderId="0" xfId="55" applyNumberFormat="1" applyFont="1" applyAlignment="1" applyProtection="1">
      <alignment/>
      <protection locked="0"/>
    </xf>
    <xf numFmtId="3" fontId="9" fillId="0" borderId="0" xfId="55" applyNumberFormat="1" applyFont="1">
      <alignment/>
      <protection/>
    </xf>
    <xf numFmtId="0" fontId="9" fillId="0" borderId="0" xfId="55" applyNumberFormat="1" applyFont="1" applyFill="1" applyProtection="1">
      <alignment/>
      <protection locked="0"/>
    </xf>
    <xf numFmtId="0" fontId="9" fillId="0" borderId="0" xfId="55" applyNumberFormat="1" applyFont="1" applyFill="1" applyAlignment="1">
      <alignment/>
      <protection/>
    </xf>
    <xf numFmtId="0" fontId="9" fillId="0" borderId="0" xfId="55" applyNumberFormat="1" applyFont="1" applyAlignment="1" quotePrefix="1">
      <alignment/>
      <protection/>
    </xf>
    <xf numFmtId="4" fontId="9" fillId="0" borderId="0" xfId="55" applyNumberFormat="1" applyFont="1" applyProtection="1">
      <alignment/>
      <protection locked="0"/>
    </xf>
    <xf numFmtId="0" fontId="13" fillId="0" borderId="10" xfId="55" applyNumberFormat="1" applyFont="1" applyBorder="1" applyAlignment="1" applyProtection="1">
      <alignment horizontal="center"/>
      <protection locked="0"/>
    </xf>
    <xf numFmtId="0" fontId="13" fillId="0" borderId="10" xfId="55" applyNumberFormat="1" applyFont="1" applyBorder="1" applyAlignment="1">
      <alignment horizontal="center"/>
      <protection/>
    </xf>
    <xf numFmtId="0" fontId="13" fillId="0" borderId="11" xfId="55" applyNumberFormat="1" applyFont="1" applyBorder="1" applyAlignment="1" applyProtection="1">
      <alignment horizontal="center"/>
      <protection locked="0"/>
    </xf>
    <xf numFmtId="0" fontId="13" fillId="0" borderId="11" xfId="55" applyNumberFormat="1" applyFont="1" applyBorder="1" applyAlignment="1">
      <alignment horizontal="center"/>
      <protection/>
    </xf>
    <xf numFmtId="0" fontId="9" fillId="0" borderId="10" xfId="55" applyNumberFormat="1" applyFont="1" applyBorder="1" applyAlignment="1">
      <alignment horizontal="center"/>
      <protection/>
    </xf>
    <xf numFmtId="0" fontId="9" fillId="0" borderId="11" xfId="55" applyNumberFormat="1" applyFont="1" applyBorder="1" applyAlignment="1">
      <alignment horizontal="center"/>
      <protection/>
    </xf>
    <xf numFmtId="0" fontId="14" fillId="0" borderId="0" xfId="55" applyNumberFormat="1" applyFont="1" applyBorder="1" applyAlignment="1" applyProtection="1">
      <alignment horizontal="center"/>
      <protection locked="0"/>
    </xf>
    <xf numFmtId="0" fontId="9" fillId="0" borderId="11" xfId="55" applyNumberFormat="1" applyFont="1" applyBorder="1" applyAlignment="1">
      <alignment/>
      <protection/>
    </xf>
    <xf numFmtId="0" fontId="13" fillId="0" borderId="10" xfId="55" applyNumberFormat="1" applyFont="1" applyBorder="1" applyAlignment="1">
      <alignment/>
      <protection/>
    </xf>
    <xf numFmtId="0" fontId="13" fillId="0" borderId="11" xfId="55" applyNumberFormat="1" applyFont="1" applyBorder="1" applyAlignment="1">
      <alignment/>
      <protection/>
    </xf>
    <xf numFmtId="0" fontId="13" fillId="0" borderId="11" xfId="55" applyNumberFormat="1" applyFont="1" applyBorder="1" applyProtection="1">
      <alignment/>
      <protection locked="0"/>
    </xf>
    <xf numFmtId="0" fontId="9" fillId="0" borderId="10" xfId="55" applyNumberFormat="1" applyFont="1" applyBorder="1" applyProtection="1">
      <alignment/>
      <protection locked="0"/>
    </xf>
    <xf numFmtId="3" fontId="9" fillId="0" borderId="10" xfId="55" applyNumberFormat="1" applyFont="1" applyBorder="1" applyProtection="1">
      <alignment/>
      <protection locked="0"/>
    </xf>
    <xf numFmtId="166" fontId="9" fillId="0" borderId="10" xfId="55" applyNumberFormat="1" applyFont="1" applyBorder="1" applyProtection="1">
      <alignment/>
      <protection locked="0"/>
    </xf>
    <xf numFmtId="0" fontId="9" fillId="0" borderId="0" xfId="55" applyNumberFormat="1" applyFont="1" applyBorder="1" applyAlignment="1">
      <alignment/>
      <protection/>
    </xf>
    <xf numFmtId="0" fontId="13" fillId="0" borderId="12" xfId="55" applyNumberFormat="1" applyFont="1" applyBorder="1" applyAlignment="1">
      <alignment/>
      <protection/>
    </xf>
    <xf numFmtId="164" fontId="2" fillId="0" borderId="0" xfId="0" applyFont="1" applyAlignment="1">
      <alignment/>
    </xf>
    <xf numFmtId="164" fontId="15" fillId="0" borderId="0" xfId="0" applyFont="1" applyAlignment="1">
      <alignment/>
    </xf>
    <xf numFmtId="0" fontId="9" fillId="0" borderId="13" xfId="55" applyNumberFormat="1" applyFont="1" applyBorder="1" applyAlignment="1">
      <alignment/>
      <protection/>
    </xf>
    <xf numFmtId="0" fontId="9" fillId="0" borderId="14" xfId="55" applyNumberFormat="1" applyFont="1" applyBorder="1" applyAlignment="1">
      <alignment/>
      <protection/>
    </xf>
    <xf numFmtId="166" fontId="9" fillId="0" borderId="0" xfId="55" applyNumberFormat="1" applyFont="1" applyBorder="1" applyProtection="1">
      <alignment/>
      <protection locked="0"/>
    </xf>
    <xf numFmtId="0" fontId="13" fillId="0" borderId="15" xfId="55" applyNumberFormat="1" applyFont="1" applyBorder="1" applyAlignment="1">
      <alignment/>
      <protection/>
    </xf>
    <xf numFmtId="0" fontId="9" fillId="0" borderId="10" xfId="55" applyNumberFormat="1" applyFont="1" applyBorder="1" applyAlignment="1">
      <alignment/>
      <protection/>
    </xf>
    <xf numFmtId="0" fontId="9" fillId="0" borderId="11" xfId="55" applyNumberFormat="1" applyFont="1" applyBorder="1" applyProtection="1">
      <alignment/>
      <protection locked="0"/>
    </xf>
    <xf numFmtId="0" fontId="9" fillId="0" borderId="12" xfId="55" applyNumberFormat="1" applyFont="1" applyBorder="1" applyAlignment="1" applyProtection="1">
      <alignment horizontal="center"/>
      <protection locked="0"/>
    </xf>
    <xf numFmtId="0" fontId="13" fillId="0" borderId="14" xfId="55" applyNumberFormat="1" applyFont="1" applyBorder="1" applyAlignment="1">
      <alignment horizontal="center"/>
      <protection/>
    </xf>
    <xf numFmtId="0" fontId="9" fillId="0" borderId="13" xfId="55" applyNumberFormat="1" applyFont="1" applyBorder="1" applyProtection="1">
      <alignment/>
      <protection locked="0"/>
    </xf>
    <xf numFmtId="3" fontId="9" fillId="0" borderId="0" xfId="55" applyNumberFormat="1" applyFont="1" applyBorder="1" applyProtection="1">
      <alignment/>
      <protection locked="0"/>
    </xf>
    <xf numFmtId="164" fontId="10" fillId="0" borderId="0" xfId="0" applyFont="1" applyBorder="1" applyAlignment="1" applyProtection="1">
      <alignment horizontal="centerContinuous"/>
      <protection/>
    </xf>
    <xf numFmtId="164" fontId="0" fillId="0" borderId="0" xfId="0" applyBorder="1" applyAlignment="1">
      <alignment horizontal="centerContinuous"/>
    </xf>
    <xf numFmtId="164" fontId="10" fillId="0" borderId="16" xfId="0" applyFont="1" applyBorder="1" applyAlignment="1" applyProtection="1">
      <alignment horizontal="center" vertical="center" wrapText="1"/>
      <protection/>
    </xf>
    <xf numFmtId="37" fontId="10" fillId="0" borderId="16" xfId="0" applyNumberFormat="1" applyFont="1" applyBorder="1" applyAlignment="1" applyProtection="1">
      <alignment horizontal="center" vertical="center" wrapText="1"/>
      <protection/>
    </xf>
    <xf numFmtId="39" fontId="10" fillId="0" borderId="16" xfId="0" applyNumberFormat="1" applyFont="1" applyBorder="1" applyAlignment="1" applyProtection="1">
      <alignment horizontal="center" vertical="center" wrapText="1"/>
      <protection/>
    </xf>
    <xf numFmtId="164" fontId="5" fillId="0" borderId="0" xfId="0" applyFont="1" applyFill="1" applyBorder="1" applyAlignment="1">
      <alignment horizontal="centerContinuous"/>
    </xf>
    <xf numFmtId="164" fontId="10" fillId="0" borderId="16" xfId="0" applyFont="1" applyFill="1" applyBorder="1" applyAlignment="1" applyProtection="1">
      <alignment horizontal="center" vertical="center" wrapText="1"/>
      <protection/>
    </xf>
    <xf numFmtId="37" fontId="10" fillId="0" borderId="16" xfId="0" applyNumberFormat="1" applyFont="1" applyFill="1" applyBorder="1" applyAlignment="1" applyProtection="1">
      <alignment horizontal="center" vertical="center" wrapText="1"/>
      <protection/>
    </xf>
    <xf numFmtId="164" fontId="10" fillId="0" borderId="17" xfId="0" applyFont="1" applyBorder="1" applyAlignment="1" applyProtection="1">
      <alignment horizontal="center" vertical="center" wrapText="1"/>
      <protection/>
    </xf>
    <xf numFmtId="164" fontId="10" fillId="0" borderId="18" xfId="0" applyFont="1" applyBorder="1" applyAlignment="1" applyProtection="1">
      <alignment horizontal="center" vertical="center" wrapText="1"/>
      <protection/>
    </xf>
    <xf numFmtId="164" fontId="10" fillId="0" borderId="0" xfId="0" applyFont="1" applyFill="1" applyBorder="1" applyAlignment="1" applyProtection="1">
      <alignment horizontal="centerContinuous"/>
      <protection/>
    </xf>
    <xf numFmtId="164" fontId="10" fillId="0" borderId="19" xfId="0" applyFont="1" applyFill="1" applyBorder="1" applyAlignment="1" applyProtection="1">
      <alignment horizontal="center" vertical="center" wrapText="1"/>
      <protection/>
    </xf>
    <xf numFmtId="37" fontId="10" fillId="0" borderId="19" xfId="0" applyNumberFormat="1" applyFont="1" applyFill="1" applyBorder="1" applyAlignment="1" applyProtection="1">
      <alignment horizontal="center" vertical="center" wrapText="1"/>
      <protection/>
    </xf>
    <xf numFmtId="39" fontId="10" fillId="0" borderId="19" xfId="0" applyNumberFormat="1" applyFont="1" applyFill="1" applyBorder="1" applyAlignment="1" applyProtection="1">
      <alignment horizontal="center" vertical="center" wrapText="1"/>
      <protection/>
    </xf>
    <xf numFmtId="39" fontId="10" fillId="0" borderId="16" xfId="0" applyNumberFormat="1" applyFont="1" applyFill="1" applyBorder="1" applyAlignment="1" applyProtection="1">
      <alignment horizontal="center" vertical="center" wrapText="1"/>
      <protection/>
    </xf>
    <xf numFmtId="39" fontId="4" fillId="0" borderId="20" xfId="0" applyNumberFormat="1" applyFont="1" applyFill="1" applyBorder="1" applyAlignment="1" applyProtection="1">
      <alignment/>
      <protection/>
    </xf>
    <xf numFmtId="164" fontId="16" fillId="0" borderId="0" xfId="0" applyFont="1" applyAlignment="1">
      <alignment/>
    </xf>
    <xf numFmtId="14" fontId="13" fillId="0" borderId="0" xfId="55" applyNumberFormat="1" applyFont="1" applyAlignment="1">
      <alignment horizontal="left"/>
      <protection/>
    </xf>
    <xf numFmtId="164" fontId="10" fillId="0" borderId="13" xfId="0" applyFont="1" applyFill="1" applyBorder="1" applyAlignment="1" applyProtection="1">
      <alignment horizontal="centerContinuous"/>
      <protection/>
    </xf>
    <xf numFmtId="164" fontId="10" fillId="0" borderId="21" xfId="0" applyFont="1" applyFill="1" applyBorder="1" applyAlignment="1" applyProtection="1">
      <alignment horizontal="centerContinuous"/>
      <protection/>
    </xf>
    <xf numFmtId="37" fontId="10" fillId="0" borderId="21" xfId="0" applyNumberFormat="1" applyFont="1" applyFill="1" applyBorder="1" applyAlignment="1" applyProtection="1">
      <alignment horizontal="centerContinuous"/>
      <protection/>
    </xf>
    <xf numFmtId="39" fontId="10" fillId="0" borderId="21" xfId="0" applyNumberFormat="1" applyFont="1" applyFill="1" applyBorder="1" applyAlignment="1" applyProtection="1">
      <alignment horizontal="centerContinuous"/>
      <protection/>
    </xf>
    <xf numFmtId="164" fontId="10" fillId="0" borderId="22" xfId="0" applyFont="1" applyFill="1" applyBorder="1" applyAlignment="1" applyProtection="1">
      <alignment horizontal="centerContinuous"/>
      <protection/>
    </xf>
    <xf numFmtId="164" fontId="10" fillId="0" borderId="14" xfId="0" applyFont="1" applyFill="1" applyBorder="1" applyAlignment="1" applyProtection="1">
      <alignment horizontal="centerContinuous"/>
      <protection/>
    </xf>
    <xf numFmtId="37" fontId="10" fillId="0" borderId="0" xfId="0" applyNumberFormat="1" applyFont="1" applyFill="1" applyBorder="1" applyAlignment="1" applyProtection="1">
      <alignment horizontal="centerContinuous"/>
      <protection/>
    </xf>
    <xf numFmtId="39" fontId="10" fillId="0" borderId="0" xfId="0" applyNumberFormat="1" applyFont="1" applyFill="1" applyBorder="1" applyAlignment="1" applyProtection="1">
      <alignment horizontal="centerContinuous"/>
      <protection/>
    </xf>
    <xf numFmtId="164" fontId="10" fillId="0" borderId="23" xfId="0" applyFont="1" applyFill="1" applyBorder="1" applyAlignment="1" applyProtection="1">
      <alignment horizontal="centerContinuous"/>
      <protection/>
    </xf>
    <xf numFmtId="164" fontId="10" fillId="0" borderId="15" xfId="0" applyFont="1" applyFill="1" applyBorder="1" applyAlignment="1" applyProtection="1">
      <alignment horizontal="centerContinuous"/>
      <protection/>
    </xf>
    <xf numFmtId="164" fontId="5" fillId="0" borderId="24" xfId="0" applyFont="1" applyFill="1" applyBorder="1" applyAlignment="1">
      <alignment horizontal="centerContinuous"/>
    </xf>
    <xf numFmtId="164" fontId="4" fillId="0" borderId="20" xfId="0" applyFont="1" applyFill="1" applyBorder="1" applyAlignment="1" applyProtection="1">
      <alignment horizontal="centerContinuous"/>
      <protection/>
    </xf>
    <xf numFmtId="164" fontId="5" fillId="0" borderId="20" xfId="0" applyFont="1" applyFill="1" applyBorder="1" applyAlignment="1">
      <alignment horizontal="centerContinuous"/>
    </xf>
    <xf numFmtId="164" fontId="5" fillId="0" borderId="23" xfId="0" applyFont="1" applyFill="1" applyBorder="1" applyAlignment="1">
      <alignment horizontal="centerContinuous"/>
    </xf>
    <xf numFmtId="39" fontId="4" fillId="0" borderId="24" xfId="0" applyNumberFormat="1" applyFont="1" applyFill="1" applyBorder="1" applyAlignment="1" applyProtection="1">
      <alignment/>
      <protection/>
    </xf>
    <xf numFmtId="164" fontId="10" fillId="0" borderId="24" xfId="0" applyFont="1" applyFill="1" applyBorder="1" applyAlignment="1" applyProtection="1">
      <alignment horizontal="centerContinuous"/>
      <protection/>
    </xf>
    <xf numFmtId="0" fontId="13" fillId="0" borderId="21" xfId="55" applyNumberFormat="1" applyFont="1" applyBorder="1" applyAlignment="1">
      <alignment/>
      <protection/>
    </xf>
    <xf numFmtId="0" fontId="13" fillId="0" borderId="0" xfId="55" applyNumberFormat="1" applyFont="1" applyBorder="1" applyAlignment="1">
      <alignment/>
      <protection/>
    </xf>
    <xf numFmtId="0" fontId="13" fillId="0" borderId="0" xfId="55" applyNumberFormat="1" applyFont="1" applyBorder="1" applyAlignment="1" applyProtection="1">
      <alignment horizontal="center"/>
      <protection locked="0"/>
    </xf>
    <xf numFmtId="0" fontId="18" fillId="0" borderId="0" xfId="55" applyNumberFormat="1" applyFont="1" applyAlignment="1">
      <alignment/>
      <protection/>
    </xf>
    <xf numFmtId="14" fontId="15" fillId="0" borderId="0" xfId="55" applyNumberFormat="1" applyFont="1" applyAlignment="1">
      <alignment horizontal="left"/>
      <protection/>
    </xf>
    <xf numFmtId="164" fontId="23" fillId="0" borderId="15" xfId="0" applyFont="1" applyFill="1" applyBorder="1" applyAlignment="1" applyProtection="1">
      <alignment/>
      <protection/>
    </xf>
    <xf numFmtId="167" fontId="23" fillId="0" borderId="24" xfId="0" applyNumberFormat="1" applyFont="1" applyFill="1" applyBorder="1" applyAlignment="1">
      <alignment/>
    </xf>
    <xf numFmtId="37" fontId="23" fillId="0" borderId="24" xfId="0" applyNumberFormat="1" applyFont="1" applyFill="1" applyBorder="1" applyAlignment="1" applyProtection="1">
      <alignment/>
      <protection locked="0"/>
    </xf>
    <xf numFmtId="168" fontId="23" fillId="0" borderId="24" xfId="42" applyNumberFormat="1" applyFont="1" applyFill="1" applyBorder="1" applyAlignment="1" applyProtection="1">
      <alignment/>
      <protection locked="0"/>
    </xf>
    <xf numFmtId="164" fontId="23" fillId="0" borderId="0" xfId="0" applyFont="1" applyFill="1" applyAlignment="1" applyProtection="1">
      <alignment/>
      <protection/>
    </xf>
    <xf numFmtId="164" fontId="23" fillId="0" borderId="0" xfId="0" applyFont="1" applyFill="1" applyAlignment="1" applyProtection="1">
      <alignment/>
      <protection locked="0"/>
    </xf>
    <xf numFmtId="4" fontId="9" fillId="0" borderId="0" xfId="55" applyNumberFormat="1" applyFont="1" applyProtection="1" quotePrefix="1">
      <alignment/>
      <protection locked="0"/>
    </xf>
    <xf numFmtId="0" fontId="13" fillId="0" borderId="14" xfId="55" applyNumberFormat="1" applyFont="1" applyFill="1" applyBorder="1" applyAlignment="1" applyProtection="1">
      <alignment/>
      <protection locked="0"/>
    </xf>
    <xf numFmtId="0" fontId="13" fillId="0" borderId="11" xfId="55" applyNumberFormat="1" applyFont="1" applyFill="1" applyBorder="1" applyAlignment="1" applyProtection="1">
      <alignment/>
      <protection locked="0"/>
    </xf>
    <xf numFmtId="0" fontId="13" fillId="0" borderId="15" xfId="55" applyNumberFormat="1" applyFont="1" applyFill="1" applyBorder="1" applyAlignment="1" applyProtection="1">
      <alignment/>
      <protection locked="0"/>
    </xf>
    <xf numFmtId="0" fontId="13" fillId="0" borderId="12" xfId="55" applyNumberFormat="1" applyFont="1" applyFill="1" applyBorder="1" applyAlignment="1" applyProtection="1">
      <alignment/>
      <protection locked="0"/>
    </xf>
    <xf numFmtId="3" fontId="13" fillId="0" borderId="11" xfId="55" applyNumberFormat="1" applyFont="1" applyBorder="1">
      <alignment/>
      <protection/>
    </xf>
    <xf numFmtId="3" fontId="13" fillId="0" borderId="11" xfId="55" applyNumberFormat="1" applyFont="1" applyBorder="1" applyProtection="1">
      <alignment/>
      <protection locked="0"/>
    </xf>
    <xf numFmtId="3" fontId="13" fillId="0" borderId="11" xfId="55" applyNumberFormat="1" applyFont="1" applyFill="1" applyBorder="1" applyProtection="1">
      <alignment/>
      <protection locked="0"/>
    </xf>
    <xf numFmtId="3" fontId="13" fillId="0" borderId="11" xfId="55" applyNumberFormat="1" applyFont="1" applyFill="1" applyBorder="1">
      <alignment/>
      <protection/>
    </xf>
    <xf numFmtId="3" fontId="13" fillId="0" borderId="12" xfId="55" applyNumberFormat="1" applyFont="1" applyBorder="1">
      <alignment/>
      <protection/>
    </xf>
    <xf numFmtId="3" fontId="13" fillId="0" borderId="12" xfId="55" applyNumberFormat="1" applyFont="1" applyBorder="1" applyProtection="1">
      <alignment/>
      <protection locked="0"/>
    </xf>
    <xf numFmtId="3" fontId="13" fillId="0" borderId="0" xfId="55" applyNumberFormat="1" applyFont="1" applyBorder="1">
      <alignment/>
      <protection/>
    </xf>
    <xf numFmtId="3" fontId="13" fillId="0" borderId="24" xfId="55" applyNumberFormat="1" applyFont="1" applyBorder="1" applyProtection="1">
      <alignment/>
      <protection locked="0"/>
    </xf>
    <xf numFmtId="0" fontId="21" fillId="0" borderId="0" xfId="55" applyNumberFormat="1" applyFont="1" applyAlignment="1">
      <alignment/>
      <protection/>
    </xf>
    <xf numFmtId="0" fontId="21" fillId="33" borderId="0" xfId="55" applyNumberFormat="1" applyFont="1" applyFill="1" applyAlignment="1">
      <alignment/>
      <protection/>
    </xf>
    <xf numFmtId="167" fontId="13" fillId="0" borderId="11" xfId="55" applyNumberFormat="1" applyFont="1" applyBorder="1" applyProtection="1">
      <alignment/>
      <protection locked="0"/>
    </xf>
    <xf numFmtId="167" fontId="13" fillId="0" borderId="11" xfId="55" applyNumberFormat="1" applyFont="1" applyFill="1" applyBorder="1" applyProtection="1">
      <alignment/>
      <protection locked="0"/>
    </xf>
    <xf numFmtId="167" fontId="13" fillId="0" borderId="12" xfId="55" applyNumberFormat="1" applyFont="1" applyBorder="1" applyProtection="1">
      <alignment/>
      <protection locked="0"/>
    </xf>
    <xf numFmtId="167" fontId="13" fillId="0" borderId="13" xfId="55" applyNumberFormat="1" applyFont="1" applyBorder="1">
      <alignment/>
      <protection/>
    </xf>
    <xf numFmtId="167" fontId="13" fillId="0" borderId="10" xfId="55" applyNumberFormat="1" applyFont="1" applyBorder="1">
      <alignment/>
      <protection/>
    </xf>
    <xf numFmtId="166" fontId="13" fillId="0" borderId="10" xfId="55" applyNumberFormat="1" applyFont="1" applyBorder="1">
      <alignment/>
      <protection/>
    </xf>
    <xf numFmtId="167" fontId="13" fillId="0" borderId="15" xfId="55" applyNumberFormat="1" applyFont="1" applyBorder="1" applyProtection="1">
      <alignment/>
      <protection locked="0"/>
    </xf>
    <xf numFmtId="164" fontId="10" fillId="0" borderId="10" xfId="0" applyFont="1" applyFill="1" applyBorder="1" applyAlignment="1" applyProtection="1">
      <alignment horizontal="left"/>
      <protection/>
    </xf>
    <xf numFmtId="167" fontId="13" fillId="0" borderId="10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13" fillId="0" borderId="10" xfId="0" applyNumberFormat="1" applyFont="1" applyBorder="1" applyAlignment="1">
      <alignment/>
    </xf>
    <xf numFmtId="37" fontId="10" fillId="0" borderId="10" xfId="0" applyNumberFormat="1" applyFont="1" applyFill="1" applyBorder="1" applyAlignment="1" applyProtection="1">
      <alignment/>
      <protection/>
    </xf>
    <xf numFmtId="39" fontId="10" fillId="0" borderId="10" xfId="0" applyNumberFormat="1" applyFont="1" applyFill="1" applyBorder="1" applyAlignment="1" applyProtection="1">
      <alignment/>
      <protection/>
    </xf>
    <xf numFmtId="164" fontId="10" fillId="0" borderId="10" xfId="0" applyFont="1" applyFill="1" applyBorder="1" applyAlignment="1">
      <alignment horizontal="center"/>
    </xf>
    <xf numFmtId="164" fontId="10" fillId="0" borderId="11" xfId="0" applyFont="1" applyFill="1" applyBorder="1" applyAlignment="1" applyProtection="1">
      <alignment horizontal="left"/>
      <protection/>
    </xf>
    <xf numFmtId="167" fontId="13" fillId="0" borderId="11" xfId="0" applyNumberFormat="1" applyFont="1" applyBorder="1" applyAlignment="1">
      <alignment/>
    </xf>
    <xf numFmtId="37" fontId="10" fillId="0" borderId="11" xfId="0" applyNumberFormat="1" applyFont="1" applyFill="1" applyBorder="1" applyAlignment="1" applyProtection="1">
      <alignment/>
      <protection/>
    </xf>
    <xf numFmtId="39" fontId="10" fillId="0" borderId="11" xfId="0" applyNumberFormat="1" applyFont="1" applyFill="1" applyBorder="1" applyAlignment="1" applyProtection="1">
      <alignment/>
      <protection/>
    </xf>
    <xf numFmtId="164" fontId="10" fillId="0" borderId="11" xfId="0" applyFont="1" applyFill="1" applyBorder="1" applyAlignment="1">
      <alignment horizontal="center"/>
    </xf>
    <xf numFmtId="164" fontId="10" fillId="0" borderId="12" xfId="0" applyFont="1" applyFill="1" applyBorder="1" applyAlignment="1" applyProtection="1">
      <alignment horizontal="left"/>
      <protection/>
    </xf>
    <xf numFmtId="167" fontId="13" fillId="0" borderId="12" xfId="0" applyNumberFormat="1" applyFont="1" applyBorder="1" applyAlignment="1">
      <alignment/>
    </xf>
    <xf numFmtId="3" fontId="13" fillId="0" borderId="12" xfId="0" applyNumberFormat="1" applyFont="1" applyBorder="1" applyAlignment="1">
      <alignment/>
    </xf>
    <xf numFmtId="37" fontId="10" fillId="0" borderId="12" xfId="0" applyNumberFormat="1" applyFont="1" applyFill="1" applyBorder="1" applyAlignment="1" applyProtection="1">
      <alignment/>
      <protection/>
    </xf>
    <xf numFmtId="39" fontId="10" fillId="0" borderId="12" xfId="0" applyNumberFormat="1" applyFont="1" applyFill="1" applyBorder="1" applyAlignment="1" applyProtection="1">
      <alignment/>
      <protection/>
    </xf>
    <xf numFmtId="164" fontId="10" fillId="0" borderId="12" xfId="0" applyFont="1" applyFill="1" applyBorder="1" applyAlignment="1">
      <alignment horizontal="center"/>
    </xf>
    <xf numFmtId="164" fontId="10" fillId="0" borderId="12" xfId="0" applyFont="1" applyFill="1" applyBorder="1" applyAlignment="1" applyProtection="1">
      <alignment/>
      <protection/>
    </xf>
    <xf numFmtId="167" fontId="10" fillId="0" borderId="12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/>
    </xf>
    <xf numFmtId="164" fontId="10" fillId="0" borderId="20" xfId="0" applyFont="1" applyFill="1" applyBorder="1" applyAlignment="1" applyProtection="1">
      <alignment/>
      <protection/>
    </xf>
    <xf numFmtId="3" fontId="13" fillId="0" borderId="13" xfId="0" applyNumberFormat="1" applyFont="1" applyBorder="1" applyAlignment="1">
      <alignment/>
    </xf>
    <xf numFmtId="3" fontId="13" fillId="0" borderId="14" xfId="0" applyNumberFormat="1" applyFont="1" applyBorder="1" applyAlignment="1">
      <alignment/>
    </xf>
    <xf numFmtId="3" fontId="13" fillId="0" borderId="15" xfId="0" applyNumberFormat="1" applyFont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1" xfId="0" applyNumberFormat="1" applyFont="1" applyFill="1" applyBorder="1" applyAlignment="1" quotePrefix="1">
      <alignment horizontal="right"/>
    </xf>
    <xf numFmtId="164" fontId="10" fillId="0" borderId="15" xfId="0" applyFont="1" applyFill="1" applyBorder="1" applyAlignment="1" applyProtection="1">
      <alignment horizontal="center" vertical="center" wrapText="1"/>
      <protection/>
    </xf>
    <xf numFmtId="164" fontId="10" fillId="0" borderId="12" xfId="0" applyFont="1" applyFill="1" applyBorder="1" applyAlignment="1" applyProtection="1">
      <alignment horizontal="center" vertical="center" wrapText="1"/>
      <protection/>
    </xf>
    <xf numFmtId="39" fontId="10" fillId="0" borderId="12" xfId="0" applyNumberFormat="1" applyFont="1" applyFill="1" applyBorder="1" applyAlignment="1" applyProtection="1">
      <alignment horizontal="center" vertical="center" wrapText="1"/>
      <protection/>
    </xf>
    <xf numFmtId="165" fontId="10" fillId="0" borderId="12" xfId="0" applyNumberFormat="1" applyFont="1" applyFill="1" applyBorder="1" applyAlignment="1" applyProtection="1">
      <alignment horizontal="right"/>
      <protection/>
    </xf>
    <xf numFmtId="39" fontId="10" fillId="0" borderId="20" xfId="0" applyNumberFormat="1" applyFont="1" applyFill="1" applyBorder="1" applyAlignment="1" applyProtection="1">
      <alignment/>
      <protection/>
    </xf>
    <xf numFmtId="0" fontId="21" fillId="34" borderId="0" xfId="55" applyNumberFormat="1" applyFont="1" applyFill="1" applyAlignment="1">
      <alignment/>
      <protection/>
    </xf>
    <xf numFmtId="0" fontId="9" fillId="34" borderId="0" xfId="55" applyNumberFormat="1" applyFont="1" applyFill="1" applyAlignment="1">
      <alignment/>
      <protection/>
    </xf>
    <xf numFmtId="0" fontId="22" fillId="34" borderId="0" xfId="55" applyNumberFormat="1" applyFont="1" applyFill="1" applyAlignment="1">
      <alignment/>
      <protection/>
    </xf>
    <xf numFmtId="0" fontId="24" fillId="0" borderId="0" xfId="55" applyNumberFormat="1" applyFont="1" applyAlignment="1">
      <alignment/>
      <protection/>
    </xf>
    <xf numFmtId="0" fontId="24" fillId="0" borderId="0" xfId="55" applyNumberFormat="1" applyFont="1" applyFill="1" applyAlignment="1">
      <alignment/>
      <protection/>
    </xf>
    <xf numFmtId="0" fontId="21" fillId="0" borderId="0" xfId="55" applyNumberFormat="1" applyFont="1" applyFill="1" applyAlignment="1">
      <alignment/>
      <protection/>
    </xf>
    <xf numFmtId="164" fontId="10" fillId="34" borderId="11" xfId="0" applyFont="1" applyFill="1" applyBorder="1" applyAlignment="1">
      <alignment horizontal="center"/>
    </xf>
    <xf numFmtId="164" fontId="10" fillId="34" borderId="11" xfId="0" applyFont="1" applyFill="1" applyBorder="1" applyAlignment="1" applyProtection="1">
      <alignment horizontal="left"/>
      <protection/>
    </xf>
    <xf numFmtId="167" fontId="13" fillId="34" borderId="11" xfId="0" applyNumberFormat="1" applyFont="1" applyFill="1" applyBorder="1" applyAlignment="1">
      <alignment/>
    </xf>
    <xf numFmtId="3" fontId="13" fillId="34" borderId="11" xfId="0" applyNumberFormat="1" applyFont="1" applyFill="1" applyBorder="1" applyAlignment="1">
      <alignment/>
    </xf>
    <xf numFmtId="37" fontId="10" fillId="34" borderId="11" xfId="0" applyNumberFormat="1" applyFont="1" applyFill="1" applyBorder="1" applyAlignment="1" applyProtection="1">
      <alignment/>
      <protection/>
    </xf>
    <xf numFmtId="39" fontId="10" fillId="34" borderId="11" xfId="0" applyNumberFormat="1" applyFont="1" applyFill="1" applyBorder="1" applyAlignment="1" applyProtection="1">
      <alignment/>
      <protection/>
    </xf>
    <xf numFmtId="3" fontId="13" fillId="34" borderId="14" xfId="0" applyNumberFormat="1" applyFont="1" applyFill="1" applyBorder="1" applyAlignment="1">
      <alignment/>
    </xf>
    <xf numFmtId="164" fontId="20" fillId="34" borderId="0" xfId="0" applyFont="1" applyFill="1" applyAlignment="1">
      <alignment/>
    </xf>
    <xf numFmtId="14" fontId="13" fillId="0" borderId="14" xfId="55" applyNumberFormat="1" applyFont="1" applyBorder="1" applyAlignment="1">
      <alignment horizontal="left"/>
      <protection/>
    </xf>
    <xf numFmtId="39" fontId="4" fillId="0" borderId="0" xfId="0" applyNumberFormat="1" applyFont="1" applyFill="1" applyBorder="1" applyAlignment="1" applyProtection="1">
      <alignment/>
      <protection/>
    </xf>
    <xf numFmtId="164" fontId="10" fillId="0" borderId="23" xfId="0" applyFont="1" applyFill="1" applyBorder="1" applyAlignment="1" applyProtection="1">
      <alignment/>
      <protection/>
    </xf>
    <xf numFmtId="164" fontId="20" fillId="34" borderId="25" xfId="0" applyFont="1" applyFill="1" applyBorder="1" applyAlignment="1">
      <alignment/>
    </xf>
    <xf numFmtId="164" fontId="4" fillId="0" borderId="25" xfId="0" applyFont="1" applyFill="1" applyBorder="1" applyAlignment="1" applyProtection="1">
      <alignment/>
      <protection/>
    </xf>
    <xf numFmtId="37" fontId="4" fillId="0" borderId="25" xfId="0" applyNumberFormat="1" applyFont="1" applyFill="1" applyBorder="1" applyAlignment="1" applyProtection="1">
      <alignment/>
      <protection/>
    </xf>
    <xf numFmtId="39" fontId="4" fillId="0" borderId="25" xfId="0" applyNumberFormat="1" applyFont="1" applyFill="1" applyBorder="1" applyAlignment="1" applyProtection="1">
      <alignment/>
      <protection/>
    </xf>
    <xf numFmtId="14" fontId="13" fillId="0" borderId="12" xfId="55" applyNumberFormat="1" applyFont="1" applyBorder="1" applyAlignment="1" applyProtection="1">
      <alignment horizontal="center"/>
      <protection locked="0"/>
    </xf>
    <xf numFmtId="164" fontId="13" fillId="0" borderId="12" xfId="55" applyNumberFormat="1" applyFont="1" applyBorder="1" applyAlignment="1" applyProtection="1">
      <alignment horizontal="center"/>
      <protection locked="0"/>
    </xf>
    <xf numFmtId="0" fontId="9" fillId="0" borderId="0" xfId="55" applyNumberFormat="1" applyFont="1" applyAlignment="1">
      <alignment/>
      <protection/>
    </xf>
    <xf numFmtId="0" fontId="9" fillId="0" borderId="0" xfId="55" applyNumberFormat="1" applyFont="1" applyAlignment="1" applyProtection="1">
      <alignment/>
      <protection locked="0"/>
    </xf>
    <xf numFmtId="0" fontId="9" fillId="35" borderId="0" xfId="55" applyNumberFormat="1" applyFont="1" applyFill="1" applyAlignment="1">
      <alignment/>
      <protection/>
    </xf>
    <xf numFmtId="0" fontId="9" fillId="0" borderId="0" xfId="55" applyNumberFormat="1" applyFont="1" applyFill="1" applyAlignment="1">
      <alignment/>
      <protection/>
    </xf>
    <xf numFmtId="0" fontId="13" fillId="35" borderId="0" xfId="55" applyNumberFormat="1" applyFont="1" applyFill="1" applyAlignment="1">
      <alignment/>
      <protection/>
    </xf>
    <xf numFmtId="0" fontId="13" fillId="36" borderId="0" xfId="55" applyNumberFormat="1" applyFont="1" applyFill="1" applyAlignment="1">
      <alignment/>
      <protection/>
    </xf>
    <xf numFmtId="0" fontId="9" fillId="0" borderId="0" xfId="55" applyNumberFormat="1" applyFont="1" applyProtection="1">
      <alignment/>
      <protection locked="0"/>
    </xf>
    <xf numFmtId="0" fontId="9" fillId="35" borderId="0" xfId="55" applyNumberFormat="1" applyFont="1" applyFill="1" applyAlignment="1">
      <alignment horizontal="center"/>
      <protection/>
    </xf>
    <xf numFmtId="0" fontId="13" fillId="0" borderId="15" xfId="55" applyNumberFormat="1" applyFont="1" applyBorder="1" applyAlignment="1">
      <alignment horizontal="right"/>
      <protection/>
    </xf>
    <xf numFmtId="0" fontId="19" fillId="0" borderId="0" xfId="55" applyNumberFormat="1" applyFont="1" applyFill="1" applyAlignment="1">
      <alignment/>
      <protection/>
    </xf>
    <xf numFmtId="0" fontId="19" fillId="0" borderId="0" xfId="55" applyNumberFormat="1" applyFont="1" applyAlignment="1">
      <alignment/>
      <protection/>
    </xf>
    <xf numFmtId="0" fontId="15" fillId="0" borderId="0" xfId="55" applyNumberFormat="1" applyFont="1" applyAlignment="1">
      <alignment/>
      <protection/>
    </xf>
    <xf numFmtId="0" fontId="2" fillId="0" borderId="0" xfId="55" applyNumberFormat="1" applyFont="1" applyFill="1" applyAlignme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Kwh &amp; Revenue 2007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105</xdr:row>
      <xdr:rowOff>0</xdr:rowOff>
    </xdr:from>
    <xdr:to>
      <xdr:col>9</xdr:col>
      <xdr:colOff>171450</xdr:colOff>
      <xdr:row>105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15850" y="216122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90"/>
  <sheetViews>
    <sheetView tabSelected="1" showOutlineSymbols="0" zoomScale="90" zoomScaleNormal="90" zoomScalePageLayoutView="0" workbookViewId="0" topLeftCell="E7">
      <selection activeCell="D17" sqref="D17"/>
    </sheetView>
  </sheetViews>
  <sheetFormatPr defaultColWidth="11.125" defaultRowHeight="12.75"/>
  <cols>
    <col min="1" max="1" width="5.625" style="42" customWidth="1"/>
    <col min="2" max="2" width="27.625" style="42" customWidth="1"/>
    <col min="3" max="3" width="17.25390625" style="42" customWidth="1"/>
    <col min="4" max="4" width="21.375" style="42" customWidth="1"/>
    <col min="5" max="5" width="18.875" style="42" customWidth="1"/>
    <col min="6" max="6" width="20.25390625" style="42" customWidth="1"/>
    <col min="7" max="7" width="18.875" style="42" customWidth="1"/>
    <col min="8" max="8" width="21.375" style="42" customWidth="1"/>
    <col min="9" max="9" width="22.75390625" style="42" customWidth="1"/>
    <col min="10" max="10" width="20.625" style="42" customWidth="1"/>
    <col min="11" max="11" width="21.375" style="42" customWidth="1"/>
    <col min="12" max="12" width="18.875" style="42" customWidth="1"/>
    <col min="13" max="13" width="21.375" style="42" customWidth="1"/>
    <col min="14" max="14" width="18.875" style="42" customWidth="1"/>
    <col min="15" max="16384" width="11.125" style="42" customWidth="1"/>
  </cols>
  <sheetData>
    <row r="1" spans="2:4" ht="15.75">
      <c r="B1" s="207" t="s">
        <v>100</v>
      </c>
      <c r="C1" s="205"/>
      <c r="D1" s="210"/>
    </row>
    <row r="2" spans="2:3" ht="15.75">
      <c r="B2" s="208" t="s">
        <v>99</v>
      </c>
      <c r="C2" s="206"/>
    </row>
    <row r="3" spans="2:3" ht="15">
      <c r="B3" s="119" t="s">
        <v>92</v>
      </c>
      <c r="C3" s="70" t="s">
        <v>93</v>
      </c>
    </row>
    <row r="4" spans="2:3" ht="15">
      <c r="B4" s="119" t="s">
        <v>94</v>
      </c>
      <c r="C4" s="69"/>
    </row>
    <row r="5" ht="15">
      <c r="B5" s="50"/>
    </row>
    <row r="6" spans="2:3" ht="15.75">
      <c r="B6" s="41" t="s">
        <v>108</v>
      </c>
      <c r="C6" s="41"/>
    </row>
    <row r="7" spans="2:3" ht="15.75">
      <c r="B7" s="41" t="s">
        <v>43</v>
      </c>
      <c r="C7" s="41"/>
    </row>
    <row r="8" spans="2:5" ht="15.75">
      <c r="B8" s="98">
        <f ca="1">NOW()</f>
        <v>42205.43621215278</v>
      </c>
      <c r="D8" s="44"/>
      <c r="E8" s="45"/>
    </row>
    <row r="9" ht="18">
      <c r="G9" s="59" t="s">
        <v>90</v>
      </c>
    </row>
    <row r="10" ht="15.75" thickBot="1"/>
    <row r="11" spans="2:14" ht="15.75">
      <c r="B11" s="71"/>
      <c r="C11" s="57"/>
      <c r="D11" s="57"/>
      <c r="E11" s="57"/>
      <c r="F11" s="57"/>
      <c r="G11" s="57"/>
      <c r="H11" s="57"/>
      <c r="I11" s="54"/>
      <c r="J11" s="53" t="s">
        <v>44</v>
      </c>
      <c r="K11" s="53" t="s">
        <v>45</v>
      </c>
      <c r="L11" s="54"/>
      <c r="M11" s="54"/>
      <c r="N11" s="57"/>
    </row>
    <row r="12" spans="2:14" ht="15.75">
      <c r="B12" s="72"/>
      <c r="C12" s="58"/>
      <c r="D12" s="56" t="s">
        <v>70</v>
      </c>
      <c r="E12" s="58"/>
      <c r="F12" s="56" t="s">
        <v>70</v>
      </c>
      <c r="G12" s="58"/>
      <c r="H12" s="56" t="s">
        <v>71</v>
      </c>
      <c r="I12" s="55" t="s">
        <v>46</v>
      </c>
      <c r="J12" s="55" t="s">
        <v>78</v>
      </c>
      <c r="K12" s="55" t="s">
        <v>47</v>
      </c>
      <c r="L12" s="56"/>
      <c r="M12" s="55" t="s">
        <v>48</v>
      </c>
      <c r="N12" s="58"/>
    </row>
    <row r="13" spans="2:15" ht="15.75">
      <c r="B13" s="78" t="s">
        <v>73</v>
      </c>
      <c r="C13" s="55" t="s">
        <v>37</v>
      </c>
      <c r="D13" s="56" t="s">
        <v>37</v>
      </c>
      <c r="E13" s="55" t="s">
        <v>39</v>
      </c>
      <c r="F13" s="56" t="s">
        <v>39</v>
      </c>
      <c r="G13" s="55" t="s">
        <v>40</v>
      </c>
      <c r="H13" s="56" t="s">
        <v>40</v>
      </c>
      <c r="I13" s="55" t="s">
        <v>49</v>
      </c>
      <c r="J13" s="55" t="s">
        <v>50</v>
      </c>
      <c r="K13" s="55" t="s">
        <v>51</v>
      </c>
      <c r="L13" s="55" t="s">
        <v>24</v>
      </c>
      <c r="M13" s="55" t="s">
        <v>52</v>
      </c>
      <c r="N13" s="58" t="s">
        <v>53</v>
      </c>
      <c r="O13" s="42" t="s">
        <v>84</v>
      </c>
    </row>
    <row r="14" spans="2:15" ht="16.5" thickBot="1">
      <c r="B14" s="74" t="s">
        <v>72</v>
      </c>
      <c r="C14" s="201" t="str">
        <f>B3</f>
        <v>kWh 2012</v>
      </c>
      <c r="D14" s="202" t="str">
        <f>C3</f>
        <v>Customers 2012</v>
      </c>
      <c r="E14" s="201" t="str">
        <f>B3</f>
        <v>kWh 2012</v>
      </c>
      <c r="F14" s="202" t="str">
        <f>C3</f>
        <v>Customers 2012</v>
      </c>
      <c r="G14" s="201" t="str">
        <f>B3</f>
        <v>kWh 2012</v>
      </c>
      <c r="H14" s="202" t="str">
        <f>C3</f>
        <v>Customers 2012</v>
      </c>
      <c r="I14" s="201" t="str">
        <f>B3</f>
        <v>kWh 2012</v>
      </c>
      <c r="J14" s="201" t="str">
        <f>B3</f>
        <v>kWh 2012</v>
      </c>
      <c r="K14" s="201" t="str">
        <f>B3</f>
        <v>kWh 2012</v>
      </c>
      <c r="L14" s="202" t="str">
        <f>C3</f>
        <v>Customers 2012</v>
      </c>
      <c r="M14" s="201" t="str">
        <f>B3</f>
        <v>kWh 2012</v>
      </c>
      <c r="N14" s="77" t="s">
        <v>2</v>
      </c>
      <c r="O14" s="126" t="s">
        <v>83</v>
      </c>
    </row>
    <row r="15" spans="2:14" ht="15">
      <c r="B15" s="79"/>
      <c r="C15" s="65"/>
      <c r="D15" s="65"/>
      <c r="E15" s="80"/>
      <c r="F15" s="65"/>
      <c r="G15" s="65"/>
      <c r="H15" s="65"/>
      <c r="I15" s="65"/>
      <c r="J15" s="65"/>
      <c r="K15" s="65"/>
      <c r="L15" s="65"/>
      <c r="M15" s="65"/>
      <c r="N15" s="75"/>
    </row>
    <row r="16" spans="2:14" ht="15.75">
      <c r="B16" s="127" t="s">
        <v>54</v>
      </c>
      <c r="C16" s="131">
        <v>10423026</v>
      </c>
      <c r="D16" s="131">
        <v>1958</v>
      </c>
      <c r="E16" s="131">
        <v>2814230</v>
      </c>
      <c r="F16" s="131">
        <v>198</v>
      </c>
      <c r="G16" s="131">
        <v>0</v>
      </c>
      <c r="H16" s="131">
        <v>0</v>
      </c>
      <c r="I16" s="131">
        <v>66936</v>
      </c>
      <c r="J16" s="131">
        <f>599296+203624</f>
        <v>802920</v>
      </c>
      <c r="K16" s="132">
        <f>C16+E16+G16++I16+J16</f>
        <v>14107112</v>
      </c>
      <c r="L16" s="131">
        <v>2186</v>
      </c>
      <c r="M16" s="131">
        <v>0</v>
      </c>
      <c r="N16" s="131">
        <f>K16+M16</f>
        <v>14107112</v>
      </c>
    </row>
    <row r="17" spans="2:14" ht="15.75">
      <c r="B17" s="127" t="s">
        <v>55</v>
      </c>
      <c r="C17" s="131">
        <v>84188984</v>
      </c>
      <c r="D17" s="131">
        <v>16502</v>
      </c>
      <c r="E17" s="131">
        <v>213015593</v>
      </c>
      <c r="F17" s="131">
        <v>3811</v>
      </c>
      <c r="G17" s="131">
        <v>41870023</v>
      </c>
      <c r="H17" s="131">
        <v>2</v>
      </c>
      <c r="I17" s="131">
        <v>4447656</v>
      </c>
      <c r="J17" s="131">
        <v>0</v>
      </c>
      <c r="K17" s="132">
        <f aca="true" t="shared" si="0" ref="K17:K33">C17+E17+G17++I17+J17</f>
        <v>343522256</v>
      </c>
      <c r="L17" s="131">
        <v>20316</v>
      </c>
      <c r="M17" s="131">
        <v>0</v>
      </c>
      <c r="N17" s="131">
        <f aca="true" t="shared" si="1" ref="N17:N33">K17+M17</f>
        <v>343522256</v>
      </c>
    </row>
    <row r="18" spans="2:14" ht="15.75">
      <c r="B18" s="128" t="s">
        <v>106</v>
      </c>
      <c r="C18" s="131">
        <v>702432000</v>
      </c>
      <c r="D18" s="131">
        <v>137618</v>
      </c>
      <c r="E18" s="131">
        <v>620094000</v>
      </c>
      <c r="F18" s="131">
        <v>23113</v>
      </c>
      <c r="G18" s="131">
        <v>430854000</v>
      </c>
      <c r="H18" s="131">
        <v>38</v>
      </c>
      <c r="I18" s="131">
        <v>4711000</v>
      </c>
      <c r="J18" s="131">
        <v>9000</v>
      </c>
      <c r="K18" s="132">
        <f t="shared" si="0"/>
        <v>1758100000</v>
      </c>
      <c r="L18" s="131">
        <v>160942</v>
      </c>
      <c r="M18" s="131">
        <v>232591000</v>
      </c>
      <c r="N18" s="131">
        <f t="shared" si="1"/>
        <v>1990691000</v>
      </c>
    </row>
    <row r="19" spans="2:14" ht="15.75">
      <c r="B19" s="127" t="s">
        <v>56</v>
      </c>
      <c r="C19" s="131">
        <f>3778043+9367293</f>
        <v>13145336</v>
      </c>
      <c r="D19" s="131">
        <f>577+890</f>
        <v>1467</v>
      </c>
      <c r="E19" s="131">
        <v>1591038</v>
      </c>
      <c r="F19" s="131">
        <v>131</v>
      </c>
      <c r="G19" s="131">
        <v>11028972</v>
      </c>
      <c r="H19" s="131">
        <v>24</v>
      </c>
      <c r="I19" s="131">
        <v>167852</v>
      </c>
      <c r="J19" s="131">
        <v>1024737</v>
      </c>
      <c r="K19" s="132">
        <f t="shared" si="0"/>
        <v>26957935</v>
      </c>
      <c r="L19" s="131">
        <v>1665</v>
      </c>
      <c r="M19" s="131">
        <v>0</v>
      </c>
      <c r="N19" s="131">
        <f t="shared" si="1"/>
        <v>26957935</v>
      </c>
    </row>
    <row r="20" spans="2:14" ht="15.75">
      <c r="B20" s="128" t="s">
        <v>107</v>
      </c>
      <c r="C20" s="131">
        <v>786169000</v>
      </c>
      <c r="D20" s="131">
        <v>115545</v>
      </c>
      <c r="E20" s="131">
        <v>890741000</v>
      </c>
      <c r="F20" s="131">
        <v>20529</v>
      </c>
      <c r="G20" s="131">
        <v>745480000</v>
      </c>
      <c r="H20" s="131">
        <v>38</v>
      </c>
      <c r="I20" s="131">
        <v>5869000</v>
      </c>
      <c r="J20" s="131">
        <v>59000</v>
      </c>
      <c r="K20" s="132">
        <f t="shared" si="0"/>
        <v>2428318000</v>
      </c>
      <c r="L20" s="131">
        <v>136210</v>
      </c>
      <c r="M20" s="131">
        <v>302404000</v>
      </c>
      <c r="N20" s="131">
        <f t="shared" si="1"/>
        <v>2730722000</v>
      </c>
    </row>
    <row r="21" spans="2:14" ht="15.75">
      <c r="B21" s="127" t="s">
        <v>57</v>
      </c>
      <c r="C21" s="131">
        <v>23055668</v>
      </c>
      <c r="D21" s="131">
        <v>3973</v>
      </c>
      <c r="E21" s="131">
        <v>4520815</v>
      </c>
      <c r="F21" s="131">
        <v>403</v>
      </c>
      <c r="G21" s="131">
        <v>3981592</v>
      </c>
      <c r="H21" s="131">
        <v>25</v>
      </c>
      <c r="I21" s="131">
        <v>149002</v>
      </c>
      <c r="J21" s="131">
        <v>55361</v>
      </c>
      <c r="K21" s="132">
        <f t="shared" si="0"/>
        <v>31762438</v>
      </c>
      <c r="L21" s="131">
        <v>4420</v>
      </c>
      <c r="M21" s="131">
        <v>0</v>
      </c>
      <c r="N21" s="131">
        <f t="shared" si="1"/>
        <v>31762438</v>
      </c>
    </row>
    <row r="22" spans="2:18" ht="15.75">
      <c r="B22" s="127" t="s">
        <v>58</v>
      </c>
      <c r="C22" s="131">
        <v>7992937</v>
      </c>
      <c r="D22" s="131">
        <v>1167</v>
      </c>
      <c r="E22" s="131">
        <v>2432613</v>
      </c>
      <c r="F22" s="131">
        <v>123</v>
      </c>
      <c r="G22" s="131">
        <v>0</v>
      </c>
      <c r="H22" s="131">
        <v>0</v>
      </c>
      <c r="I22" s="131">
        <v>23136</v>
      </c>
      <c r="J22" s="131">
        <f>463001+26161</f>
        <v>489162</v>
      </c>
      <c r="K22" s="133">
        <f t="shared" si="0"/>
        <v>10937848</v>
      </c>
      <c r="L22" s="131">
        <v>1367</v>
      </c>
      <c r="M22" s="131">
        <v>0</v>
      </c>
      <c r="N22" s="131">
        <f t="shared" si="1"/>
        <v>10937848</v>
      </c>
      <c r="O22" s="49"/>
      <c r="P22" s="50"/>
      <c r="Q22" s="50"/>
      <c r="R22" s="50"/>
    </row>
    <row r="23" spans="2:15" ht="15.75">
      <c r="B23" s="127" t="s">
        <v>59</v>
      </c>
      <c r="C23" s="131">
        <v>3488350</v>
      </c>
      <c r="D23" s="131">
        <v>649</v>
      </c>
      <c r="E23" s="131">
        <v>564114</v>
      </c>
      <c r="F23" s="131">
        <v>48</v>
      </c>
      <c r="G23" s="131">
        <v>840563</v>
      </c>
      <c r="H23" s="131">
        <v>5</v>
      </c>
      <c r="I23" s="131">
        <v>41048</v>
      </c>
      <c r="J23" s="131">
        <v>0</v>
      </c>
      <c r="K23" s="133">
        <f t="shared" si="0"/>
        <v>4934075</v>
      </c>
      <c r="L23" s="131">
        <v>703</v>
      </c>
      <c r="M23" s="131">
        <v>0</v>
      </c>
      <c r="N23" s="131">
        <f t="shared" si="1"/>
        <v>4934075</v>
      </c>
      <c r="O23" s="49"/>
    </row>
    <row r="24" spans="2:14" ht="15.75">
      <c r="B24" s="127" t="s">
        <v>60</v>
      </c>
      <c r="C24" s="131">
        <v>5014301</v>
      </c>
      <c r="D24" s="131">
        <v>763</v>
      </c>
      <c r="E24" s="131">
        <v>977906</v>
      </c>
      <c r="F24" s="41">
        <v>98</v>
      </c>
      <c r="G24" s="131">
        <f>2330910+4134600</f>
        <v>6465510</v>
      </c>
      <c r="H24" s="131">
        <v>13</v>
      </c>
      <c r="I24" s="131">
        <v>54768</v>
      </c>
      <c r="J24" s="131">
        <v>595741</v>
      </c>
      <c r="K24" s="133">
        <f t="shared" si="0"/>
        <v>13108226</v>
      </c>
      <c r="L24" s="131">
        <v>935</v>
      </c>
      <c r="M24" s="131">
        <v>0</v>
      </c>
      <c r="N24" s="131">
        <f t="shared" si="1"/>
        <v>13108226</v>
      </c>
    </row>
    <row r="25" spans="2:14" ht="15.75">
      <c r="B25" s="127" t="s">
        <v>61</v>
      </c>
      <c r="C25" s="131">
        <v>15365543</v>
      </c>
      <c r="D25" s="131">
        <v>2968</v>
      </c>
      <c r="E25" s="131">
        <v>19092469</v>
      </c>
      <c r="F25" s="131">
        <v>639</v>
      </c>
      <c r="G25" s="131">
        <v>10834044</v>
      </c>
      <c r="H25" s="131">
        <v>4</v>
      </c>
      <c r="I25" s="131">
        <v>367499</v>
      </c>
      <c r="J25" s="131">
        <v>56123</v>
      </c>
      <c r="K25" s="132">
        <f t="shared" si="0"/>
        <v>45715678</v>
      </c>
      <c r="L25" s="131">
        <v>3615</v>
      </c>
      <c r="M25" s="131">
        <v>0</v>
      </c>
      <c r="N25" s="131">
        <f t="shared" si="1"/>
        <v>45715678</v>
      </c>
    </row>
    <row r="26" spans="2:15" ht="15.75">
      <c r="B26" s="127" t="s">
        <v>62</v>
      </c>
      <c r="C26" s="134">
        <f>30907609+1068890</f>
        <v>31976499</v>
      </c>
      <c r="D26" s="134">
        <f>4761+35</f>
        <v>4796</v>
      </c>
      <c r="E26" s="134">
        <f>10363933</f>
        <v>10363933</v>
      </c>
      <c r="F26" s="134">
        <v>784</v>
      </c>
      <c r="G26" s="134">
        <f>16461298+6890761</f>
        <v>23352059</v>
      </c>
      <c r="H26" s="134">
        <v>41</v>
      </c>
      <c r="I26" s="134">
        <v>487317</v>
      </c>
      <c r="J26" s="134">
        <v>0</v>
      </c>
      <c r="K26" s="133">
        <f t="shared" si="0"/>
        <v>66179808</v>
      </c>
      <c r="L26" s="134">
        <v>5621</v>
      </c>
      <c r="M26" s="134">
        <v>0</v>
      </c>
      <c r="N26" s="134">
        <f t="shared" si="1"/>
        <v>66179808</v>
      </c>
      <c r="O26" s="51"/>
    </row>
    <row r="27" spans="2:15" ht="15.75">
      <c r="B27" s="127" t="s">
        <v>63</v>
      </c>
      <c r="C27" s="131">
        <v>20630338</v>
      </c>
      <c r="D27" s="131">
        <v>3335</v>
      </c>
      <c r="E27" s="131">
        <v>23452156</v>
      </c>
      <c r="F27" s="131">
        <v>580</v>
      </c>
      <c r="G27" s="131">
        <v>0</v>
      </c>
      <c r="H27" s="131">
        <v>0</v>
      </c>
      <c r="I27" s="131">
        <v>116517</v>
      </c>
      <c r="J27" s="131">
        <v>0</v>
      </c>
      <c r="K27" s="132">
        <f t="shared" si="0"/>
        <v>44199011</v>
      </c>
      <c r="L27" s="131">
        <v>3917</v>
      </c>
      <c r="M27" s="131">
        <v>0</v>
      </c>
      <c r="N27" s="131">
        <f t="shared" si="1"/>
        <v>44199011</v>
      </c>
      <c r="O27" s="51"/>
    </row>
    <row r="28" spans="2:14" ht="15.75">
      <c r="B28" s="127" t="s">
        <v>64</v>
      </c>
      <c r="C28" s="131">
        <v>10428560</v>
      </c>
      <c r="D28" s="131">
        <v>1628</v>
      </c>
      <c r="E28" s="131">
        <v>2448495</v>
      </c>
      <c r="F28" s="131">
        <v>171</v>
      </c>
      <c r="G28" s="131">
        <f>5957054+8282749</f>
        <v>14239803</v>
      </c>
      <c r="H28" s="131">
        <v>17</v>
      </c>
      <c r="I28" s="131">
        <v>173793</v>
      </c>
      <c r="J28" s="131">
        <f>2024667+42631</f>
        <v>2067298</v>
      </c>
      <c r="K28" s="132">
        <f t="shared" si="0"/>
        <v>29357949</v>
      </c>
      <c r="L28" s="131">
        <v>1879</v>
      </c>
      <c r="M28" s="131">
        <v>0</v>
      </c>
      <c r="N28" s="131">
        <f t="shared" si="1"/>
        <v>29357949</v>
      </c>
    </row>
    <row r="29" spans="2:14" ht="15.75">
      <c r="B29" s="127" t="s">
        <v>65</v>
      </c>
      <c r="C29" s="131">
        <v>4145010</v>
      </c>
      <c r="D29" s="131">
        <v>582</v>
      </c>
      <c r="E29" s="131">
        <v>1749477</v>
      </c>
      <c r="F29" s="131">
        <v>65</v>
      </c>
      <c r="G29" s="131">
        <v>6580800</v>
      </c>
      <c r="H29" s="131">
        <v>1</v>
      </c>
      <c r="I29" s="131">
        <v>153792</v>
      </c>
      <c r="J29" s="131">
        <v>370353</v>
      </c>
      <c r="K29" s="132">
        <f t="shared" si="0"/>
        <v>12999432</v>
      </c>
      <c r="L29" s="131">
        <v>668</v>
      </c>
      <c r="M29" s="131">
        <v>0</v>
      </c>
      <c r="N29" s="131">
        <f t="shared" si="1"/>
        <v>12999432</v>
      </c>
    </row>
    <row r="30" spans="2:17" ht="15.75">
      <c r="B30" s="127" t="s">
        <v>66</v>
      </c>
      <c r="C30" s="134">
        <v>20718659</v>
      </c>
      <c r="D30" s="134">
        <v>3248</v>
      </c>
      <c r="E30" s="134">
        <v>38802497</v>
      </c>
      <c r="F30" s="134">
        <v>740</v>
      </c>
      <c r="G30" s="134">
        <v>10939920</v>
      </c>
      <c r="H30" s="134">
        <v>1</v>
      </c>
      <c r="I30" s="134">
        <v>70594</v>
      </c>
      <c r="J30" s="134">
        <v>0</v>
      </c>
      <c r="K30" s="133">
        <f t="shared" si="0"/>
        <v>70531670</v>
      </c>
      <c r="L30" s="134">
        <v>3993</v>
      </c>
      <c r="M30" s="134">
        <v>0</v>
      </c>
      <c r="N30" s="134">
        <f t="shared" si="1"/>
        <v>70531670</v>
      </c>
      <c r="O30" s="50"/>
      <c r="P30" s="50"/>
      <c r="Q30" s="50"/>
    </row>
    <row r="31" spans="2:29" ht="15.75">
      <c r="B31" s="127" t="s">
        <v>67</v>
      </c>
      <c r="C31" s="131">
        <f>24414839+2168808</f>
        <v>26583647</v>
      </c>
      <c r="D31" s="131">
        <f>3137+57</f>
        <v>3194</v>
      </c>
      <c r="E31" s="131">
        <v>25926939</v>
      </c>
      <c r="F31" s="131">
        <v>432</v>
      </c>
      <c r="G31" s="131">
        <v>0</v>
      </c>
      <c r="H31" s="131">
        <v>0</v>
      </c>
      <c r="I31" s="131">
        <v>258036</v>
      </c>
      <c r="J31" s="131">
        <v>1102089</v>
      </c>
      <c r="K31" s="132">
        <f t="shared" si="0"/>
        <v>53870711</v>
      </c>
      <c r="L31" s="131">
        <v>3639</v>
      </c>
      <c r="M31" s="131">
        <v>2392200</v>
      </c>
      <c r="N31" s="131">
        <f t="shared" si="1"/>
        <v>56262911</v>
      </c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</row>
    <row r="32" spans="2:29" ht="15.75">
      <c r="B32" s="128" t="s">
        <v>85</v>
      </c>
      <c r="C32" s="131">
        <v>218455279</v>
      </c>
      <c r="D32" s="131">
        <v>33852</v>
      </c>
      <c r="E32" s="131">
        <v>102701224</v>
      </c>
      <c r="F32" s="131">
        <v>3581</v>
      </c>
      <c r="G32" s="131">
        <v>99291979</v>
      </c>
      <c r="H32" s="131">
        <v>11</v>
      </c>
      <c r="I32" s="131">
        <v>1133356</v>
      </c>
      <c r="J32" s="131">
        <f>15510224+244928</f>
        <v>15755152</v>
      </c>
      <c r="K32" s="132">
        <f t="shared" si="0"/>
        <v>437336990</v>
      </c>
      <c r="L32" s="131">
        <v>37979</v>
      </c>
      <c r="M32" s="134">
        <v>24132491</v>
      </c>
      <c r="N32" s="131">
        <f t="shared" si="1"/>
        <v>461469481</v>
      </c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</row>
    <row r="33" spans="2:14" ht="16.5" thickBot="1">
      <c r="B33" s="129" t="s">
        <v>23</v>
      </c>
      <c r="C33" s="135">
        <v>61418046</v>
      </c>
      <c r="D33" s="135">
        <v>10222</v>
      </c>
      <c r="E33" s="135">
        <v>4162651</v>
      </c>
      <c r="F33" s="135">
        <v>421</v>
      </c>
      <c r="G33" s="135">
        <v>3369064</v>
      </c>
      <c r="H33" s="135">
        <v>11</v>
      </c>
      <c r="I33" s="135">
        <v>42511</v>
      </c>
      <c r="J33" s="135">
        <v>0</v>
      </c>
      <c r="K33" s="136">
        <f t="shared" si="0"/>
        <v>68992272</v>
      </c>
      <c r="L33" s="135">
        <v>10654</v>
      </c>
      <c r="M33" s="135">
        <v>0</v>
      </c>
      <c r="N33" s="135">
        <f t="shared" si="1"/>
        <v>68992272</v>
      </c>
    </row>
    <row r="34" spans="2:14" ht="15.75">
      <c r="B34" s="72"/>
      <c r="C34" s="131"/>
      <c r="D34" s="131"/>
      <c r="E34" s="137"/>
      <c r="F34" s="131"/>
      <c r="G34" s="131"/>
      <c r="H34" s="131"/>
      <c r="I34" s="131"/>
      <c r="J34" s="131"/>
      <c r="K34" s="131"/>
      <c r="L34" s="131"/>
      <c r="M34" s="131"/>
      <c r="N34" s="62"/>
    </row>
    <row r="35" spans="2:14" ht="16.5" thickBot="1">
      <c r="B35" s="211" t="s">
        <v>42</v>
      </c>
      <c r="C35" s="136">
        <f aca="true" t="shared" si="2" ref="C35:N35">SUM(C16:C33)</f>
        <v>2045631183</v>
      </c>
      <c r="D35" s="136">
        <f t="shared" si="2"/>
        <v>343467</v>
      </c>
      <c r="E35" s="138">
        <f t="shared" si="2"/>
        <v>1965451150</v>
      </c>
      <c r="F35" s="136">
        <f t="shared" si="2"/>
        <v>55867</v>
      </c>
      <c r="G35" s="136">
        <f t="shared" si="2"/>
        <v>1409128329</v>
      </c>
      <c r="H35" s="136">
        <f t="shared" si="2"/>
        <v>231</v>
      </c>
      <c r="I35" s="136">
        <f t="shared" si="2"/>
        <v>18333813</v>
      </c>
      <c r="J35" s="136">
        <f t="shared" si="2"/>
        <v>22386936</v>
      </c>
      <c r="K35" s="136">
        <f t="shared" si="2"/>
        <v>5460931411</v>
      </c>
      <c r="L35" s="136">
        <f t="shared" si="2"/>
        <v>400709</v>
      </c>
      <c r="M35" s="136">
        <f t="shared" si="2"/>
        <v>561519691</v>
      </c>
      <c r="N35" s="136">
        <f t="shared" si="2"/>
        <v>6022451102</v>
      </c>
    </row>
    <row r="36" spans="3:13" ht="15"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</row>
    <row r="38" spans="2:5" ht="15.75">
      <c r="B38" s="183" t="s">
        <v>79</v>
      </c>
      <c r="C38" s="139"/>
      <c r="D38" s="139"/>
      <c r="E38" s="41"/>
    </row>
    <row r="39" spans="2:5" ht="15.75">
      <c r="B39" s="140" t="s">
        <v>102</v>
      </c>
      <c r="C39" s="140"/>
      <c r="D39" s="139"/>
      <c r="E39" s="118"/>
    </row>
    <row r="40" spans="2:5" ht="15.75">
      <c r="B40" s="140" t="s">
        <v>101</v>
      </c>
      <c r="C40" s="140"/>
      <c r="D40" s="139"/>
      <c r="E40" s="41"/>
    </row>
    <row r="41" spans="2:5" ht="15.75">
      <c r="B41" s="184" t="s">
        <v>88</v>
      </c>
      <c r="C41" s="185"/>
      <c r="D41" s="139"/>
      <c r="E41" s="41"/>
    </row>
    <row r="42" spans="2:5" ht="15.75">
      <c r="B42" s="185" t="s">
        <v>105</v>
      </c>
      <c r="C42" s="185"/>
      <c r="D42" s="139"/>
      <c r="E42" s="41"/>
    </row>
    <row r="43" spans="2:5" ht="15.75">
      <c r="B43" s="185"/>
      <c r="C43" s="185"/>
      <c r="D43" s="139"/>
      <c r="E43" s="41"/>
    </row>
    <row r="44" ht="15">
      <c r="B44" s="204" t="s">
        <v>98</v>
      </c>
    </row>
    <row r="45" ht="15">
      <c r="B45" s="203" t="s">
        <v>97</v>
      </c>
    </row>
    <row r="46" ht="15">
      <c r="B46" s="204" t="s">
        <v>109</v>
      </c>
    </row>
    <row r="47" ht="15">
      <c r="H47" s="67"/>
    </row>
    <row r="49" spans="2:3" ht="15.75">
      <c r="B49" s="41" t="s">
        <v>108</v>
      </c>
      <c r="C49" s="41"/>
    </row>
    <row r="50" spans="2:3" ht="15.75">
      <c r="B50" s="41" t="s">
        <v>43</v>
      </c>
      <c r="C50" s="41"/>
    </row>
    <row r="51" ht="15.75">
      <c r="B51" s="98">
        <f ca="1">NOW()</f>
        <v>42205.43621215278</v>
      </c>
    </row>
    <row r="52" spans="2:13" ht="18">
      <c r="B52" s="50"/>
      <c r="G52" s="59" t="s">
        <v>91</v>
      </c>
      <c r="M52" s="46"/>
    </row>
    <row r="53" ht="15.75" thickBot="1"/>
    <row r="54" spans="2:12" ht="15.75">
      <c r="B54" s="75"/>
      <c r="C54" s="61"/>
      <c r="D54" s="115"/>
      <c r="E54" s="61"/>
      <c r="F54" s="61"/>
      <c r="G54" s="53" t="s">
        <v>44</v>
      </c>
      <c r="H54" s="61"/>
      <c r="I54" s="61"/>
      <c r="J54" s="61"/>
      <c r="K54" s="61"/>
      <c r="L54" s="75"/>
    </row>
    <row r="55" spans="2:12" ht="15.75">
      <c r="B55" s="60"/>
      <c r="C55" s="62"/>
      <c r="D55" s="116"/>
      <c r="E55" s="62"/>
      <c r="F55" s="55" t="s">
        <v>46</v>
      </c>
      <c r="G55" s="55" t="s">
        <v>77</v>
      </c>
      <c r="H55" s="62"/>
      <c r="I55" s="62"/>
      <c r="J55" s="63"/>
      <c r="K55" s="62"/>
      <c r="L55" s="60"/>
    </row>
    <row r="56" spans="2:12" ht="15.75">
      <c r="B56" s="56" t="s">
        <v>73</v>
      </c>
      <c r="C56" s="55" t="s">
        <v>37</v>
      </c>
      <c r="D56" s="117" t="s">
        <v>39</v>
      </c>
      <c r="E56" s="55" t="s">
        <v>40</v>
      </c>
      <c r="F56" s="55" t="s">
        <v>49</v>
      </c>
      <c r="G56" s="55" t="s">
        <v>50</v>
      </c>
      <c r="H56" s="55" t="s">
        <v>68</v>
      </c>
      <c r="I56" s="55" t="s">
        <v>95</v>
      </c>
      <c r="J56" s="55" t="s">
        <v>69</v>
      </c>
      <c r="K56" s="55" t="s">
        <v>87</v>
      </c>
      <c r="L56" s="56" t="s">
        <v>96</v>
      </c>
    </row>
    <row r="57" spans="2:14" ht="16.5" thickBot="1">
      <c r="B57" s="68" t="s">
        <v>72</v>
      </c>
      <c r="C57" s="201" t="str">
        <f>$B$4</f>
        <v>Revenue 2012</v>
      </c>
      <c r="D57" s="201" t="str">
        <f aca="true" t="shared" si="3" ref="D57:L57">$B$4</f>
        <v>Revenue 2012</v>
      </c>
      <c r="E57" s="201" t="str">
        <f t="shared" si="3"/>
        <v>Revenue 2012</v>
      </c>
      <c r="F57" s="201" t="str">
        <f t="shared" si="3"/>
        <v>Revenue 2012</v>
      </c>
      <c r="G57" s="201" t="str">
        <f t="shared" si="3"/>
        <v>Revenue 2012</v>
      </c>
      <c r="H57" s="201" t="str">
        <f t="shared" si="3"/>
        <v>Revenue 2012</v>
      </c>
      <c r="I57" s="201" t="str">
        <f t="shared" si="3"/>
        <v>Revenue 2012</v>
      </c>
      <c r="J57" s="201" t="str">
        <f t="shared" si="3"/>
        <v>Revenue 2012</v>
      </c>
      <c r="K57" s="201" t="str">
        <f t="shared" si="3"/>
        <v>Revenue 2012</v>
      </c>
      <c r="L57" s="201" t="str">
        <f t="shared" si="3"/>
        <v>Revenue 2012</v>
      </c>
      <c r="M57" s="126" t="s">
        <v>83</v>
      </c>
      <c r="N57" s="52"/>
    </row>
    <row r="58" spans="2:14" ht="15">
      <c r="B58" s="64"/>
      <c r="C58" s="66"/>
      <c r="D58" s="73"/>
      <c r="E58" s="66"/>
      <c r="F58" s="66"/>
      <c r="G58" s="66"/>
      <c r="H58" s="66"/>
      <c r="I58" s="66"/>
      <c r="J58" s="66"/>
      <c r="K58" s="66"/>
      <c r="L58" s="76"/>
      <c r="M58" s="52"/>
      <c r="N58" s="52"/>
    </row>
    <row r="59" spans="2:14" ht="15.75">
      <c r="B59" s="128" t="s">
        <v>54</v>
      </c>
      <c r="C59" s="141">
        <v>1795655</v>
      </c>
      <c r="D59" s="141">
        <v>494433</v>
      </c>
      <c r="E59" s="141">
        <v>0</v>
      </c>
      <c r="F59" s="141">
        <v>16476</v>
      </c>
      <c r="G59" s="141">
        <f>111003+38555</f>
        <v>149558</v>
      </c>
      <c r="H59" s="141">
        <f aca="true" t="shared" si="4" ref="H59:H76">SUM(C59:G59)</f>
        <v>2456122</v>
      </c>
      <c r="I59" s="141">
        <v>-13539</v>
      </c>
      <c r="J59" s="141">
        <f aca="true" t="shared" si="5" ref="J59:J76">H59+I59</f>
        <v>2442583</v>
      </c>
      <c r="K59" s="141">
        <v>5269</v>
      </c>
      <c r="L59" s="141">
        <f aca="true" t="shared" si="6" ref="L59:L76">J59+K59</f>
        <v>2447852</v>
      </c>
      <c r="M59" s="49"/>
      <c r="N59" s="46"/>
    </row>
    <row r="60" spans="2:14" ht="15.75">
      <c r="B60" s="128" t="s">
        <v>55</v>
      </c>
      <c r="C60" s="141">
        <v>13116245</v>
      </c>
      <c r="D60" s="141">
        <v>29267048</v>
      </c>
      <c r="E60" s="141">
        <v>4674135</v>
      </c>
      <c r="F60" s="141">
        <v>808849</v>
      </c>
      <c r="G60" s="141">
        <v>0</v>
      </c>
      <c r="H60" s="141">
        <f t="shared" si="4"/>
        <v>47866277</v>
      </c>
      <c r="I60" s="141">
        <v>10111316</v>
      </c>
      <c r="J60" s="141">
        <f t="shared" si="5"/>
        <v>57977593</v>
      </c>
      <c r="K60" s="141">
        <v>0</v>
      </c>
      <c r="L60" s="141">
        <f t="shared" si="6"/>
        <v>57977593</v>
      </c>
      <c r="M60" s="46"/>
      <c r="N60" s="46"/>
    </row>
    <row r="61" spans="2:14" ht="15.75">
      <c r="B61" s="128" t="s">
        <v>75</v>
      </c>
      <c r="C61" s="141">
        <v>117610930</v>
      </c>
      <c r="D61" s="141">
        <v>90099744</v>
      </c>
      <c r="E61" s="141">
        <v>40757559</v>
      </c>
      <c r="F61" s="141">
        <v>1626251</v>
      </c>
      <c r="G61" s="141">
        <v>1548</v>
      </c>
      <c r="H61" s="141">
        <f t="shared" si="4"/>
        <v>250096032</v>
      </c>
      <c r="I61" s="141">
        <v>10818602</v>
      </c>
      <c r="J61" s="141">
        <f t="shared" si="5"/>
        <v>260914634</v>
      </c>
      <c r="K61" s="141">
        <v>8705800</v>
      </c>
      <c r="L61" s="142">
        <f t="shared" si="6"/>
        <v>269620434</v>
      </c>
      <c r="M61" s="46"/>
      <c r="N61" s="46"/>
    </row>
    <row r="62" spans="2:14" ht="15.75">
      <c r="B62" s="128" t="s">
        <v>56</v>
      </c>
      <c r="C62" s="141">
        <f>606640+1502157</f>
        <v>2108797</v>
      </c>
      <c r="D62" s="141">
        <v>260109</v>
      </c>
      <c r="E62" s="141">
        <v>1617914</v>
      </c>
      <c r="F62" s="141">
        <v>30005</v>
      </c>
      <c r="G62" s="141">
        <v>164105</v>
      </c>
      <c r="H62" s="141">
        <f t="shared" si="4"/>
        <v>4180930</v>
      </c>
      <c r="I62" s="141">
        <v>7110</v>
      </c>
      <c r="J62" s="141">
        <f t="shared" si="5"/>
        <v>4188040</v>
      </c>
      <c r="K62" s="141">
        <v>0</v>
      </c>
      <c r="L62" s="141">
        <f t="shared" si="6"/>
        <v>4188040</v>
      </c>
      <c r="M62" s="46"/>
      <c r="N62" s="46"/>
    </row>
    <row r="63" spans="2:14" ht="15.75">
      <c r="B63" s="128" t="s">
        <v>76</v>
      </c>
      <c r="C63" s="141">
        <v>134287744</v>
      </c>
      <c r="D63" s="141">
        <v>124450887</v>
      </c>
      <c r="E63" s="141">
        <v>73096643</v>
      </c>
      <c r="F63" s="141">
        <v>1650944</v>
      </c>
      <c r="G63" s="141">
        <v>1178</v>
      </c>
      <c r="H63" s="141">
        <f t="shared" si="4"/>
        <v>333487396</v>
      </c>
      <c r="I63" s="141">
        <v>22221312</v>
      </c>
      <c r="J63" s="141">
        <f t="shared" si="5"/>
        <v>355708708</v>
      </c>
      <c r="K63" s="141">
        <v>11386550</v>
      </c>
      <c r="L63" s="142">
        <f t="shared" si="6"/>
        <v>367095258</v>
      </c>
      <c r="M63" s="209" t="s">
        <v>82</v>
      </c>
      <c r="N63" s="46"/>
    </row>
    <row r="64" spans="2:14" ht="15.75">
      <c r="B64" s="128" t="s">
        <v>57</v>
      </c>
      <c r="C64" s="141">
        <v>4236087</v>
      </c>
      <c r="D64" s="141">
        <v>836105</v>
      </c>
      <c r="E64" s="141">
        <v>690803</v>
      </c>
      <c r="F64" s="141">
        <v>58151</v>
      </c>
      <c r="G64" s="141">
        <v>0</v>
      </c>
      <c r="H64" s="141">
        <f t="shared" si="4"/>
        <v>5821146</v>
      </c>
      <c r="I64" s="141">
        <v>48810</v>
      </c>
      <c r="J64" s="141">
        <f t="shared" si="5"/>
        <v>5869956</v>
      </c>
      <c r="K64" s="141">
        <v>0</v>
      </c>
      <c r="L64" s="141">
        <f t="shared" si="6"/>
        <v>5869956</v>
      </c>
      <c r="M64" s="46"/>
      <c r="N64" s="46"/>
    </row>
    <row r="65" spans="2:14" ht="15.75">
      <c r="B65" s="128" t="s">
        <v>58</v>
      </c>
      <c r="C65" s="141">
        <v>1442149</v>
      </c>
      <c r="D65" s="141">
        <v>477289</v>
      </c>
      <c r="E65" s="141">
        <v>0</v>
      </c>
      <c r="F65" s="141">
        <v>5426</v>
      </c>
      <c r="G65" s="141">
        <f>86809+5628</f>
        <v>92437</v>
      </c>
      <c r="H65" s="141">
        <f t="shared" si="4"/>
        <v>2017301</v>
      </c>
      <c r="I65" s="141">
        <v>30836</v>
      </c>
      <c r="J65" s="141">
        <f t="shared" si="5"/>
        <v>2048137</v>
      </c>
      <c r="K65" s="141">
        <v>0</v>
      </c>
      <c r="L65" s="141">
        <f t="shared" si="6"/>
        <v>2048137</v>
      </c>
      <c r="M65" s="46"/>
      <c r="N65" s="49"/>
    </row>
    <row r="66" spans="2:14" ht="15.75">
      <c r="B66" s="128" t="s">
        <v>59</v>
      </c>
      <c r="C66" s="141">
        <v>590286</v>
      </c>
      <c r="D66" s="141">
        <v>96209</v>
      </c>
      <c r="E66" s="141">
        <v>145848</v>
      </c>
      <c r="F66" s="141">
        <v>5932</v>
      </c>
      <c r="G66" s="141">
        <v>0</v>
      </c>
      <c r="H66" s="141">
        <f t="shared" si="4"/>
        <v>838275</v>
      </c>
      <c r="I66" s="141">
        <v>34974</v>
      </c>
      <c r="J66" s="141">
        <f t="shared" si="5"/>
        <v>873249</v>
      </c>
      <c r="K66" s="141">
        <v>0</v>
      </c>
      <c r="L66" s="141">
        <f t="shared" si="6"/>
        <v>873249</v>
      </c>
      <c r="M66" s="46"/>
      <c r="N66" s="46"/>
    </row>
    <row r="67" spans="2:14" ht="15.75">
      <c r="B67" s="128" t="s">
        <v>60</v>
      </c>
      <c r="C67" s="141">
        <v>875743</v>
      </c>
      <c r="D67" s="141">
        <v>196902</v>
      </c>
      <c r="E67" s="141">
        <f>447541+665811</f>
        <v>1113352</v>
      </c>
      <c r="F67" s="141">
        <v>13001</v>
      </c>
      <c r="G67" s="141">
        <v>111622</v>
      </c>
      <c r="H67" s="141">
        <f t="shared" si="4"/>
        <v>2310620</v>
      </c>
      <c r="I67" s="141">
        <v>0</v>
      </c>
      <c r="J67" s="141">
        <f t="shared" si="5"/>
        <v>2310620</v>
      </c>
      <c r="K67" s="141">
        <v>0</v>
      </c>
      <c r="L67" s="141">
        <f t="shared" si="6"/>
        <v>2310620</v>
      </c>
      <c r="M67" s="46"/>
      <c r="N67" s="46"/>
    </row>
    <row r="68" spans="2:14" ht="15.75">
      <c r="B68" s="128" t="s">
        <v>61</v>
      </c>
      <c r="C68" s="141">
        <v>2140598</v>
      </c>
      <c r="D68" s="141">
        <v>2946928</v>
      </c>
      <c r="E68" s="141">
        <v>2133118</v>
      </c>
      <c r="F68" s="141">
        <v>99945</v>
      </c>
      <c r="G68" s="141">
        <v>0</v>
      </c>
      <c r="H68" s="141">
        <f t="shared" si="4"/>
        <v>7320589</v>
      </c>
      <c r="I68" s="141">
        <v>202008</v>
      </c>
      <c r="J68" s="141">
        <f t="shared" si="5"/>
        <v>7522597</v>
      </c>
      <c r="K68" s="141">
        <v>0</v>
      </c>
      <c r="L68" s="141">
        <f t="shared" si="6"/>
        <v>7522597</v>
      </c>
      <c r="M68" s="46"/>
      <c r="N68" s="46"/>
    </row>
    <row r="69" spans="2:14" ht="15.75">
      <c r="B69" s="128" t="s">
        <v>62</v>
      </c>
      <c r="C69" s="141">
        <f>4512215+175095</f>
        <v>4687310</v>
      </c>
      <c r="D69" s="141">
        <v>1740941</v>
      </c>
      <c r="E69" s="141">
        <f>2475660+993649</f>
        <v>3469309</v>
      </c>
      <c r="F69" s="141">
        <v>112738</v>
      </c>
      <c r="G69" s="141">
        <v>0</v>
      </c>
      <c r="H69" s="141">
        <f t="shared" si="4"/>
        <v>10010298</v>
      </c>
      <c r="I69" s="141">
        <v>256816</v>
      </c>
      <c r="J69" s="141">
        <f t="shared" si="5"/>
        <v>10267114</v>
      </c>
      <c r="K69" s="141">
        <v>0</v>
      </c>
      <c r="L69" s="141">
        <f t="shared" si="6"/>
        <v>10267114</v>
      </c>
      <c r="M69" s="209" t="s">
        <v>82</v>
      </c>
      <c r="N69" s="46"/>
    </row>
    <row r="70" spans="2:14" ht="15.75">
      <c r="B70" s="128" t="s">
        <v>63</v>
      </c>
      <c r="C70" s="141">
        <v>3244526</v>
      </c>
      <c r="D70" s="141">
        <v>3680839</v>
      </c>
      <c r="E70" s="141">
        <v>0</v>
      </c>
      <c r="F70" s="141">
        <v>36539</v>
      </c>
      <c r="G70" s="141">
        <v>0</v>
      </c>
      <c r="H70" s="141">
        <f>SUM(C70:G70)</f>
        <v>6961904</v>
      </c>
      <c r="I70" s="141">
        <v>135847</v>
      </c>
      <c r="J70" s="141">
        <f t="shared" si="5"/>
        <v>7097751</v>
      </c>
      <c r="K70" s="141">
        <v>0</v>
      </c>
      <c r="L70" s="141">
        <f t="shared" si="6"/>
        <v>7097751</v>
      </c>
      <c r="M70" s="46"/>
      <c r="N70" s="46"/>
    </row>
    <row r="71" spans="2:14" ht="15.75">
      <c r="B71" s="128" t="s">
        <v>64</v>
      </c>
      <c r="C71" s="141">
        <v>1448984</v>
      </c>
      <c r="D71" s="141">
        <v>359091</v>
      </c>
      <c r="E71" s="141">
        <f>1029740+812714</f>
        <v>1842454</v>
      </c>
      <c r="F71" s="141">
        <v>41953</v>
      </c>
      <c r="G71" s="141">
        <f>284637+10728</f>
        <v>295365</v>
      </c>
      <c r="H71" s="141">
        <f t="shared" si="4"/>
        <v>3987847</v>
      </c>
      <c r="I71" s="141">
        <v>19066</v>
      </c>
      <c r="J71" s="141">
        <f t="shared" si="5"/>
        <v>4006913</v>
      </c>
      <c r="K71" s="141">
        <v>0</v>
      </c>
      <c r="L71" s="141">
        <f t="shared" si="6"/>
        <v>4006913</v>
      </c>
      <c r="M71" s="46"/>
      <c r="N71" s="46"/>
    </row>
    <row r="72" spans="2:14" ht="15.75">
      <c r="B72" s="128" t="s">
        <v>65</v>
      </c>
      <c r="C72" s="141">
        <v>535543</v>
      </c>
      <c r="D72" s="141">
        <v>245697</v>
      </c>
      <c r="E72" s="141">
        <v>1011955</v>
      </c>
      <c r="F72" s="141">
        <v>22581</v>
      </c>
      <c r="G72" s="141">
        <v>53732</v>
      </c>
      <c r="H72" s="141">
        <f t="shared" si="4"/>
        <v>1869508</v>
      </c>
      <c r="I72" s="141">
        <v>51803</v>
      </c>
      <c r="J72" s="141">
        <f t="shared" si="5"/>
        <v>1921311</v>
      </c>
      <c r="K72" s="141">
        <v>0</v>
      </c>
      <c r="L72" s="141">
        <f t="shared" si="6"/>
        <v>1921311</v>
      </c>
      <c r="M72" s="46"/>
      <c r="N72" s="46"/>
    </row>
    <row r="73" spans="2:14" ht="15.75">
      <c r="B73" s="128" t="s">
        <v>66</v>
      </c>
      <c r="C73" s="141">
        <v>3799038</v>
      </c>
      <c r="D73" s="141">
        <v>5781998</v>
      </c>
      <c r="E73" s="141">
        <v>1275430</v>
      </c>
      <c r="F73" s="141">
        <v>28634</v>
      </c>
      <c r="G73" s="141">
        <v>0</v>
      </c>
      <c r="H73" s="141">
        <f t="shared" si="4"/>
        <v>10885100</v>
      </c>
      <c r="I73" s="141">
        <v>84952</v>
      </c>
      <c r="J73" s="141">
        <f t="shared" si="5"/>
        <v>10970052</v>
      </c>
      <c r="K73" s="141">
        <v>0</v>
      </c>
      <c r="L73" s="141">
        <f t="shared" si="6"/>
        <v>10970052</v>
      </c>
      <c r="M73" s="46"/>
      <c r="N73" s="46"/>
    </row>
    <row r="74" spans="2:16" ht="15.75">
      <c r="B74" s="128" t="s">
        <v>67</v>
      </c>
      <c r="C74" s="141">
        <f>2862156+237142</f>
        <v>3099298</v>
      </c>
      <c r="D74" s="141">
        <v>3267797</v>
      </c>
      <c r="E74" s="141">
        <v>0</v>
      </c>
      <c r="F74" s="141">
        <v>87215</v>
      </c>
      <c r="G74" s="141">
        <v>123810</v>
      </c>
      <c r="H74" s="141">
        <f t="shared" si="4"/>
        <v>6578120</v>
      </c>
      <c r="I74" s="141">
        <v>33539</v>
      </c>
      <c r="J74" s="141">
        <f t="shared" si="5"/>
        <v>6611659</v>
      </c>
      <c r="K74" s="141">
        <v>43870</v>
      </c>
      <c r="L74" s="141">
        <f t="shared" si="6"/>
        <v>6655529</v>
      </c>
      <c r="M74" s="49" t="s">
        <v>82</v>
      </c>
      <c r="N74" s="49"/>
      <c r="O74" s="50"/>
      <c r="P74" s="50"/>
    </row>
    <row r="75" spans="2:14" ht="15.75">
      <c r="B75" s="128" t="s">
        <v>22</v>
      </c>
      <c r="C75" s="141">
        <v>41099976</v>
      </c>
      <c r="D75" s="141">
        <v>16261338</v>
      </c>
      <c r="E75" s="141">
        <v>10028521</v>
      </c>
      <c r="F75" s="141">
        <v>367831</v>
      </c>
      <c r="G75" s="141">
        <v>2445657</v>
      </c>
      <c r="H75" s="141">
        <f t="shared" si="4"/>
        <v>70203323</v>
      </c>
      <c r="I75" s="141">
        <v>2992020</v>
      </c>
      <c r="J75" s="141">
        <f t="shared" si="5"/>
        <v>73195343</v>
      </c>
      <c r="K75" s="141">
        <v>672998</v>
      </c>
      <c r="L75" s="141">
        <f t="shared" si="6"/>
        <v>73868341</v>
      </c>
      <c r="M75" s="49"/>
      <c r="N75" s="46"/>
    </row>
    <row r="76" spans="2:12" ht="16.5" thickBot="1">
      <c r="B76" s="130" t="s">
        <v>23</v>
      </c>
      <c r="C76" s="141">
        <v>12036686</v>
      </c>
      <c r="D76" s="141">
        <v>763945</v>
      </c>
      <c r="E76" s="141">
        <v>455030</v>
      </c>
      <c r="F76" s="141">
        <v>13653</v>
      </c>
      <c r="G76" s="141">
        <v>0</v>
      </c>
      <c r="H76" s="143">
        <f t="shared" si="4"/>
        <v>13269314</v>
      </c>
      <c r="I76" s="141">
        <v>2132455</v>
      </c>
      <c r="J76" s="143">
        <f t="shared" si="5"/>
        <v>15401769</v>
      </c>
      <c r="K76" s="141">
        <v>0</v>
      </c>
      <c r="L76" s="143">
        <f t="shared" si="6"/>
        <v>15401769</v>
      </c>
    </row>
    <row r="77" spans="2:12" ht="15.75">
      <c r="B77" s="72"/>
      <c r="C77" s="144"/>
      <c r="D77" s="145"/>
      <c r="E77" s="145"/>
      <c r="F77" s="145"/>
      <c r="G77" s="145"/>
      <c r="H77" s="145"/>
      <c r="I77" s="145"/>
      <c r="J77" s="145"/>
      <c r="K77" s="145"/>
      <c r="L77" s="146"/>
    </row>
    <row r="78" spans="2:12" ht="16.5" thickBot="1">
      <c r="B78" s="211" t="s">
        <v>42</v>
      </c>
      <c r="C78" s="147">
        <f aca="true" t="shared" si="7" ref="C78:L78">SUM(C59:C76)</f>
        <v>348155595</v>
      </c>
      <c r="D78" s="143">
        <f t="shared" si="7"/>
        <v>281227300</v>
      </c>
      <c r="E78" s="143">
        <f t="shared" si="7"/>
        <v>142312071</v>
      </c>
      <c r="F78" s="143">
        <f t="shared" si="7"/>
        <v>5026124</v>
      </c>
      <c r="G78" s="143">
        <f t="shared" si="7"/>
        <v>3439012</v>
      </c>
      <c r="H78" s="143">
        <f t="shared" si="7"/>
        <v>780160102</v>
      </c>
      <c r="I78" s="143">
        <f t="shared" si="7"/>
        <v>49167927</v>
      </c>
      <c r="J78" s="143">
        <f t="shared" si="7"/>
        <v>829328029</v>
      </c>
      <c r="K78" s="143">
        <f t="shared" si="7"/>
        <v>20814487</v>
      </c>
      <c r="L78" s="143">
        <f t="shared" si="7"/>
        <v>850142516</v>
      </c>
    </row>
    <row r="80" spans="2:6" ht="15">
      <c r="B80" s="180" t="s">
        <v>74</v>
      </c>
      <c r="C80" s="180"/>
      <c r="D80" s="180"/>
      <c r="E80" s="180"/>
      <c r="F80" s="181"/>
    </row>
    <row r="81" spans="2:6" ht="15">
      <c r="B81" s="180" t="s">
        <v>103</v>
      </c>
      <c r="C81" s="180"/>
      <c r="D81" s="180"/>
      <c r="E81" s="182"/>
      <c r="F81" s="181"/>
    </row>
    <row r="82" spans="2:6" ht="15">
      <c r="B82" s="180" t="s">
        <v>104</v>
      </c>
      <c r="C82" s="180"/>
      <c r="D82" s="180"/>
      <c r="E82" s="180"/>
      <c r="F82" s="181"/>
    </row>
    <row r="83" spans="2:6" ht="15">
      <c r="B83" s="180" t="s">
        <v>86</v>
      </c>
      <c r="C83" s="180"/>
      <c r="D83" s="180"/>
      <c r="E83" s="180"/>
      <c r="F83" s="181"/>
    </row>
    <row r="84" spans="2:6" ht="15.75">
      <c r="B84" s="184" t="s">
        <v>88</v>
      </c>
      <c r="C84" s="185"/>
      <c r="D84" s="139"/>
      <c r="E84" s="41"/>
      <c r="F84" s="50"/>
    </row>
    <row r="85" spans="2:6" ht="15.75">
      <c r="B85" s="185" t="s">
        <v>105</v>
      </c>
      <c r="C85" s="185"/>
      <c r="D85" s="139"/>
      <c r="E85" s="41"/>
      <c r="F85" s="50"/>
    </row>
    <row r="86" spans="2:6" ht="15.75">
      <c r="B86" s="184"/>
      <c r="C86" s="185"/>
      <c r="D86" s="139"/>
      <c r="E86" s="41"/>
      <c r="F86" s="50"/>
    </row>
    <row r="87" ht="15">
      <c r="B87" s="204" t="s">
        <v>109</v>
      </c>
    </row>
    <row r="88" ht="15">
      <c r="B88" s="47" t="str">
        <f>B44</f>
        <v>FILE:kWh Revenue &amp; Ranking 2012.xls</v>
      </c>
    </row>
    <row r="89" ht="15">
      <c r="B89" s="42" t="str">
        <f>B45</f>
        <v>Sources:   2012 Annual Reports sent to the DPS from the responding utilities</v>
      </c>
    </row>
    <row r="90" ht="15">
      <c r="B90" s="47"/>
    </row>
  </sheetData>
  <sheetProtection/>
  <printOptions gridLines="1"/>
  <pageMargins left="0.5" right="0.5" top="0.5" bottom="0.5" header="0" footer="0"/>
  <pageSetup fitToHeight="1" fitToWidth="1" horizontalDpi="600" verticalDpi="600" orientation="landscape" paperSize="5" scale="43" r:id="rId1"/>
  <rowBreaks count="1" manualBreakCount="1">
    <brk id="46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BC132"/>
  <sheetViews>
    <sheetView defaultGridColor="0" zoomScaleSheetLayoutView="100" zoomScalePageLayoutView="0" colorId="22" workbookViewId="0" topLeftCell="A1">
      <selection activeCell="H15" sqref="H15"/>
    </sheetView>
  </sheetViews>
  <sheetFormatPr defaultColWidth="8.75390625" defaultRowHeight="12.75"/>
  <cols>
    <col min="1" max="1" width="24.25390625" style="0" customWidth="1"/>
    <col min="2" max="2" width="18.625" style="0" customWidth="1"/>
    <col min="3" max="3" width="20.75390625" style="0" customWidth="1"/>
    <col min="4" max="4" width="14.75390625" style="0" customWidth="1"/>
    <col min="5" max="5" width="17.625" style="0" customWidth="1"/>
    <col min="6" max="6" width="15.625" style="0" customWidth="1"/>
    <col min="7" max="7" width="17.125" style="0" customWidth="1"/>
    <col min="8" max="8" width="16.625" style="0" customWidth="1"/>
    <col min="9" max="9" width="18.875" style="0" customWidth="1"/>
    <col min="10" max="10" width="16.25390625" style="0" customWidth="1"/>
    <col min="11" max="11" width="11.75390625" style="0" customWidth="1"/>
    <col min="12" max="12" width="16.625" style="0" customWidth="1"/>
    <col min="13" max="249" width="11.75390625" style="0" customWidth="1"/>
  </cols>
  <sheetData>
    <row r="1" spans="1:7" ht="15.75">
      <c r="A1" s="98">
        <f ca="1">NOW()</f>
        <v>42205.43621215278</v>
      </c>
      <c r="G1" s="97" t="s">
        <v>81</v>
      </c>
    </row>
    <row r="2" spans="1:55" ht="19.5" customHeight="1">
      <c r="A2" s="43"/>
      <c r="B2" s="38"/>
      <c r="C2" s="39" t="str">
        <f>'KWH &amp; Rev 2012'!B6</f>
        <v>VERMONT PUBLIC SERVICE DEPARTMENT</v>
      </c>
      <c r="D2" s="36"/>
      <c r="E2" s="37"/>
      <c r="F2" s="35"/>
      <c r="G2" s="15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ht="19.5" customHeight="1">
      <c r="A3" s="12" t="s">
        <v>41</v>
      </c>
      <c r="B3" s="12"/>
      <c r="C3" s="12"/>
      <c r="D3" s="12"/>
      <c r="E3" s="13"/>
      <c r="F3" s="14"/>
      <c r="G3" s="12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55" ht="19.5" customHeight="1">
      <c r="A4" s="12" t="s">
        <v>37</v>
      </c>
      <c r="B4" s="12"/>
      <c r="C4" s="12"/>
      <c r="D4" s="12"/>
      <c r="E4" s="13"/>
      <c r="F4" s="14"/>
      <c r="G4" s="12"/>
      <c r="H4" s="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</row>
    <row r="5" spans="1:55" ht="15" customHeight="1" thickBot="1">
      <c r="A5" s="81">
        <v>2012</v>
      </c>
      <c r="B5" s="82"/>
      <c r="C5" s="82"/>
      <c r="D5" s="82"/>
      <c r="E5" s="82"/>
      <c r="F5" s="82"/>
      <c r="G5" s="16"/>
      <c r="H5" s="3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</row>
    <row r="6" spans="1:55" ht="30" customHeight="1" thickBot="1">
      <c r="A6" s="83" t="s">
        <v>0</v>
      </c>
      <c r="B6" s="89" t="s">
        <v>1</v>
      </c>
      <c r="C6" s="83" t="s">
        <v>2</v>
      </c>
      <c r="D6" s="90" t="s">
        <v>3</v>
      </c>
      <c r="E6" s="84" t="s">
        <v>4</v>
      </c>
      <c r="F6" s="85" t="s">
        <v>5</v>
      </c>
      <c r="G6" s="83" t="s">
        <v>6</v>
      </c>
      <c r="H6" s="3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1:55" ht="15" customHeight="1">
      <c r="A7" s="148" t="s">
        <v>7</v>
      </c>
      <c r="B7" s="149">
        <f>'KWH &amp; Rev 2012'!C59</f>
        <v>1795655</v>
      </c>
      <c r="C7" s="150">
        <f>'KWH &amp; Rev 2012'!C16</f>
        <v>10423026</v>
      </c>
      <c r="D7" s="151">
        <f>'KWH &amp; Rev 2012'!D16</f>
        <v>1958</v>
      </c>
      <c r="E7" s="152">
        <f aca="true" t="shared" si="0" ref="E7:E25">C7/D7</f>
        <v>5323.302349336057</v>
      </c>
      <c r="F7" s="153">
        <f aca="true" t="shared" si="1" ref="F7:F25">(B7/C7)*100</f>
        <v>17.227770515011667</v>
      </c>
      <c r="G7" s="154">
        <f aca="true" t="shared" si="2" ref="G7:G24">RANK(F7,$F$7:$F$24,1)</f>
        <v>12</v>
      </c>
      <c r="H7" s="3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1:55" ht="15" customHeight="1">
      <c r="A8" s="155" t="s">
        <v>8</v>
      </c>
      <c r="B8" s="156">
        <f>'KWH &amp; Rev 2012'!C60</f>
        <v>13116245</v>
      </c>
      <c r="C8" s="150">
        <f>'KWH &amp; Rev 2012'!C17</f>
        <v>84188984</v>
      </c>
      <c r="D8" s="150">
        <f>'KWH &amp; Rev 2012'!D17</f>
        <v>16502</v>
      </c>
      <c r="E8" s="157">
        <f t="shared" si="0"/>
        <v>5101.744273421404</v>
      </c>
      <c r="F8" s="158">
        <f t="shared" si="1"/>
        <v>15.57952641404961</v>
      </c>
      <c r="G8" s="159">
        <f t="shared" si="2"/>
        <v>6</v>
      </c>
      <c r="H8" s="3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</row>
    <row r="9" spans="1:55" ht="15" customHeight="1">
      <c r="A9" s="128" t="s">
        <v>75</v>
      </c>
      <c r="B9" s="156">
        <f>'KWH &amp; Rev 2012'!C61</f>
        <v>117610930</v>
      </c>
      <c r="C9" s="150">
        <f>'KWH &amp; Rev 2012'!C18</f>
        <v>702432000</v>
      </c>
      <c r="D9" s="150">
        <f>'KWH &amp; Rev 2012'!D18</f>
        <v>137618</v>
      </c>
      <c r="E9" s="157">
        <f t="shared" si="0"/>
        <v>5104.216018253426</v>
      </c>
      <c r="F9" s="158">
        <f t="shared" si="1"/>
        <v>16.743390107512184</v>
      </c>
      <c r="G9" s="159">
        <f t="shared" si="2"/>
        <v>9</v>
      </c>
      <c r="H9" s="32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1:55" ht="15" customHeight="1">
      <c r="A10" s="155" t="s">
        <v>9</v>
      </c>
      <c r="B10" s="156">
        <f>'KWH &amp; Rev 2012'!C62</f>
        <v>2108797</v>
      </c>
      <c r="C10" s="150">
        <f>'KWH &amp; Rev 2012'!C19</f>
        <v>13145336</v>
      </c>
      <c r="D10" s="150">
        <f>'KWH &amp; Rev 2012'!D19</f>
        <v>1467</v>
      </c>
      <c r="E10" s="157">
        <f t="shared" si="0"/>
        <v>8960.692569870484</v>
      </c>
      <c r="F10" s="158">
        <f t="shared" si="1"/>
        <v>16.042168872670885</v>
      </c>
      <c r="G10" s="159">
        <f t="shared" si="2"/>
        <v>8</v>
      </c>
      <c r="H10" s="3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 spans="1:55" ht="15" customHeight="1">
      <c r="A11" s="155" t="s">
        <v>10</v>
      </c>
      <c r="B11" s="156">
        <f>'KWH &amp; Rev 2012'!C63</f>
        <v>134287744</v>
      </c>
      <c r="C11" s="150">
        <f>'KWH &amp; Rev 2012'!C20</f>
        <v>786169000</v>
      </c>
      <c r="D11" s="150">
        <f>'KWH &amp; Rev 2012'!D20</f>
        <v>115545</v>
      </c>
      <c r="E11" s="157">
        <f t="shared" si="0"/>
        <v>6804.007096802112</v>
      </c>
      <c r="F11" s="158">
        <f t="shared" si="1"/>
        <v>17.081282014426925</v>
      </c>
      <c r="G11" s="159">
        <f t="shared" si="2"/>
        <v>11</v>
      </c>
      <c r="H11" s="32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</row>
    <row r="12" spans="1:55" ht="15" customHeight="1">
      <c r="A12" s="155" t="s">
        <v>11</v>
      </c>
      <c r="B12" s="156">
        <f>'KWH &amp; Rev 2012'!C64</f>
        <v>4236087</v>
      </c>
      <c r="C12" s="150">
        <f>'KWH &amp; Rev 2012'!C21</f>
        <v>23055668</v>
      </c>
      <c r="D12" s="150">
        <f>'KWH &amp; Rev 2012'!D21</f>
        <v>3973</v>
      </c>
      <c r="E12" s="157">
        <f t="shared" si="0"/>
        <v>5803.0878429398435</v>
      </c>
      <c r="F12" s="158">
        <f t="shared" si="1"/>
        <v>18.373299789015004</v>
      </c>
      <c r="G12" s="159">
        <f t="shared" si="2"/>
        <v>16</v>
      </c>
      <c r="H12" s="32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</row>
    <row r="13" spans="1:55" ht="15" customHeight="1">
      <c r="A13" s="155" t="s">
        <v>12</v>
      </c>
      <c r="B13" s="156">
        <f>'KWH &amp; Rev 2012'!C65</f>
        <v>1442149</v>
      </c>
      <c r="C13" s="150">
        <f>'KWH &amp; Rev 2012'!C22</f>
        <v>7992937</v>
      </c>
      <c r="D13" s="150">
        <f>'KWH &amp; Rev 2012'!D22</f>
        <v>1167</v>
      </c>
      <c r="E13" s="157">
        <f t="shared" si="0"/>
        <v>6849.131962296487</v>
      </c>
      <c r="F13" s="158">
        <f t="shared" si="1"/>
        <v>18.042792030013498</v>
      </c>
      <c r="G13" s="159">
        <f t="shared" si="2"/>
        <v>14</v>
      </c>
      <c r="H13" s="32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</row>
    <row r="14" spans="1:55" ht="15" customHeight="1">
      <c r="A14" s="155" t="s">
        <v>13</v>
      </c>
      <c r="B14" s="156">
        <f>'KWH &amp; Rev 2012'!C66</f>
        <v>590286</v>
      </c>
      <c r="C14" s="150">
        <f>'KWH &amp; Rev 2012'!C23</f>
        <v>3488350</v>
      </c>
      <c r="D14" s="150">
        <f>'KWH &amp; Rev 2012'!D23</f>
        <v>649</v>
      </c>
      <c r="E14" s="157">
        <f t="shared" si="0"/>
        <v>5374.961479198767</v>
      </c>
      <c r="F14" s="158">
        <f t="shared" si="1"/>
        <v>16.92163917038141</v>
      </c>
      <c r="G14" s="159">
        <f t="shared" si="2"/>
        <v>10</v>
      </c>
      <c r="H14" s="32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</row>
    <row r="15" spans="1:55" ht="15" customHeight="1">
      <c r="A15" s="155" t="s">
        <v>14</v>
      </c>
      <c r="B15" s="156">
        <f>'KWH &amp; Rev 2012'!C67</f>
        <v>875743</v>
      </c>
      <c r="C15" s="150">
        <f>'KWH &amp; Rev 2012'!C24</f>
        <v>5014301</v>
      </c>
      <c r="D15" s="150">
        <f>'KWH &amp; Rev 2012'!D24</f>
        <v>763</v>
      </c>
      <c r="E15" s="157">
        <f t="shared" si="0"/>
        <v>6571.823066841415</v>
      </c>
      <c r="F15" s="158">
        <f t="shared" si="1"/>
        <v>17.464906873360814</v>
      </c>
      <c r="G15" s="159">
        <f t="shared" si="2"/>
        <v>13</v>
      </c>
      <c r="H15" s="32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</row>
    <row r="16" spans="1:55" ht="15" customHeight="1">
      <c r="A16" s="187" t="s">
        <v>15</v>
      </c>
      <c r="B16" s="188">
        <f>'KWH &amp; Rev 2012'!C68</f>
        <v>2140598</v>
      </c>
      <c r="C16" s="189">
        <f>'KWH &amp; Rev 2012'!C25</f>
        <v>15365543</v>
      </c>
      <c r="D16" s="189">
        <f>'KWH &amp; Rev 2012'!D25</f>
        <v>2968</v>
      </c>
      <c r="E16" s="190">
        <f t="shared" si="0"/>
        <v>5177.06974393531</v>
      </c>
      <c r="F16" s="191">
        <f t="shared" si="1"/>
        <v>13.931157525640325</v>
      </c>
      <c r="G16" s="186">
        <f t="shared" si="2"/>
        <v>4</v>
      </c>
      <c r="H16" s="32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</row>
    <row r="17" spans="1:55" ht="15" customHeight="1">
      <c r="A17" s="187" t="s">
        <v>16</v>
      </c>
      <c r="B17" s="188">
        <f>'KWH &amp; Rev 2012'!C69</f>
        <v>4687310</v>
      </c>
      <c r="C17" s="189">
        <f>'KWH &amp; Rev 2012'!C26</f>
        <v>31976499</v>
      </c>
      <c r="D17" s="189">
        <f>'KWH &amp; Rev 2012'!D26</f>
        <v>4796</v>
      </c>
      <c r="E17" s="190">
        <f t="shared" si="0"/>
        <v>6667.326730608841</v>
      </c>
      <c r="F17" s="191">
        <f t="shared" si="1"/>
        <v>14.658609124157088</v>
      </c>
      <c r="G17" s="186">
        <f t="shared" si="2"/>
        <v>5</v>
      </c>
      <c r="H17" s="32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</row>
    <row r="18" spans="1:55" ht="15" customHeight="1">
      <c r="A18" s="155" t="s">
        <v>17</v>
      </c>
      <c r="B18" s="156">
        <f>'KWH &amp; Rev 2012'!C70</f>
        <v>3244526</v>
      </c>
      <c r="C18" s="150">
        <f>'KWH &amp; Rev 2012'!C27</f>
        <v>20630338</v>
      </c>
      <c r="D18" s="150">
        <f>'KWH &amp; Rev 2012'!D27</f>
        <v>3335</v>
      </c>
      <c r="E18" s="157">
        <f t="shared" si="0"/>
        <v>6186.008395802099</v>
      </c>
      <c r="F18" s="158">
        <f t="shared" si="1"/>
        <v>15.726964822389242</v>
      </c>
      <c r="G18" s="159">
        <f t="shared" si="2"/>
        <v>7</v>
      </c>
      <c r="H18" s="32"/>
      <c r="I18" s="1"/>
      <c r="J18" s="1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</row>
    <row r="19" spans="1:55" ht="15" customHeight="1">
      <c r="A19" s="187" t="s">
        <v>18</v>
      </c>
      <c r="B19" s="188">
        <f>'KWH &amp; Rev 2012'!C71</f>
        <v>1448984</v>
      </c>
      <c r="C19" s="189">
        <f>'KWH &amp; Rev 2012'!C28</f>
        <v>10428560</v>
      </c>
      <c r="D19" s="189">
        <f>'KWH &amp; Rev 2012'!D28</f>
        <v>1628</v>
      </c>
      <c r="E19" s="190">
        <f t="shared" si="0"/>
        <v>6405.7493857493855</v>
      </c>
      <c r="F19" s="191">
        <f t="shared" si="1"/>
        <v>13.894382350008055</v>
      </c>
      <c r="G19" s="186">
        <f t="shared" si="2"/>
        <v>3</v>
      </c>
      <c r="H19" s="32"/>
      <c r="I19" s="1"/>
      <c r="J19" s="1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</row>
    <row r="20" spans="1:55" ht="15" customHeight="1">
      <c r="A20" s="187" t="s">
        <v>19</v>
      </c>
      <c r="B20" s="188">
        <f>'KWH &amp; Rev 2012'!C72</f>
        <v>535543</v>
      </c>
      <c r="C20" s="189">
        <f>'KWH &amp; Rev 2012'!C29</f>
        <v>4145010</v>
      </c>
      <c r="D20" s="189">
        <f>'KWH &amp; Rev 2012'!D29</f>
        <v>582</v>
      </c>
      <c r="E20" s="190">
        <f t="shared" si="0"/>
        <v>7122.01030927835</v>
      </c>
      <c r="F20" s="191">
        <f t="shared" si="1"/>
        <v>12.920185958538097</v>
      </c>
      <c r="G20" s="186">
        <f t="shared" si="2"/>
        <v>2</v>
      </c>
      <c r="H20" s="32"/>
      <c r="I20" s="1"/>
      <c r="J20" s="1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</row>
    <row r="21" spans="1:55" ht="15" customHeight="1">
      <c r="A21" s="155" t="s">
        <v>20</v>
      </c>
      <c r="B21" s="156">
        <f>'KWH &amp; Rev 2012'!C73</f>
        <v>3799038</v>
      </c>
      <c r="C21" s="150">
        <f>'KWH &amp; Rev 2012'!C30</f>
        <v>20718659</v>
      </c>
      <c r="D21" s="150">
        <f>'KWH &amp; Rev 2012'!D30</f>
        <v>3248</v>
      </c>
      <c r="E21" s="157">
        <f t="shared" si="0"/>
        <v>6378.897475369458</v>
      </c>
      <c r="F21" s="158">
        <f t="shared" si="1"/>
        <v>18.33631221016766</v>
      </c>
      <c r="G21" s="159">
        <f t="shared" si="2"/>
        <v>15</v>
      </c>
      <c r="H21" s="32"/>
      <c r="I21" s="4"/>
      <c r="J21" s="4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</row>
    <row r="22" spans="1:55" ht="15" customHeight="1">
      <c r="A22" s="187" t="s">
        <v>21</v>
      </c>
      <c r="B22" s="188">
        <f>'KWH &amp; Rev 2012'!C74</f>
        <v>3099298</v>
      </c>
      <c r="C22" s="189">
        <f>'KWH &amp; Rev 2012'!C31</f>
        <v>26583647</v>
      </c>
      <c r="D22" s="189">
        <f>'KWH &amp; Rev 2012'!D31</f>
        <v>3194</v>
      </c>
      <c r="E22" s="190">
        <f t="shared" si="0"/>
        <v>8322.995303694426</v>
      </c>
      <c r="F22" s="191">
        <f t="shared" si="1"/>
        <v>11.658663688996471</v>
      </c>
      <c r="G22" s="186">
        <f t="shared" si="2"/>
        <v>1</v>
      </c>
      <c r="H22" s="32"/>
      <c r="I22" s="4"/>
      <c r="J22" s="4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</row>
    <row r="23" spans="1:55" ht="15" customHeight="1">
      <c r="A23" s="155" t="s">
        <v>22</v>
      </c>
      <c r="B23" s="156">
        <f>'KWH &amp; Rev 2012'!C75</f>
        <v>41099976</v>
      </c>
      <c r="C23" s="150">
        <f>'KWH &amp; Rev 2012'!C32</f>
        <v>218455279</v>
      </c>
      <c r="D23" s="150">
        <f>'KWH &amp; Rev 2012'!D32</f>
        <v>33852</v>
      </c>
      <c r="E23" s="157">
        <f t="shared" si="0"/>
        <v>6453.245864350703</v>
      </c>
      <c r="F23" s="158">
        <f t="shared" si="1"/>
        <v>18.81390836062149</v>
      </c>
      <c r="G23" s="159">
        <f t="shared" si="2"/>
        <v>17</v>
      </c>
      <c r="H23" s="32"/>
      <c r="I23" s="4"/>
      <c r="J23" s="4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</row>
    <row r="24" spans="1:55" ht="15" customHeight="1" thickBot="1">
      <c r="A24" s="160" t="s">
        <v>23</v>
      </c>
      <c r="B24" s="161">
        <f>'KWH &amp; Rev 2012'!C76</f>
        <v>12036686</v>
      </c>
      <c r="C24" s="162">
        <f>'KWH &amp; Rev 2012'!C33</f>
        <v>61418046</v>
      </c>
      <c r="D24" s="162">
        <f>'KWH &amp; Rev 2012'!D33</f>
        <v>10222</v>
      </c>
      <c r="E24" s="163">
        <f t="shared" si="0"/>
        <v>6008.417726472315</v>
      </c>
      <c r="F24" s="164">
        <f t="shared" si="1"/>
        <v>19.59796311331689</v>
      </c>
      <c r="G24" s="165">
        <f t="shared" si="2"/>
        <v>18</v>
      </c>
      <c r="H24" s="32"/>
      <c r="I24" s="4"/>
      <c r="J24" s="4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</row>
    <row r="25" spans="1:55" ht="15" customHeight="1" thickBot="1">
      <c r="A25" s="166" t="s">
        <v>24</v>
      </c>
      <c r="B25" s="167">
        <f>SUM(B7:B24)</f>
        <v>348155595</v>
      </c>
      <c r="C25" s="168">
        <f>SUM(C7:C24)</f>
        <v>2045631183</v>
      </c>
      <c r="D25" s="168">
        <f>SUM(D7:D24)</f>
        <v>343467</v>
      </c>
      <c r="E25" s="163">
        <f t="shared" si="0"/>
        <v>5955.830350514023</v>
      </c>
      <c r="F25" s="164">
        <f t="shared" si="1"/>
        <v>17.019470464339317</v>
      </c>
      <c r="G25" s="169"/>
      <c r="H25" s="3"/>
      <c r="I25" s="5"/>
      <c r="J25" s="6">
        <f>I25/276447</f>
        <v>0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</row>
    <row r="26" spans="1:55" ht="15" customHeight="1">
      <c r="A26" s="124" t="str">
        <f>'KWH &amp; Rev 2012'!B89</f>
        <v>Sources:   2012 Annual Reports sent to the DPS from the responding utilities</v>
      </c>
      <c r="B26" s="125"/>
      <c r="C26" s="125"/>
      <c r="D26" s="125"/>
      <c r="E26" s="19"/>
      <c r="F26" s="19"/>
      <c r="G26" s="19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</row>
    <row r="27" spans="1:55" ht="19.5" customHeight="1" thickBot="1">
      <c r="A27" s="193" t="s">
        <v>89</v>
      </c>
      <c r="B27" s="40"/>
      <c r="C27" s="40"/>
      <c r="D27" s="40"/>
      <c r="E27" s="40"/>
      <c r="F27" s="19"/>
      <c r="G27" s="19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</row>
    <row r="28" spans="1:55" ht="19.5" customHeight="1">
      <c r="A28" s="99" t="s">
        <v>41</v>
      </c>
      <c r="B28" s="100"/>
      <c r="C28" s="100"/>
      <c r="D28" s="100"/>
      <c r="E28" s="101"/>
      <c r="F28" s="102"/>
      <c r="G28" s="10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</row>
    <row r="29" spans="1:55" ht="19.5" customHeight="1">
      <c r="A29" s="104" t="s">
        <v>39</v>
      </c>
      <c r="B29" s="91"/>
      <c r="C29" s="91"/>
      <c r="D29" s="91"/>
      <c r="E29" s="105"/>
      <c r="F29" s="106"/>
      <c r="G29" s="107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</row>
    <row r="30" spans="1:55" ht="15" customHeight="1" thickBot="1">
      <c r="A30" s="108">
        <f>A5</f>
        <v>2012</v>
      </c>
      <c r="B30" s="109"/>
      <c r="C30" s="109"/>
      <c r="D30" s="109"/>
      <c r="E30" s="109"/>
      <c r="F30" s="109"/>
      <c r="G30" s="110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</row>
    <row r="31" spans="1:55" ht="30" customHeight="1" thickBot="1">
      <c r="A31" s="87" t="s">
        <v>0</v>
      </c>
      <c r="B31" s="87" t="s">
        <v>25</v>
      </c>
      <c r="C31" s="87" t="s">
        <v>2</v>
      </c>
      <c r="D31" s="87" t="s">
        <v>26</v>
      </c>
      <c r="E31" s="88" t="s">
        <v>27</v>
      </c>
      <c r="F31" s="95" t="s">
        <v>28</v>
      </c>
      <c r="G31" s="87" t="s">
        <v>6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</row>
    <row r="32" spans="1:55" ht="15" customHeight="1">
      <c r="A32" s="148" t="s">
        <v>7</v>
      </c>
      <c r="B32" s="149">
        <f>'KWH &amp; Rev 2012'!D59</f>
        <v>494433</v>
      </c>
      <c r="C32" s="170">
        <f>'KWH &amp; Rev 2012'!E16</f>
        <v>2814230</v>
      </c>
      <c r="D32" s="150">
        <f>'KWH &amp; Rev 2012'!F16</f>
        <v>198</v>
      </c>
      <c r="E32" s="157">
        <f aca="true" t="shared" si="3" ref="E32:E50">C32/D32</f>
        <v>14213.282828282829</v>
      </c>
      <c r="F32" s="153">
        <f aca="true" t="shared" si="4" ref="F32:F50">(B32/C32)*100</f>
        <v>17.569033092533303</v>
      </c>
      <c r="G32" s="154">
        <f aca="true" t="shared" si="5" ref="G32:G49">RANK(F32,$F$32:$F$49,1)</f>
        <v>14</v>
      </c>
      <c r="H32" s="32"/>
      <c r="I32" s="1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</row>
    <row r="33" spans="1:55" ht="15" customHeight="1">
      <c r="A33" s="187" t="s">
        <v>8</v>
      </c>
      <c r="B33" s="188">
        <f>'KWH &amp; Rev 2012'!D60</f>
        <v>29267048</v>
      </c>
      <c r="C33" s="192">
        <f>'KWH &amp; Rev 2012'!E17</f>
        <v>213015593</v>
      </c>
      <c r="D33" s="189">
        <f>'KWH &amp; Rev 2012'!F17</f>
        <v>3811</v>
      </c>
      <c r="E33" s="190">
        <f t="shared" si="3"/>
        <v>55894.933875623195</v>
      </c>
      <c r="F33" s="191">
        <f t="shared" si="4"/>
        <v>13.739392308242898</v>
      </c>
      <c r="G33" s="186">
        <f t="shared" si="5"/>
        <v>2</v>
      </c>
      <c r="H33" s="32"/>
      <c r="I33" s="1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</row>
    <row r="34" spans="1:55" ht="15" customHeight="1">
      <c r="A34" s="128" t="s">
        <v>75</v>
      </c>
      <c r="B34" s="188">
        <f>'KWH &amp; Rev 2012'!D61</f>
        <v>90099744</v>
      </c>
      <c r="C34" s="192">
        <f>'KWH &amp; Rev 2012'!E18</f>
        <v>620094000</v>
      </c>
      <c r="D34" s="189">
        <f>'KWH &amp; Rev 2012'!F18</f>
        <v>23113</v>
      </c>
      <c r="E34" s="190">
        <f t="shared" si="3"/>
        <v>26828.79764634621</v>
      </c>
      <c r="F34" s="191">
        <f t="shared" si="4"/>
        <v>14.530013836611868</v>
      </c>
      <c r="G34" s="186">
        <f t="shared" si="5"/>
        <v>5</v>
      </c>
      <c r="H34" s="32"/>
      <c r="I34" s="1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</row>
    <row r="35" spans="1:55" ht="15" customHeight="1">
      <c r="A35" s="155" t="s">
        <v>9</v>
      </c>
      <c r="B35" s="156">
        <f>'KWH &amp; Rev 2012'!D62</f>
        <v>260109</v>
      </c>
      <c r="C35" s="171">
        <f>'KWH &amp; Rev 2012'!E19</f>
        <v>1591038</v>
      </c>
      <c r="D35" s="150">
        <f>'KWH &amp; Rev 2012'!F19</f>
        <v>131</v>
      </c>
      <c r="E35" s="157">
        <f t="shared" si="3"/>
        <v>12145.32824427481</v>
      </c>
      <c r="F35" s="158">
        <f t="shared" si="4"/>
        <v>16.348383885237187</v>
      </c>
      <c r="G35" s="159">
        <f t="shared" si="5"/>
        <v>11</v>
      </c>
      <c r="H35" s="32"/>
      <c r="I35" s="1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</row>
    <row r="36" spans="1:55" ht="15" customHeight="1">
      <c r="A36" s="187" t="s">
        <v>10</v>
      </c>
      <c r="B36" s="188">
        <f>'KWH &amp; Rev 2012'!D63</f>
        <v>124450887</v>
      </c>
      <c r="C36" s="192">
        <f>'KWH &amp; Rev 2012'!E20</f>
        <v>890741000</v>
      </c>
      <c r="D36" s="189">
        <f>'KWH &amp; Rev 2012'!F20</f>
        <v>20529</v>
      </c>
      <c r="E36" s="190">
        <f t="shared" si="3"/>
        <v>43389.40036046568</v>
      </c>
      <c r="F36" s="191">
        <f t="shared" si="4"/>
        <v>13.971613184977452</v>
      </c>
      <c r="G36" s="186">
        <f t="shared" si="5"/>
        <v>3</v>
      </c>
      <c r="H36" s="32"/>
      <c r="I36" s="7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</row>
    <row r="37" spans="1:55" ht="15" customHeight="1">
      <c r="A37" s="155" t="s">
        <v>11</v>
      </c>
      <c r="B37" s="156">
        <f>'KWH &amp; Rev 2012'!D64</f>
        <v>836105</v>
      </c>
      <c r="C37" s="171">
        <f>'KWH &amp; Rev 2012'!E21</f>
        <v>4520815</v>
      </c>
      <c r="D37" s="150">
        <f>'KWH &amp; Rev 2012'!F21</f>
        <v>403</v>
      </c>
      <c r="E37" s="157">
        <f t="shared" si="3"/>
        <v>11217.90322580645</v>
      </c>
      <c r="F37" s="158">
        <f t="shared" si="4"/>
        <v>18.49456348025743</v>
      </c>
      <c r="G37" s="159">
        <f t="shared" si="5"/>
        <v>16</v>
      </c>
      <c r="H37" s="32"/>
      <c r="I37" s="1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</row>
    <row r="38" spans="1:55" ht="15" customHeight="1">
      <c r="A38" s="155" t="s">
        <v>12</v>
      </c>
      <c r="B38" s="156">
        <f>'KWH &amp; Rev 2012'!D65</f>
        <v>477289</v>
      </c>
      <c r="C38" s="171">
        <f>'KWH &amp; Rev 2012'!E22</f>
        <v>2432613</v>
      </c>
      <c r="D38" s="150">
        <f>'KWH &amp; Rev 2012'!F22</f>
        <v>123</v>
      </c>
      <c r="E38" s="157">
        <f t="shared" si="3"/>
        <v>19777.341463414636</v>
      </c>
      <c r="F38" s="158">
        <f t="shared" si="4"/>
        <v>19.620424621590036</v>
      </c>
      <c r="G38" s="159">
        <f t="shared" si="5"/>
        <v>17</v>
      </c>
      <c r="H38" s="32"/>
      <c r="I38" s="1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</row>
    <row r="39" spans="1:55" ht="15" customHeight="1">
      <c r="A39" s="155" t="s">
        <v>13</v>
      </c>
      <c r="B39" s="156">
        <f>'KWH &amp; Rev 2012'!D66</f>
        <v>96209</v>
      </c>
      <c r="C39" s="171">
        <f>'KWH &amp; Rev 2012'!E23</f>
        <v>564114</v>
      </c>
      <c r="D39" s="150">
        <f>'KWH &amp; Rev 2012'!F23</f>
        <v>48</v>
      </c>
      <c r="E39" s="157">
        <f t="shared" si="3"/>
        <v>11752.375</v>
      </c>
      <c r="F39" s="158">
        <f t="shared" si="4"/>
        <v>17.05488606912787</v>
      </c>
      <c r="G39" s="159">
        <f t="shared" si="5"/>
        <v>13</v>
      </c>
      <c r="H39" s="32"/>
      <c r="I39" s="1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</row>
    <row r="40" spans="1:55" ht="15" customHeight="1">
      <c r="A40" s="155" t="s">
        <v>14</v>
      </c>
      <c r="B40" s="156">
        <f>'KWH &amp; Rev 2012'!D67</f>
        <v>196902</v>
      </c>
      <c r="C40" s="171">
        <f>'KWH &amp; Rev 2012'!E24</f>
        <v>977906</v>
      </c>
      <c r="D40" s="150">
        <f>'KWH &amp; Rev 2012'!F24</f>
        <v>98</v>
      </c>
      <c r="E40" s="157">
        <f t="shared" si="3"/>
        <v>9978.632653061224</v>
      </c>
      <c r="F40" s="158">
        <f t="shared" si="4"/>
        <v>20.135064106366052</v>
      </c>
      <c r="G40" s="159">
        <f t="shared" si="5"/>
        <v>18</v>
      </c>
      <c r="H40" s="32"/>
      <c r="I40" s="1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</row>
    <row r="41" spans="1:55" ht="15" customHeight="1">
      <c r="A41" s="155" t="s">
        <v>15</v>
      </c>
      <c r="B41" s="156">
        <f>'KWH &amp; Rev 2012'!D68</f>
        <v>2946928</v>
      </c>
      <c r="C41" s="171">
        <f>'KWH &amp; Rev 2012'!E25</f>
        <v>19092469</v>
      </c>
      <c r="D41" s="150">
        <f>'KWH &amp; Rev 2012'!F25</f>
        <v>639</v>
      </c>
      <c r="E41" s="157">
        <f t="shared" si="3"/>
        <v>29878.668231611893</v>
      </c>
      <c r="F41" s="158">
        <f t="shared" si="4"/>
        <v>15.435028334994286</v>
      </c>
      <c r="G41" s="159">
        <f t="shared" si="5"/>
        <v>8</v>
      </c>
      <c r="H41" s="32"/>
      <c r="I41" s="1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</row>
    <row r="42" spans="1:55" ht="15" customHeight="1">
      <c r="A42" s="155" t="s">
        <v>16</v>
      </c>
      <c r="B42" s="156">
        <f>'KWH &amp; Rev 2012'!D69</f>
        <v>1740941</v>
      </c>
      <c r="C42" s="171">
        <f>'KWH &amp; Rev 2012'!E26</f>
        <v>10363933</v>
      </c>
      <c r="D42" s="150">
        <f>'KWH &amp; Rev 2012'!F26</f>
        <v>784</v>
      </c>
      <c r="E42" s="157">
        <f t="shared" si="3"/>
        <v>13219.302295918367</v>
      </c>
      <c r="F42" s="158">
        <f t="shared" si="4"/>
        <v>16.79807270077875</v>
      </c>
      <c r="G42" s="159">
        <f t="shared" si="5"/>
        <v>12</v>
      </c>
      <c r="H42" s="32"/>
      <c r="I42" s="1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</row>
    <row r="43" spans="1:55" ht="15" customHeight="1">
      <c r="A43" s="155" t="s">
        <v>17</v>
      </c>
      <c r="B43" s="156">
        <f>'KWH &amp; Rev 2012'!D70</f>
        <v>3680839</v>
      </c>
      <c r="C43" s="171">
        <f>'KWH &amp; Rev 2012'!E27</f>
        <v>23452156</v>
      </c>
      <c r="D43" s="150">
        <f>'KWH &amp; Rev 2012'!F27</f>
        <v>580</v>
      </c>
      <c r="E43" s="157">
        <f t="shared" si="3"/>
        <v>40434.75172413793</v>
      </c>
      <c r="F43" s="158">
        <f t="shared" si="4"/>
        <v>15.695098565777919</v>
      </c>
      <c r="G43" s="159">
        <f t="shared" si="5"/>
        <v>9</v>
      </c>
      <c r="H43" s="32"/>
      <c r="I43" s="1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</row>
    <row r="44" spans="1:55" ht="15" customHeight="1">
      <c r="A44" s="155" t="s">
        <v>18</v>
      </c>
      <c r="B44" s="156">
        <f>'KWH &amp; Rev 2012'!D71</f>
        <v>359091</v>
      </c>
      <c r="C44" s="171">
        <f>'KWH &amp; Rev 2012'!E28</f>
        <v>2448495</v>
      </c>
      <c r="D44" s="150">
        <f>'KWH &amp; Rev 2012'!F28</f>
        <v>171</v>
      </c>
      <c r="E44" s="157">
        <f t="shared" si="3"/>
        <v>14318.684210526315</v>
      </c>
      <c r="F44" s="158">
        <f t="shared" si="4"/>
        <v>14.665784492106376</v>
      </c>
      <c r="G44" s="159">
        <f t="shared" si="5"/>
        <v>6</v>
      </c>
      <c r="H44" s="32"/>
      <c r="I44" s="1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</row>
    <row r="45" spans="1:55" ht="15" customHeight="1">
      <c r="A45" s="187" t="s">
        <v>19</v>
      </c>
      <c r="B45" s="188">
        <f>'KWH &amp; Rev 2012'!D72</f>
        <v>245697</v>
      </c>
      <c r="C45" s="192">
        <f>'KWH &amp; Rev 2012'!E29</f>
        <v>1749477</v>
      </c>
      <c r="D45" s="189">
        <f>'KWH &amp; Rev 2012'!F29</f>
        <v>65</v>
      </c>
      <c r="E45" s="190">
        <f t="shared" si="3"/>
        <v>26915.03076923077</v>
      </c>
      <c r="F45" s="191">
        <f t="shared" si="4"/>
        <v>14.044025728832102</v>
      </c>
      <c r="G45" s="186">
        <f t="shared" si="5"/>
        <v>4</v>
      </c>
      <c r="H45" s="32"/>
      <c r="I45" s="1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</row>
    <row r="46" spans="1:55" ht="15" customHeight="1">
      <c r="A46" s="155" t="s">
        <v>20</v>
      </c>
      <c r="B46" s="156">
        <f>'KWH &amp; Rev 2012'!D73</f>
        <v>5781998</v>
      </c>
      <c r="C46" s="171">
        <f>'KWH &amp; Rev 2012'!E30</f>
        <v>38802497</v>
      </c>
      <c r="D46" s="150">
        <f>'KWH &amp; Rev 2012'!F30</f>
        <v>740</v>
      </c>
      <c r="E46" s="157">
        <f t="shared" si="3"/>
        <v>52435.806756756756</v>
      </c>
      <c r="F46" s="158">
        <f t="shared" si="4"/>
        <v>14.901097730901183</v>
      </c>
      <c r="G46" s="159">
        <f t="shared" si="5"/>
        <v>7</v>
      </c>
      <c r="H46" s="32"/>
      <c r="I46" s="1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</row>
    <row r="47" spans="1:55" ht="15" customHeight="1">
      <c r="A47" s="187" t="s">
        <v>21</v>
      </c>
      <c r="B47" s="188">
        <f>'KWH &amp; Rev 2012'!D74</f>
        <v>3267797</v>
      </c>
      <c r="C47" s="192">
        <f>'KWH &amp; Rev 2012'!E31</f>
        <v>25926939</v>
      </c>
      <c r="D47" s="189">
        <f>'KWH &amp; Rev 2012'!F31</f>
        <v>432</v>
      </c>
      <c r="E47" s="190">
        <f t="shared" si="3"/>
        <v>60016.0625</v>
      </c>
      <c r="F47" s="191">
        <f t="shared" si="4"/>
        <v>12.603867352023315</v>
      </c>
      <c r="G47" s="186">
        <f t="shared" si="5"/>
        <v>1</v>
      </c>
      <c r="H47" s="32"/>
      <c r="I47" s="1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</row>
    <row r="48" spans="1:55" ht="15" customHeight="1">
      <c r="A48" s="155" t="s">
        <v>22</v>
      </c>
      <c r="B48" s="156">
        <f>'KWH &amp; Rev 2012'!D75</f>
        <v>16261338</v>
      </c>
      <c r="C48" s="171">
        <f>'KWH &amp; Rev 2012'!E32</f>
        <v>102701224</v>
      </c>
      <c r="D48" s="150">
        <f>'KWH &amp; Rev 2012'!F32</f>
        <v>3581</v>
      </c>
      <c r="E48" s="157">
        <f t="shared" si="3"/>
        <v>28679.481709019827</v>
      </c>
      <c r="F48" s="158">
        <f t="shared" si="4"/>
        <v>15.83363602365635</v>
      </c>
      <c r="G48" s="159">
        <f t="shared" si="5"/>
        <v>10</v>
      </c>
      <c r="H48" s="32"/>
      <c r="I48" s="1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</row>
    <row r="49" spans="1:55" ht="15" customHeight="1" thickBot="1">
      <c r="A49" s="160" t="s">
        <v>23</v>
      </c>
      <c r="B49" s="161">
        <f>'KWH &amp; Rev 2012'!D76</f>
        <v>763945</v>
      </c>
      <c r="C49" s="172">
        <f>'KWH &amp; Rev 2012'!E33</f>
        <v>4162651</v>
      </c>
      <c r="D49" s="162">
        <f>'KWH &amp; Rev 2012'!F33</f>
        <v>421</v>
      </c>
      <c r="E49" s="163">
        <f t="shared" si="3"/>
        <v>9887.532066508313</v>
      </c>
      <c r="F49" s="164">
        <f t="shared" si="4"/>
        <v>18.352367277487353</v>
      </c>
      <c r="G49" s="165">
        <f t="shared" si="5"/>
        <v>15</v>
      </c>
      <c r="H49" s="32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</row>
    <row r="50" spans="1:55" ht="15" customHeight="1" thickBot="1">
      <c r="A50" s="166" t="s">
        <v>24</v>
      </c>
      <c r="B50" s="167">
        <f>SUM(B32:B49)</f>
        <v>281227300</v>
      </c>
      <c r="C50" s="173">
        <f>SUM(C32:C49)</f>
        <v>1965451150</v>
      </c>
      <c r="D50" s="168">
        <f>SUM(D32:D49)</f>
        <v>55867</v>
      </c>
      <c r="E50" s="163">
        <f t="shared" si="3"/>
        <v>35180.89659369574</v>
      </c>
      <c r="F50" s="164">
        <f t="shared" si="4"/>
        <v>14.308536744858808</v>
      </c>
      <c r="G50" s="166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</row>
    <row r="51" spans="1:55" ht="15" customHeight="1">
      <c r="A51" s="197" t="s">
        <v>89</v>
      </c>
      <c r="B51" s="198"/>
      <c r="C51" s="198" t="s">
        <v>29</v>
      </c>
      <c r="D51" s="198"/>
      <c r="E51" s="199"/>
      <c r="F51" s="200"/>
      <c r="G51" s="198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</row>
    <row r="52" spans="1:55" ht="19.5" customHeight="1">
      <c r="A52" s="194">
        <f ca="1">NOW()</f>
        <v>42205.43621215278</v>
      </c>
      <c r="C52" s="40"/>
      <c r="D52" s="40"/>
      <c r="E52" s="40"/>
      <c r="F52" s="195"/>
      <c r="G52" s="196" t="s">
        <v>80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</row>
    <row r="53" spans="1:55" ht="19.5" customHeight="1">
      <c r="A53" s="104" t="s">
        <v>38</v>
      </c>
      <c r="B53" s="86"/>
      <c r="C53" s="86"/>
      <c r="D53" s="86"/>
      <c r="E53" s="86"/>
      <c r="F53" s="86"/>
      <c r="G53" s="112"/>
      <c r="H53" s="8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</row>
    <row r="54" spans="1:55" ht="19.5" customHeight="1">
      <c r="A54" s="104" t="s">
        <v>40</v>
      </c>
      <c r="B54" s="86"/>
      <c r="C54" s="86"/>
      <c r="D54" s="86"/>
      <c r="E54" s="86"/>
      <c r="F54" s="86"/>
      <c r="G54" s="112"/>
      <c r="H54" s="8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</row>
    <row r="55" spans="1:55" ht="16.5" thickBot="1">
      <c r="A55" s="108">
        <f>A5</f>
        <v>2012</v>
      </c>
      <c r="B55" s="109"/>
      <c r="C55" s="109"/>
      <c r="D55" s="109"/>
      <c r="E55" s="109"/>
      <c r="F55" s="109"/>
      <c r="G55" s="111"/>
      <c r="H55" s="8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</row>
    <row r="56" spans="1:55" ht="30" customHeight="1">
      <c r="A56" s="92" t="s">
        <v>0</v>
      </c>
      <c r="B56" s="92" t="s">
        <v>30</v>
      </c>
      <c r="C56" s="92" t="s">
        <v>2</v>
      </c>
      <c r="D56" s="92" t="s">
        <v>31</v>
      </c>
      <c r="E56" s="93" t="s">
        <v>32</v>
      </c>
      <c r="F56" s="94" t="s">
        <v>33</v>
      </c>
      <c r="G56" s="92" t="s">
        <v>6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</row>
    <row r="57" spans="1:55" ht="15" customHeight="1">
      <c r="A57" s="155" t="s">
        <v>7</v>
      </c>
      <c r="B57" s="156">
        <f>'KWH &amp; Rev 2012'!E59</f>
        <v>0</v>
      </c>
      <c r="C57" s="150">
        <f>'KWH &amp; Rev 2012'!G16</f>
        <v>0</v>
      </c>
      <c r="D57" s="150">
        <f>'KWH &amp; Rev 2012'!H16</f>
        <v>0</v>
      </c>
      <c r="E57" s="174" t="s">
        <v>36</v>
      </c>
      <c r="F57" s="174"/>
      <c r="G57" s="159" t="str">
        <f aca="true" t="shared" si="6" ref="G57:G74">IF(D57&gt;0,RANK(F57,$F$57:$F$74,-1),"No Ind. Sales")</f>
        <v>No Ind. Sales</v>
      </c>
      <c r="H57" s="32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</row>
    <row r="58" spans="1:55" ht="15" customHeight="1">
      <c r="A58" s="187" t="s">
        <v>8</v>
      </c>
      <c r="B58" s="188">
        <f>'KWH &amp; Rev 2012'!E60</f>
        <v>4674135</v>
      </c>
      <c r="C58" s="189">
        <f>'KWH &amp; Rev 2012'!G17</f>
        <v>41870023</v>
      </c>
      <c r="D58" s="189">
        <f>'KWH &amp; Rev 2012'!H17</f>
        <v>2</v>
      </c>
      <c r="E58" s="190">
        <f aca="true" t="shared" si="7" ref="E58:E70">C58/D58</f>
        <v>20935011.5</v>
      </c>
      <c r="F58" s="191">
        <f aca="true" t="shared" si="8" ref="F58:F70">(B58/C58)*100</f>
        <v>11.163440249364086</v>
      </c>
      <c r="G58" s="186">
        <f t="shared" si="6"/>
        <v>4</v>
      </c>
      <c r="H58" s="31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</row>
    <row r="59" spans="1:55" ht="15" customHeight="1">
      <c r="A59" s="128" t="s">
        <v>75</v>
      </c>
      <c r="B59" s="188">
        <f>'KWH &amp; Rev 2012'!E61</f>
        <v>40757559</v>
      </c>
      <c r="C59" s="189">
        <f>'KWH &amp; Rev 2012'!G18</f>
        <v>430854000</v>
      </c>
      <c r="D59" s="189">
        <f>'KWH &amp; Rev 2012'!H18</f>
        <v>38</v>
      </c>
      <c r="E59" s="190">
        <f t="shared" si="7"/>
        <v>11338263.157894736</v>
      </c>
      <c r="F59" s="191">
        <f t="shared" si="8"/>
        <v>9.45971465972232</v>
      </c>
      <c r="G59" s="186">
        <f t="shared" si="6"/>
        <v>1</v>
      </c>
      <c r="H59" s="32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</row>
    <row r="60" spans="1:55" ht="15" customHeight="1">
      <c r="A60" s="155" t="s">
        <v>9</v>
      </c>
      <c r="B60" s="156">
        <f>'KWH &amp; Rev 2012'!E62</f>
        <v>1617914</v>
      </c>
      <c r="C60" s="150">
        <f>'KWH &amp; Rev 2012'!G19</f>
        <v>11028972</v>
      </c>
      <c r="D60" s="150">
        <f>'KWH &amp; Rev 2012'!H19</f>
        <v>24</v>
      </c>
      <c r="E60" s="157">
        <f t="shared" si="7"/>
        <v>459540.5</v>
      </c>
      <c r="F60" s="158">
        <f t="shared" si="8"/>
        <v>14.669671842489038</v>
      </c>
      <c r="G60" s="159">
        <f t="shared" si="6"/>
        <v>8</v>
      </c>
      <c r="H60" s="32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</row>
    <row r="61" spans="1:55" ht="15" customHeight="1">
      <c r="A61" s="187" t="s">
        <v>10</v>
      </c>
      <c r="B61" s="188">
        <f>'KWH &amp; Rev 2012'!E63</f>
        <v>73096643</v>
      </c>
      <c r="C61" s="189">
        <f>'KWH &amp; Rev 2012'!G20</f>
        <v>745480000</v>
      </c>
      <c r="D61" s="189">
        <f>'KWH &amp; Rev 2012'!H20</f>
        <v>38</v>
      </c>
      <c r="E61" s="190">
        <f t="shared" si="7"/>
        <v>19617894.736842107</v>
      </c>
      <c r="F61" s="191">
        <f t="shared" si="8"/>
        <v>9.8053124161614</v>
      </c>
      <c r="G61" s="186">
        <f t="shared" si="6"/>
        <v>2</v>
      </c>
      <c r="H61" s="32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</row>
    <row r="62" spans="1:55" ht="15" customHeight="1">
      <c r="A62" s="155" t="s">
        <v>11</v>
      </c>
      <c r="B62" s="156">
        <f>'KWH &amp; Rev 2012'!E64</f>
        <v>690803</v>
      </c>
      <c r="C62" s="150">
        <f>'KWH &amp; Rev 2012'!G21</f>
        <v>3981592</v>
      </c>
      <c r="D62" s="150">
        <f>'KWH &amp; Rev 2012'!H21</f>
        <v>25</v>
      </c>
      <c r="E62" s="157">
        <f t="shared" si="7"/>
        <v>159263.68</v>
      </c>
      <c r="F62" s="158">
        <f t="shared" si="8"/>
        <v>17.34991932875091</v>
      </c>
      <c r="G62" s="159">
        <f t="shared" si="6"/>
        <v>12</v>
      </c>
      <c r="H62" s="32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</row>
    <row r="63" spans="1:55" ht="15" customHeight="1">
      <c r="A63" s="155" t="s">
        <v>12</v>
      </c>
      <c r="B63" s="156">
        <f>'KWH &amp; Rev 2012'!E65</f>
        <v>0</v>
      </c>
      <c r="C63" s="150">
        <f>'KWH &amp; Rev 2012'!G22</f>
        <v>0</v>
      </c>
      <c r="D63" s="150">
        <f>'KWH &amp; Rev 2012'!H22</f>
        <v>0</v>
      </c>
      <c r="E63" s="174" t="s">
        <v>36</v>
      </c>
      <c r="F63" s="174"/>
      <c r="G63" s="159" t="str">
        <f t="shared" si="6"/>
        <v>No Ind. Sales</v>
      </c>
      <c r="H63" s="32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</row>
    <row r="64" spans="1:55" ht="15" customHeight="1">
      <c r="A64" s="155" t="s">
        <v>13</v>
      </c>
      <c r="B64" s="156">
        <f>'KWH &amp; Rev 2012'!E66</f>
        <v>145848</v>
      </c>
      <c r="C64" s="150">
        <f>'KWH &amp; Rev 2012'!G23</f>
        <v>840563</v>
      </c>
      <c r="D64" s="150">
        <f>'KWH &amp; Rev 2012'!H23</f>
        <v>5</v>
      </c>
      <c r="E64" s="157">
        <f t="shared" si="7"/>
        <v>168112.6</v>
      </c>
      <c r="F64" s="158">
        <f t="shared" si="8"/>
        <v>17.35122768906078</v>
      </c>
      <c r="G64" s="159">
        <f t="shared" si="6"/>
        <v>13</v>
      </c>
      <c r="H64" s="32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</row>
    <row r="65" spans="1:55" ht="15" customHeight="1">
      <c r="A65" s="155" t="s">
        <v>14</v>
      </c>
      <c r="B65" s="156">
        <f>'KWH &amp; Rev 2012'!E67</f>
        <v>1113352</v>
      </c>
      <c r="C65" s="150">
        <f>'KWH &amp; Rev 2012'!G24</f>
        <v>6465510</v>
      </c>
      <c r="D65" s="150">
        <f>'KWH &amp; Rev 2012'!H24</f>
        <v>13</v>
      </c>
      <c r="E65" s="157">
        <f t="shared" si="7"/>
        <v>497346.92307692306</v>
      </c>
      <c r="F65" s="158">
        <f t="shared" si="8"/>
        <v>17.219863552913846</v>
      </c>
      <c r="G65" s="159">
        <f t="shared" si="6"/>
        <v>11</v>
      </c>
      <c r="H65" s="32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</row>
    <row r="66" spans="1:55" ht="15" customHeight="1">
      <c r="A66" s="155" t="s">
        <v>15</v>
      </c>
      <c r="B66" s="156">
        <f>'KWH &amp; Rev 2012'!E68</f>
        <v>2133118</v>
      </c>
      <c r="C66" s="150">
        <f>'KWH &amp; Rev 2012'!G25</f>
        <v>10834044</v>
      </c>
      <c r="D66" s="150">
        <f>'KWH &amp; Rev 2012'!H25</f>
        <v>4</v>
      </c>
      <c r="E66" s="157">
        <f t="shared" si="7"/>
        <v>2708511</v>
      </c>
      <c r="F66" s="158">
        <f t="shared" si="8"/>
        <v>19.689028399736976</v>
      </c>
      <c r="G66" s="159">
        <f t="shared" si="6"/>
        <v>14</v>
      </c>
      <c r="H66" s="32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</row>
    <row r="67" spans="1:55" ht="15" customHeight="1">
      <c r="A67" s="155" t="s">
        <v>16</v>
      </c>
      <c r="B67" s="156">
        <f>'KWH &amp; Rev 2012'!E69</f>
        <v>3469309</v>
      </c>
      <c r="C67" s="150">
        <f>'KWH &amp; Rev 2012'!G26</f>
        <v>23352059</v>
      </c>
      <c r="D67" s="150">
        <f>'KWH &amp; Rev 2012'!H26</f>
        <v>41</v>
      </c>
      <c r="E67" s="157">
        <f t="shared" si="7"/>
        <v>569562.4146341464</v>
      </c>
      <c r="F67" s="158">
        <f t="shared" si="8"/>
        <v>14.856544341550354</v>
      </c>
      <c r="G67" s="159">
        <f t="shared" si="6"/>
        <v>9</v>
      </c>
      <c r="H67" s="32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</row>
    <row r="68" spans="1:55" ht="15" customHeight="1">
      <c r="A68" s="155" t="s">
        <v>17</v>
      </c>
      <c r="B68" s="156">
        <f>'KWH &amp; Rev 2012'!E70</f>
        <v>0</v>
      </c>
      <c r="C68" s="150">
        <f>'KWH &amp; Rev 2012'!G27</f>
        <v>0</v>
      </c>
      <c r="D68" s="150">
        <f>'KWH &amp; Rev 2012'!H27</f>
        <v>0</v>
      </c>
      <c r="E68" s="174" t="s">
        <v>36</v>
      </c>
      <c r="F68" s="174"/>
      <c r="G68" s="159" t="str">
        <f t="shared" si="6"/>
        <v>No Ind. Sales</v>
      </c>
      <c r="H68" s="32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</row>
    <row r="69" spans="1:55" ht="15" customHeight="1">
      <c r="A69" s="155" t="s">
        <v>18</v>
      </c>
      <c r="B69" s="156">
        <f>'KWH &amp; Rev 2012'!E71</f>
        <v>1842454</v>
      </c>
      <c r="C69" s="150">
        <f>'KWH &amp; Rev 2012'!G28</f>
        <v>14239803</v>
      </c>
      <c r="D69" s="150">
        <f>'KWH &amp; Rev 2012'!H28</f>
        <v>17</v>
      </c>
      <c r="E69" s="157">
        <f t="shared" si="7"/>
        <v>837635.4705882353</v>
      </c>
      <c r="F69" s="158">
        <f t="shared" si="8"/>
        <v>12.938760458975452</v>
      </c>
      <c r="G69" s="159">
        <f t="shared" si="6"/>
        <v>6</v>
      </c>
      <c r="H69" s="32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</row>
    <row r="70" spans="1:55" ht="15" customHeight="1">
      <c r="A70" s="155" t="s">
        <v>19</v>
      </c>
      <c r="B70" s="156">
        <f>'KWH &amp; Rev 2012'!E72</f>
        <v>1011955</v>
      </c>
      <c r="C70" s="150">
        <f>'KWH &amp; Rev 2012'!G29</f>
        <v>6580800</v>
      </c>
      <c r="D70" s="150">
        <f>'KWH &amp; Rev 2012'!H29</f>
        <v>1</v>
      </c>
      <c r="E70" s="157">
        <f t="shared" si="7"/>
        <v>6580800</v>
      </c>
      <c r="F70" s="158">
        <f t="shared" si="8"/>
        <v>15.377385728178943</v>
      </c>
      <c r="G70" s="159">
        <f t="shared" si="6"/>
        <v>10</v>
      </c>
      <c r="H70" s="32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</row>
    <row r="71" spans="1:55" ht="15" customHeight="1">
      <c r="A71" s="187" t="s">
        <v>20</v>
      </c>
      <c r="B71" s="188">
        <f>'KWH &amp; Rev 2012'!E73</f>
        <v>1275430</v>
      </c>
      <c r="C71" s="189">
        <f>'KWH &amp; Rev 2012'!G30</f>
        <v>10939920</v>
      </c>
      <c r="D71" s="189">
        <f>'KWH &amp; Rev 2012'!H30</f>
        <v>1</v>
      </c>
      <c r="E71" s="190">
        <f>C71/D71</f>
        <v>10939920</v>
      </c>
      <c r="F71" s="191">
        <f>(B71/C71)*100</f>
        <v>11.658494760473568</v>
      </c>
      <c r="G71" s="186">
        <f t="shared" si="6"/>
        <v>5</v>
      </c>
      <c r="H71" s="32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</row>
    <row r="72" spans="1:55" ht="15" customHeight="1">
      <c r="A72" s="155" t="s">
        <v>21</v>
      </c>
      <c r="B72" s="156">
        <f>'KWH &amp; Rev 2012'!E74</f>
        <v>0</v>
      </c>
      <c r="C72" s="150">
        <f>'KWH &amp; Rev 2012'!G31</f>
        <v>0</v>
      </c>
      <c r="D72" s="150">
        <f>'KWH &amp; Rev 2012'!H31</f>
        <v>0</v>
      </c>
      <c r="E72" s="174" t="s">
        <v>36</v>
      </c>
      <c r="F72" s="158"/>
      <c r="G72" s="159" t="str">
        <f t="shared" si="6"/>
        <v>No Ind. Sales</v>
      </c>
      <c r="H72" s="32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</row>
    <row r="73" spans="1:55" ht="15" customHeight="1">
      <c r="A73" s="187" t="s">
        <v>22</v>
      </c>
      <c r="B73" s="188">
        <f>'KWH &amp; Rev 2012'!E75</f>
        <v>10028521</v>
      </c>
      <c r="C73" s="189">
        <f>'KWH &amp; Rev 2012'!G32</f>
        <v>99291979</v>
      </c>
      <c r="D73" s="189">
        <f>'KWH &amp; Rev 2012'!H32</f>
        <v>11</v>
      </c>
      <c r="E73" s="190">
        <f>C73/D73</f>
        <v>9026543.545454545</v>
      </c>
      <c r="F73" s="191">
        <f>(B73/C73)*100</f>
        <v>10.100031342914416</v>
      </c>
      <c r="G73" s="186">
        <f t="shared" si="6"/>
        <v>3</v>
      </c>
      <c r="H73" s="32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</row>
    <row r="74" spans="1:55" ht="15" customHeight="1" thickBot="1">
      <c r="A74" s="160" t="s">
        <v>23</v>
      </c>
      <c r="B74" s="161">
        <f>'KWH &amp; Rev 2012'!E76</f>
        <v>455030</v>
      </c>
      <c r="C74" s="162">
        <f>'KWH &amp; Rev 2012'!G33</f>
        <v>3369064</v>
      </c>
      <c r="D74" s="162">
        <f>'KWH &amp; Rev 2012'!H33</f>
        <v>11</v>
      </c>
      <c r="E74" s="163">
        <f>C74/D74</f>
        <v>306278.54545454547</v>
      </c>
      <c r="F74" s="164">
        <f>(B74/C74)*100</f>
        <v>13.50612514336326</v>
      </c>
      <c r="G74" s="165">
        <f t="shared" si="6"/>
        <v>7</v>
      </c>
      <c r="H74" s="32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</row>
    <row r="75" spans="1:55" ht="15" customHeight="1" thickBot="1">
      <c r="A75" s="166" t="s">
        <v>24</v>
      </c>
      <c r="B75" s="167">
        <f>SUM(B57:B74)</f>
        <v>142312071</v>
      </c>
      <c r="C75" s="168">
        <f>SUM(C57:C74)</f>
        <v>1409128329</v>
      </c>
      <c r="D75" s="168">
        <f>SUM(D57:D74)</f>
        <v>231</v>
      </c>
      <c r="E75" s="163">
        <f>C75/D75</f>
        <v>6100122.636363637</v>
      </c>
      <c r="F75" s="164">
        <f>(B75/C75)*100</f>
        <v>10.099298131419513</v>
      </c>
      <c r="G75" s="166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</row>
    <row r="76" spans="1:55" ht="15" customHeight="1">
      <c r="A76" s="124" t="str">
        <f>'KWH &amp; Rev 2012'!B89</f>
        <v>Sources:   2012 Annual Reports sent to the DPS from the responding utilities</v>
      </c>
      <c r="B76" s="19"/>
      <c r="C76" s="25"/>
      <c r="D76" s="25"/>
      <c r="E76" s="17"/>
      <c r="F76" s="18"/>
      <c r="G76" s="19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</row>
    <row r="77" spans="1:55" ht="18">
      <c r="A77" s="193" t="s">
        <v>89</v>
      </c>
      <c r="B77" s="40"/>
      <c r="C77" s="40"/>
      <c r="D77" s="40"/>
      <c r="E77" s="40"/>
      <c r="F77" s="26"/>
      <c r="G77" s="26"/>
      <c r="H77" s="9"/>
      <c r="I77" s="9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</row>
    <row r="78" spans="1:55" ht="19.5" customHeight="1">
      <c r="A78" s="91" t="s">
        <v>41</v>
      </c>
      <c r="B78" s="91"/>
      <c r="C78" s="91"/>
      <c r="D78" s="91"/>
      <c r="E78" s="105"/>
      <c r="F78" s="106"/>
      <c r="G78" s="20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</row>
    <row r="79" spans="1:55" ht="15" customHeight="1">
      <c r="A79" s="91" t="s">
        <v>42</v>
      </c>
      <c r="B79" s="91"/>
      <c r="C79" s="91"/>
      <c r="D79" s="91"/>
      <c r="E79" s="105"/>
      <c r="F79" s="106"/>
      <c r="G79" s="20"/>
      <c r="H79" s="3"/>
      <c r="I79" s="3"/>
      <c r="J79" s="8"/>
      <c r="K79" s="8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</row>
    <row r="80" spans="1:55" ht="15" customHeight="1" thickBot="1">
      <c r="A80" s="114">
        <f>A5</f>
        <v>2012</v>
      </c>
      <c r="B80" s="109"/>
      <c r="C80" s="109"/>
      <c r="D80" s="109"/>
      <c r="E80" s="109"/>
      <c r="F80" s="109"/>
      <c r="G80" s="21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</row>
    <row r="81" spans="1:55" ht="30" customHeight="1" thickBot="1">
      <c r="A81" s="175" t="s">
        <v>0</v>
      </c>
      <c r="B81" s="176" t="s">
        <v>34</v>
      </c>
      <c r="C81" s="176" t="s">
        <v>2</v>
      </c>
      <c r="D81" s="176" t="s">
        <v>35</v>
      </c>
      <c r="E81" s="177" t="s">
        <v>5</v>
      </c>
      <c r="F81" s="176" t="s">
        <v>6</v>
      </c>
      <c r="G81" s="19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</row>
    <row r="82" spans="1:55" ht="15.75">
      <c r="A82" s="148" t="s">
        <v>7</v>
      </c>
      <c r="B82" s="149">
        <f>'KWH &amp; Rev 2012'!H59</f>
        <v>2456122</v>
      </c>
      <c r="C82" s="151">
        <f>'KWH &amp; Rev 2012'!K16</f>
        <v>14107112</v>
      </c>
      <c r="D82" s="151">
        <f>'KWH &amp; Rev 2012'!L16</f>
        <v>2186</v>
      </c>
      <c r="E82" s="153">
        <f aca="true" t="shared" si="9" ref="E82:E100">B82/C82*100</f>
        <v>17.41052314605569</v>
      </c>
      <c r="F82" s="154">
        <f aca="true" t="shared" si="10" ref="F82:F99">RANK(E82,$E$82:$E$99,1)</f>
        <v>14</v>
      </c>
      <c r="G82" s="3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</row>
    <row r="83" spans="1:55" ht="15.75">
      <c r="A83" s="187" t="s">
        <v>8</v>
      </c>
      <c r="B83" s="188">
        <f>'KWH &amp; Rev 2012'!H60</f>
        <v>47866277</v>
      </c>
      <c r="C83" s="189">
        <f>'KWH &amp; Rev 2012'!K17</f>
        <v>343522256</v>
      </c>
      <c r="D83" s="189">
        <f>'KWH &amp; Rev 2012'!L17</f>
        <v>20316</v>
      </c>
      <c r="E83" s="191">
        <f t="shared" si="9"/>
        <v>13.933966770409192</v>
      </c>
      <c r="F83" s="186">
        <f t="shared" si="10"/>
        <v>4</v>
      </c>
      <c r="G83" s="3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</row>
    <row r="84" spans="1:55" ht="15.75">
      <c r="A84" s="128" t="s">
        <v>75</v>
      </c>
      <c r="B84" s="188">
        <f>'KWH &amp; Rev 2012'!H61</f>
        <v>250096032</v>
      </c>
      <c r="C84" s="189">
        <f>'KWH &amp; Rev 2012'!K18</f>
        <v>1758100000</v>
      </c>
      <c r="D84" s="189">
        <f>'KWH &amp; Rev 2012'!L18</f>
        <v>160942</v>
      </c>
      <c r="E84" s="191">
        <f t="shared" si="9"/>
        <v>14.225358739548376</v>
      </c>
      <c r="F84" s="186">
        <f t="shared" si="10"/>
        <v>5</v>
      </c>
      <c r="G84" s="34"/>
      <c r="H84" s="10"/>
      <c r="I84" s="10"/>
      <c r="J84" s="11"/>
      <c r="K84" s="10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</row>
    <row r="85" spans="1:55" ht="15.75">
      <c r="A85" s="155" t="s">
        <v>9</v>
      </c>
      <c r="B85" s="156">
        <f>'KWH &amp; Rev 2012'!H62</f>
        <v>4180930</v>
      </c>
      <c r="C85" s="150">
        <f>'KWH &amp; Rev 2012'!K19</f>
        <v>26957935</v>
      </c>
      <c r="D85" s="150">
        <f>'KWH &amp; Rev 2012'!L19</f>
        <v>1665</v>
      </c>
      <c r="E85" s="158">
        <f t="shared" si="9"/>
        <v>15.509088511416028</v>
      </c>
      <c r="F85" s="159">
        <f t="shared" si="10"/>
        <v>9</v>
      </c>
      <c r="G85" s="3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</row>
    <row r="86" spans="1:55" ht="15.75">
      <c r="A86" s="187" t="s">
        <v>10</v>
      </c>
      <c r="B86" s="188">
        <f>'KWH &amp; Rev 2012'!H63</f>
        <v>333487396</v>
      </c>
      <c r="C86" s="189">
        <f>'KWH &amp; Rev 2012'!K20</f>
        <v>2428318000</v>
      </c>
      <c r="D86" s="189">
        <f>'KWH &amp; Rev 2012'!L20</f>
        <v>136210</v>
      </c>
      <c r="E86" s="191">
        <f t="shared" si="9"/>
        <v>13.733267059750823</v>
      </c>
      <c r="F86" s="186">
        <f t="shared" si="10"/>
        <v>3</v>
      </c>
      <c r="G86" s="3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</row>
    <row r="87" spans="1:55" ht="15.75">
      <c r="A87" s="155" t="s">
        <v>11</v>
      </c>
      <c r="B87" s="156">
        <f>'KWH &amp; Rev 2012'!H64</f>
        <v>5821146</v>
      </c>
      <c r="C87" s="150">
        <f>'KWH &amp; Rev 2012'!K21</f>
        <v>31762438</v>
      </c>
      <c r="D87" s="150">
        <f>'KWH &amp; Rev 2012'!L21</f>
        <v>4420</v>
      </c>
      <c r="E87" s="158">
        <f t="shared" si="9"/>
        <v>18.327138489809883</v>
      </c>
      <c r="F87" s="159">
        <f t="shared" si="10"/>
        <v>16</v>
      </c>
      <c r="G87" s="3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</row>
    <row r="88" spans="1:55" ht="15.75">
      <c r="A88" s="155" t="s">
        <v>12</v>
      </c>
      <c r="B88" s="156">
        <f>'KWH &amp; Rev 2012'!H65</f>
        <v>2017301</v>
      </c>
      <c r="C88" s="150">
        <f>'KWH &amp; Rev 2012'!K22</f>
        <v>10937848</v>
      </c>
      <c r="D88" s="150">
        <f>'KWH &amp; Rev 2012'!L22</f>
        <v>1367</v>
      </c>
      <c r="E88" s="158">
        <f t="shared" si="9"/>
        <v>18.443308043776067</v>
      </c>
      <c r="F88" s="159">
        <f t="shared" si="10"/>
        <v>17</v>
      </c>
      <c r="G88" s="3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</row>
    <row r="89" spans="1:55" ht="15.75">
      <c r="A89" s="155" t="s">
        <v>13</v>
      </c>
      <c r="B89" s="156">
        <f>'KWH &amp; Rev 2012'!H66</f>
        <v>838275</v>
      </c>
      <c r="C89" s="150">
        <f>'KWH &amp; Rev 2012'!K23</f>
        <v>4934075</v>
      </c>
      <c r="D89" s="150">
        <f>'KWH &amp; Rev 2012'!L23</f>
        <v>703</v>
      </c>
      <c r="E89" s="158">
        <f t="shared" si="9"/>
        <v>16.989506645115853</v>
      </c>
      <c r="F89" s="159">
        <f t="shared" si="10"/>
        <v>13</v>
      </c>
      <c r="G89" s="3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</row>
    <row r="90" spans="1:55" ht="15.75">
      <c r="A90" s="155" t="s">
        <v>14</v>
      </c>
      <c r="B90" s="156">
        <f>'KWH &amp; Rev 2012'!H67</f>
        <v>2310620</v>
      </c>
      <c r="C90" s="150">
        <f>'KWH &amp; Rev 2012'!K24</f>
        <v>13108226</v>
      </c>
      <c r="D90" s="150">
        <f>'KWH &amp; Rev 2012'!L24</f>
        <v>935</v>
      </c>
      <c r="E90" s="158">
        <f t="shared" si="9"/>
        <v>17.62725177304694</v>
      </c>
      <c r="F90" s="159">
        <f t="shared" si="10"/>
        <v>15</v>
      </c>
      <c r="G90" s="33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</row>
    <row r="91" spans="1:55" ht="15.75">
      <c r="A91" s="155" t="s">
        <v>15</v>
      </c>
      <c r="B91" s="156">
        <f>'KWH &amp; Rev 2012'!H68</f>
        <v>7320589</v>
      </c>
      <c r="C91" s="150">
        <f>'KWH &amp; Rev 2012'!K25</f>
        <v>45715678</v>
      </c>
      <c r="D91" s="150">
        <f>'KWH &amp; Rev 2012'!L25</f>
        <v>3615</v>
      </c>
      <c r="E91" s="158">
        <f t="shared" si="9"/>
        <v>16.01330073240957</v>
      </c>
      <c r="F91" s="159">
        <f t="shared" si="10"/>
        <v>11</v>
      </c>
      <c r="G91" s="33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</row>
    <row r="92" spans="1:55" ht="15.75">
      <c r="A92" s="155" t="s">
        <v>16</v>
      </c>
      <c r="B92" s="156">
        <f>'KWH &amp; Rev 2012'!H69</f>
        <v>10010298</v>
      </c>
      <c r="C92" s="150">
        <f>'KWH &amp; Rev 2012'!K26</f>
        <v>66179808</v>
      </c>
      <c r="D92" s="150">
        <f>'KWH &amp; Rev 2012'!L26</f>
        <v>5621</v>
      </c>
      <c r="E92" s="158">
        <f t="shared" si="9"/>
        <v>15.125909703455168</v>
      </c>
      <c r="F92" s="159">
        <f t="shared" si="10"/>
        <v>7</v>
      </c>
      <c r="G92" s="33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</row>
    <row r="93" spans="1:55" ht="15.75">
      <c r="A93" s="155" t="s">
        <v>17</v>
      </c>
      <c r="B93" s="156">
        <f>'KWH &amp; Rev 2012'!H70</f>
        <v>6961904</v>
      </c>
      <c r="C93" s="150">
        <f>'KWH &amp; Rev 2012'!K27</f>
        <v>44199011</v>
      </c>
      <c r="D93" s="150">
        <f>'KWH &amp; Rev 2012'!L27</f>
        <v>3917</v>
      </c>
      <c r="E93" s="158">
        <f t="shared" si="9"/>
        <v>15.751266470645689</v>
      </c>
      <c r="F93" s="159">
        <f t="shared" si="10"/>
        <v>10</v>
      </c>
      <c r="G93" s="33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</row>
    <row r="94" spans="1:55" ht="15.75">
      <c r="A94" s="187" t="s">
        <v>18</v>
      </c>
      <c r="B94" s="188">
        <f>'KWH &amp; Rev 2012'!H71</f>
        <v>3987847</v>
      </c>
      <c r="C94" s="189">
        <f>'KWH &amp; Rev 2012'!K28</f>
        <v>29357949</v>
      </c>
      <c r="D94" s="189">
        <f>'KWH &amp; Rev 2012'!L28</f>
        <v>1879</v>
      </c>
      <c r="E94" s="191">
        <f t="shared" si="9"/>
        <v>13.583534054098942</v>
      </c>
      <c r="F94" s="186">
        <f t="shared" si="10"/>
        <v>2</v>
      </c>
      <c r="G94" s="33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</row>
    <row r="95" spans="1:55" ht="15.75">
      <c r="A95" s="155" t="s">
        <v>19</v>
      </c>
      <c r="B95" s="156">
        <f>'KWH &amp; Rev 2012'!H72</f>
        <v>1869508</v>
      </c>
      <c r="C95" s="150">
        <f>'KWH &amp; Rev 2012'!K29</f>
        <v>12999432</v>
      </c>
      <c r="D95" s="150">
        <f>'KWH &amp; Rev 2012'!L29</f>
        <v>668</v>
      </c>
      <c r="E95" s="158">
        <f t="shared" si="9"/>
        <v>14.381459128368071</v>
      </c>
      <c r="F95" s="159">
        <f t="shared" si="10"/>
        <v>6</v>
      </c>
      <c r="G95" s="33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</row>
    <row r="96" spans="1:55" ht="15.75">
      <c r="A96" s="155" t="s">
        <v>20</v>
      </c>
      <c r="B96" s="156">
        <f>'KWH &amp; Rev 2012'!H73</f>
        <v>10885100</v>
      </c>
      <c r="C96" s="150">
        <f>'KWH &amp; Rev 2012'!K30</f>
        <v>70531670</v>
      </c>
      <c r="D96" s="150">
        <f>'KWH &amp; Rev 2012'!L30</f>
        <v>3993</v>
      </c>
      <c r="E96" s="158">
        <f t="shared" si="9"/>
        <v>15.432925379478469</v>
      </c>
      <c r="F96" s="159">
        <f t="shared" si="10"/>
        <v>8</v>
      </c>
      <c r="G96" s="33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</row>
    <row r="97" spans="1:55" ht="15.75">
      <c r="A97" s="187" t="s">
        <v>21</v>
      </c>
      <c r="B97" s="188">
        <f>'KWH &amp; Rev 2012'!H74</f>
        <v>6578120</v>
      </c>
      <c r="C97" s="189">
        <f>'KWH &amp; Rev 2012'!K31</f>
        <v>53870711</v>
      </c>
      <c r="D97" s="189">
        <f>'KWH &amp; Rev 2012'!L31</f>
        <v>3639</v>
      </c>
      <c r="E97" s="191">
        <f t="shared" si="9"/>
        <v>12.210939632855412</v>
      </c>
      <c r="F97" s="186">
        <f t="shared" si="10"/>
        <v>1</v>
      </c>
      <c r="G97" s="33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</row>
    <row r="98" spans="1:55" ht="15.75">
      <c r="A98" s="155" t="s">
        <v>22</v>
      </c>
      <c r="B98" s="156">
        <f>'KWH &amp; Rev 2012'!H75</f>
        <v>70203323</v>
      </c>
      <c r="C98" s="150">
        <f>'KWH &amp; Rev 2012'!K32</f>
        <v>437336990</v>
      </c>
      <c r="D98" s="150">
        <f>'KWH &amp; Rev 2012'!L32</f>
        <v>37979</v>
      </c>
      <c r="E98" s="158">
        <f t="shared" si="9"/>
        <v>16.052454881531975</v>
      </c>
      <c r="F98" s="159">
        <f t="shared" si="10"/>
        <v>12</v>
      </c>
      <c r="G98" s="33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</row>
    <row r="99" spans="1:55" ht="16.5" thickBot="1">
      <c r="A99" s="160" t="s">
        <v>23</v>
      </c>
      <c r="B99" s="161">
        <f>'KWH &amp; Rev 2012'!H76</f>
        <v>13269314</v>
      </c>
      <c r="C99" s="162">
        <f>'KWH &amp; Rev 2012'!K33</f>
        <v>68992272</v>
      </c>
      <c r="D99" s="162">
        <f>'KWH &amp; Rev 2012'!L33</f>
        <v>10654</v>
      </c>
      <c r="E99" s="164">
        <f t="shared" si="9"/>
        <v>19.233043955995534</v>
      </c>
      <c r="F99" s="165">
        <f t="shared" si="10"/>
        <v>18</v>
      </c>
      <c r="G99" s="33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</row>
    <row r="100" spans="1:55" ht="16.5" thickBot="1">
      <c r="A100" s="166" t="s">
        <v>24</v>
      </c>
      <c r="B100" s="167">
        <f>SUM(B82:B99)</f>
        <v>780160102</v>
      </c>
      <c r="C100" s="168">
        <f>SUM(C82:C99)</f>
        <v>5460931411</v>
      </c>
      <c r="D100" s="168">
        <f>SUM(D82:D99)</f>
        <v>400709</v>
      </c>
      <c r="E100" s="178">
        <f t="shared" si="9"/>
        <v>14.286209499509864</v>
      </c>
      <c r="F100" s="179"/>
      <c r="G100" s="19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</row>
    <row r="101" spans="1:55" ht="15.75" thickBot="1">
      <c r="A101" s="120" t="str">
        <f>'KWH &amp; Rev 2012'!B89</f>
        <v>Sources:   2012 Annual Reports sent to the DPS from the responding utilities</v>
      </c>
      <c r="B101" s="121"/>
      <c r="C101" s="122"/>
      <c r="D101" s="123"/>
      <c r="E101" s="113"/>
      <c r="F101" s="96"/>
      <c r="G101" s="19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</row>
    <row r="102" spans="1:55" ht="15">
      <c r="A102" s="193" t="s">
        <v>89</v>
      </c>
      <c r="B102" s="25"/>
      <c r="C102" s="25"/>
      <c r="D102" s="25"/>
      <c r="E102" s="17"/>
      <c r="F102" s="18"/>
      <c r="G102" s="19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</row>
    <row r="103" spans="1:55" ht="15">
      <c r="A103" s="212" t="s">
        <v>110</v>
      </c>
      <c r="B103" s="212"/>
      <c r="C103" s="213"/>
      <c r="D103" s="214"/>
      <c r="E103" s="215"/>
      <c r="F103" s="18"/>
      <c r="G103" s="19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</row>
    <row r="104" spans="1:55" ht="15">
      <c r="A104" s="22"/>
      <c r="B104" s="22"/>
      <c r="C104" s="22"/>
      <c r="D104" s="22"/>
      <c r="E104" s="23"/>
      <c r="F104" s="24"/>
      <c r="G104" s="22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</row>
    <row r="105" spans="1:55" ht="15">
      <c r="A105" s="22"/>
      <c r="B105" s="27"/>
      <c r="C105" s="28"/>
      <c r="D105" s="23"/>
      <c r="E105" s="24"/>
      <c r="F105" s="22"/>
      <c r="G105" s="22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</row>
    <row r="106" spans="1:7" ht="12.75">
      <c r="A106" s="29"/>
      <c r="B106" s="29"/>
      <c r="C106" s="29"/>
      <c r="D106" s="29"/>
      <c r="E106" s="29"/>
      <c r="F106" s="29"/>
      <c r="G106" s="29"/>
    </row>
    <row r="107" spans="1:7" ht="12.75">
      <c r="A107" s="29"/>
      <c r="B107" s="29"/>
      <c r="C107" s="29"/>
      <c r="D107" s="29"/>
      <c r="E107" s="29"/>
      <c r="F107" s="29"/>
      <c r="G107" s="29"/>
    </row>
    <row r="108" spans="1:7" ht="12.75">
      <c r="A108" s="29"/>
      <c r="B108" s="29"/>
      <c r="C108" s="29"/>
      <c r="D108" s="29"/>
      <c r="E108" s="29"/>
      <c r="F108" s="29"/>
      <c r="G108" s="29"/>
    </row>
    <row r="109" spans="1:7" ht="12.75">
      <c r="A109" s="29"/>
      <c r="B109" s="29"/>
      <c r="C109" s="29"/>
      <c r="D109" s="29"/>
      <c r="E109" s="29"/>
      <c r="F109" s="29"/>
      <c r="G109" s="29"/>
    </row>
    <row r="110" spans="1:7" ht="12.75">
      <c r="A110" s="29"/>
      <c r="B110" s="29"/>
      <c r="C110" s="29"/>
      <c r="D110" s="29"/>
      <c r="E110" s="29"/>
      <c r="F110" s="29"/>
      <c r="G110" s="29"/>
    </row>
    <row r="111" spans="1:7" ht="12.75">
      <c r="A111" s="29"/>
      <c r="B111" s="29"/>
      <c r="C111" s="29"/>
      <c r="D111" s="29"/>
      <c r="E111" s="29"/>
      <c r="F111" s="29"/>
      <c r="G111" s="29"/>
    </row>
    <row r="112" spans="1:7" ht="12.75">
      <c r="A112" s="29"/>
      <c r="B112" s="29"/>
      <c r="C112" s="29"/>
      <c r="D112" s="29"/>
      <c r="E112" s="29"/>
      <c r="F112" s="29"/>
      <c r="G112" s="29"/>
    </row>
    <row r="113" spans="1:7" ht="12.75">
      <c r="A113" s="29"/>
      <c r="B113" s="29"/>
      <c r="C113" s="29"/>
      <c r="D113" s="29"/>
      <c r="E113" s="29"/>
      <c r="F113" s="29"/>
      <c r="G113" s="29"/>
    </row>
    <row r="114" spans="1:7" ht="12.75">
      <c r="A114" s="29"/>
      <c r="B114" s="29"/>
      <c r="C114" s="29"/>
      <c r="D114" s="29"/>
      <c r="E114" s="29"/>
      <c r="F114" s="29"/>
      <c r="G114" s="29"/>
    </row>
    <row r="115" spans="1:7" ht="12.75">
      <c r="A115" s="29"/>
      <c r="B115" s="29"/>
      <c r="C115" s="29"/>
      <c r="D115" s="29"/>
      <c r="E115" s="29"/>
      <c r="F115" s="29"/>
      <c r="G115" s="29"/>
    </row>
    <row r="116" spans="1:7" ht="12.75">
      <c r="A116" s="29"/>
      <c r="B116" s="29"/>
      <c r="C116" s="29"/>
      <c r="D116" s="29"/>
      <c r="E116" s="29"/>
      <c r="F116" s="29"/>
      <c r="G116" s="29"/>
    </row>
    <row r="117" spans="1:7" ht="12.75">
      <c r="A117" s="29"/>
      <c r="B117" s="29"/>
      <c r="C117" s="29"/>
      <c r="D117" s="29"/>
      <c r="E117" s="29"/>
      <c r="F117" s="29"/>
      <c r="G117" s="29"/>
    </row>
    <row r="118" spans="1:7" ht="12.75">
      <c r="A118" s="29"/>
      <c r="B118" s="29"/>
      <c r="C118" s="29"/>
      <c r="D118" s="29"/>
      <c r="E118" s="29"/>
      <c r="F118" s="29"/>
      <c r="G118" s="29"/>
    </row>
    <row r="119" spans="1:7" ht="12.75">
      <c r="A119" s="29"/>
      <c r="B119" s="29"/>
      <c r="C119" s="29"/>
      <c r="D119" s="29"/>
      <c r="E119" s="29"/>
      <c r="F119" s="29"/>
      <c r="G119" s="29"/>
    </row>
    <row r="120" spans="1:7" ht="12.75">
      <c r="A120" s="30"/>
      <c r="B120" s="30"/>
      <c r="C120" s="30"/>
      <c r="D120" s="30"/>
      <c r="E120" s="30"/>
      <c r="F120" s="30"/>
      <c r="G120" s="30"/>
    </row>
    <row r="121" spans="1:7" ht="12.75">
      <c r="A121" s="30"/>
      <c r="B121" s="30"/>
      <c r="C121" s="30"/>
      <c r="D121" s="30"/>
      <c r="E121" s="30"/>
      <c r="F121" s="30"/>
      <c r="G121" s="30"/>
    </row>
    <row r="122" spans="1:7" ht="12.75">
      <c r="A122" s="30"/>
      <c r="B122" s="30"/>
      <c r="C122" s="30"/>
      <c r="D122" s="30"/>
      <c r="E122" s="30"/>
      <c r="F122" s="30"/>
      <c r="G122" s="30"/>
    </row>
    <row r="123" spans="1:7" ht="12.75">
      <c r="A123" s="30"/>
      <c r="B123" s="30"/>
      <c r="C123" s="30"/>
      <c r="D123" s="30"/>
      <c r="E123" s="30"/>
      <c r="F123" s="30"/>
      <c r="G123" s="30"/>
    </row>
    <row r="124" spans="1:7" ht="12.75">
      <c r="A124" s="30"/>
      <c r="B124" s="30"/>
      <c r="C124" s="30"/>
      <c r="D124" s="30"/>
      <c r="E124" s="30"/>
      <c r="F124" s="30"/>
      <c r="G124" s="30"/>
    </row>
    <row r="125" spans="1:7" ht="12.75">
      <c r="A125" s="30"/>
      <c r="B125" s="30"/>
      <c r="C125" s="30"/>
      <c r="D125" s="30"/>
      <c r="E125" s="30"/>
      <c r="F125" s="30"/>
      <c r="G125" s="30"/>
    </row>
    <row r="126" spans="1:7" ht="12.75">
      <c r="A126" s="30"/>
      <c r="B126" s="30"/>
      <c r="C126" s="30"/>
      <c r="D126" s="30"/>
      <c r="E126" s="30"/>
      <c r="F126" s="30"/>
      <c r="G126" s="30"/>
    </row>
    <row r="127" spans="1:7" ht="12.75">
      <c r="A127" s="30"/>
      <c r="B127" s="30"/>
      <c r="C127" s="30"/>
      <c r="D127" s="30"/>
      <c r="E127" s="30"/>
      <c r="F127" s="30"/>
      <c r="G127" s="30"/>
    </row>
    <row r="128" spans="1:7" ht="12.75">
      <c r="A128" s="30"/>
      <c r="B128" s="30"/>
      <c r="C128" s="30"/>
      <c r="D128" s="30"/>
      <c r="E128" s="30"/>
      <c r="F128" s="30"/>
      <c r="G128" s="30"/>
    </row>
    <row r="129" spans="1:7" ht="12.75">
      <c r="A129" s="30"/>
      <c r="B129" s="30"/>
      <c r="C129" s="30"/>
      <c r="D129" s="30"/>
      <c r="E129" s="30"/>
      <c r="F129" s="30"/>
      <c r="G129" s="30"/>
    </row>
    <row r="130" spans="1:7" ht="12.75">
      <c r="A130" s="30"/>
      <c r="B130" s="30"/>
      <c r="C130" s="30"/>
      <c r="D130" s="30"/>
      <c r="E130" s="30"/>
      <c r="F130" s="30"/>
      <c r="G130" s="30"/>
    </row>
    <row r="131" spans="1:7" ht="12.75">
      <c r="A131" s="30"/>
      <c r="B131" s="30"/>
      <c r="C131" s="30"/>
      <c r="D131" s="30"/>
      <c r="E131" s="30"/>
      <c r="F131" s="30"/>
      <c r="G131" s="30"/>
    </row>
    <row r="132" spans="1:7" ht="12.75">
      <c r="A132" s="30"/>
      <c r="B132" s="30"/>
      <c r="C132" s="30"/>
      <c r="D132" s="30"/>
      <c r="E132" s="30"/>
      <c r="F132" s="30"/>
      <c r="G132" s="30"/>
    </row>
  </sheetData>
  <sheetProtection/>
  <printOptions gridLines="1"/>
  <pageMargins left="1.25" right="1" top="0.3" bottom="0.25" header="0.5" footer="0.5"/>
  <pageSetup blackAndWhite="1" horizontalDpi="600" verticalDpi="600" orientation="portrait" scale="64" r:id="rId2"/>
  <rowBreaks count="2" manualBreakCount="2">
    <brk id="51" max="255" man="1"/>
    <brk id="101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Vermont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R. Kundrath</dc:creator>
  <cp:keywords/>
  <dc:description/>
  <cp:lastModifiedBy>Ziegler, Tod</cp:lastModifiedBy>
  <cp:lastPrinted>2013-07-12T13:18:56Z</cp:lastPrinted>
  <dcterms:created xsi:type="dcterms:W3CDTF">2005-01-03T15:34:36Z</dcterms:created>
  <dcterms:modified xsi:type="dcterms:W3CDTF">2015-07-20T14:28:21Z</dcterms:modified>
  <cp:category/>
  <cp:version/>
  <cp:contentType/>
  <cp:contentStatus/>
</cp:coreProperties>
</file>