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omments3.xml" ContentType="application/vnd.openxmlformats-officedocument.spreadsheetml.comment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drawings/drawing5.xml" ContentType="application/vnd.openxmlformats-officedocument.drawing+xml"/>
  <Override PartName="/xl/comments6.xml" ContentType="application/vnd.openxmlformats-officedocument.spreadsheetml.comment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vermontgov.sharepoint.com/teams/PSD-PERDTeam/Shared Documents/Annual Energy Report/2025 AER/RES model/"/>
    </mc:Choice>
  </mc:AlternateContent>
  <xr:revisionPtr revIDLastSave="3104" documentId="8_{3C42D4CC-8A6B-4D97-A917-316E9B0FDA6D}" xr6:coauthVersionLast="47" xr6:coauthVersionMax="47" xr10:uidLastSave="{005C07E0-8447-4F2E-866C-B84A16C1D8F9}"/>
  <bookViews>
    <workbookView xWindow="28680" yWindow="-120" windowWidth="29040" windowHeight="15840" xr2:uid="{20B28797-C9AD-49D3-A66B-BCEA84F8BE62}"/>
  </bookViews>
  <sheets>
    <sheet name="Statute" sheetId="17" r:id="rId1"/>
    <sheet name="Request for Input" sheetId="18" r:id="rId2"/>
    <sheet name="Load Forecast" sheetId="10" r:id="rId3"/>
    <sheet name="Requirements" sheetId="9" r:id="rId4"/>
    <sheet name="REC prices" sheetId="12" r:id="rId5"/>
    <sheet name="Tier III" sheetId="16" r:id="rId6"/>
    <sheet name="Tier III Planning Tool" sheetId="20" state="hidden" r:id="rId7"/>
    <sheet name="Summary" sheetId="19" r:id="rId8"/>
    <sheet name="Rate Impact" sheetId="14" r:id="rId9"/>
    <sheet name="Emissions &amp; Energy Impact" sheetId="11" r:id="rId10"/>
  </sheets>
  <externalReferences>
    <externalReference r:id="rId11"/>
    <externalReference r:id="rId12"/>
    <externalReference r:id="rId13"/>
  </externalReferences>
  <definedNames>
    <definedName name="base_year">'[1]Core Assumptions'!$D$5</definedName>
    <definedName name="cap_factor">[2]user_inputs!$A$2</definedName>
    <definedName name="CCHP_incentive_escalation">'[1]Core Assumptions'!$D$38</definedName>
    <definedName name="CCHP_LMP_multiplier">'[1]Core Assumptions'!$D$44</definedName>
    <definedName name="cust_disc_rate_res">'[3]energy$'!$A$2</definedName>
    <definedName name="custom_incentive_escalation">'[1]Core Assumptions'!$D$41</definedName>
    <definedName name="Custom_LMP_multiplier">'[1]Core Assumptions'!$D$47</definedName>
    <definedName name="D_losses">'[3]ELC WS'!$K$1</definedName>
    <definedName name="depreciation_rate">'[1]Core Assumptions'!$D$8</definedName>
    <definedName name="discount_rate">'[1]Core Assumptions'!$D$7</definedName>
    <definedName name="ELC_price_trend">'[3]energy$'!$A$4</definedName>
    <definedName name="ELC_price_yr1">'[3]energy$'!$A$3</definedName>
    <definedName name="equip_cost_CCHP_space">'[1]Tier III incentives'!$C$5</definedName>
    <definedName name="equip_cost_EV">[3]EV!$C$3</definedName>
    <definedName name="equip_cost_ICE">[3]EV!$B$3</definedName>
    <definedName name="equip_cost_trend_CCHP">'[1]Tier III incentives'!$C$7</definedName>
    <definedName name="equip_cost_trend_EV">[3]EV!$C$4</definedName>
    <definedName name="equip_cost_trend_ICE">[3]EV!$B$4</definedName>
    <definedName name="EV_incentive_escalation">'[1]Core Assumptions'!$D$39</definedName>
    <definedName name="EV_LMP_multiplier">'[1]Core Assumptions'!$D$45</definedName>
    <definedName name="EV_rate">'[1]Core Assumptions'!$D$15</definedName>
    <definedName name="FCA_multiplier">'[3]ELC WS'!$A$3</definedName>
    <definedName name="FCA_multiplier_trend">'[3]ELC WS'!$A$4</definedName>
    <definedName name="FCM_coincidence">'[1]Core Assumptions'!$D$49</definedName>
    <definedName name="FF_price_case">'[3]energy$'!$A$13</definedName>
    <definedName name="FF_price_high_case_assumption">'[3]energy$'!$A$11</definedName>
    <definedName name="FF_price_htg_cum_chg">[3]AEO!#REF!</definedName>
    <definedName name="FF_price_htg_trend">'[3]energy$'!$A$7</definedName>
    <definedName name="FF_price_htg_yr1">'[3]energy$'!$A$5</definedName>
    <definedName name="FF_price_htg_yr2">'[3]energy$'!$C$13</definedName>
    <definedName name="FF_price_low_case_assumption">'[3]energy$'!$A$10</definedName>
    <definedName name="FF_price_trans_trend">'[3]energy$'!$A$8</definedName>
    <definedName name="FF_price_trans_yr1">'[3]energy$'!$A$6</definedName>
    <definedName name="FF_price_trans_yr2">'[3]energy$'!$C$14</definedName>
    <definedName name="FF_scenario">'[1]Core Assumptions'!$D$18</definedName>
    <definedName name="fuel_cons_trans_ICE">[3]EV!$B$6</definedName>
    <definedName name="High_FF_esc">'[1]Core Assumptions'!$D$21</definedName>
    <definedName name="htg_load_baseline_space">'[1]Tier III incentives'!$B$3</definedName>
    <definedName name="htg_load_baseline_water">'[1]Tier III incentives'!$B$4</definedName>
    <definedName name="htg_load_CCHP_backup">'[1]Tier III incentives'!$C$12</definedName>
    <definedName name="htg_load_CCHP_space">'[1]Tier III incentives'!$C$10</definedName>
    <definedName name="infl_rate">'[3]energy$'!$A$1</definedName>
    <definedName name="inflation_rate">'[1]Core Assumptions'!$D$6</definedName>
    <definedName name="LMP_mult_CCHP_clg">[3]CCHP!$C$21</definedName>
    <definedName name="LMP_mult_CCHP_htg">[3]CCHP!$C$20</definedName>
    <definedName name="LMP_mult_EV">[3]EV!$C$12</definedName>
    <definedName name="LMP_trend">'[3]ELC WS'!$A$1</definedName>
    <definedName name="losses_yr1">[2]user_inputs!$A$50</definedName>
    <definedName name="Low_FF_esc">'[1]Core Assumptions'!$D$19</definedName>
    <definedName name="maint_cost_trans_yr1_EV">[3]EV!$C$8</definedName>
    <definedName name="maint_cost_trans_yr1_ICE">[3]EV!$B$8</definedName>
    <definedName name="Mid_FF_esc">'[1]Core Assumptions'!$D$20</definedName>
    <definedName name="NM_escalation">'[1]Core Assumptions'!$D$11</definedName>
    <definedName name="NM_growth">'[3]T1&amp;2'!$M$1</definedName>
    <definedName name="overhead_escalation">'[1]Core Assumptions'!$D$52</definedName>
    <definedName name="peak_contributino_VT_CCHP">[3]CCHP!$C$22</definedName>
    <definedName name="peak_contribution_NE_CCHP">[3]CCHP!$C$23</definedName>
    <definedName name="pk_contribution_NE_EV">[3]EV!$C$14</definedName>
    <definedName name="pk_contribution_VT_EV">[3]EV!$C$13</definedName>
    <definedName name="REC_scenario">'[1]Core Assumptions'!$D$12</definedName>
    <definedName name="Retail_Rate_escalation">'[1]Core Assumptions'!$D$16</definedName>
    <definedName name="Retail_Rate_yr1">'[1]Core Assumptions'!$D$14</definedName>
    <definedName name="retail_sales_forecast">'[1]Core Assumptions'!$D$10</definedName>
    <definedName name="RNS_coincidence">'[1]Core Assumptions'!$D$48</definedName>
    <definedName name="RNS_trend">'[3]ELC WS'!$A$2</definedName>
    <definedName name="scenario">'[1]Core Assumptions'!$D$1</definedName>
    <definedName name="seasonal_COP">[3]CCHP!#REF!</definedName>
    <definedName name="T1_cost_projection">'[3]RE gen'!$J$6:$J$15</definedName>
    <definedName name="T1_cost_trend">'[3]RE gen'!$I$1</definedName>
    <definedName name="T1_cost_yr1">'[3]RE gen'!$B$1</definedName>
    <definedName name="T2_cost_projection">'[3]RE gen'!$K$6:$K$15</definedName>
    <definedName name="T2_cost_trend">'[3]RE gen'!$I$2</definedName>
    <definedName name="T2_cost_yr1">'[3]RE gen'!$B$3</definedName>
    <definedName name="T3_credit_CCHP_space">[3]CCHP!$C$17</definedName>
    <definedName name="T3_credit_EV">[3]EV!$C$10</definedName>
    <definedName name="T3_share_CCHP">[3]COS!$J$3</definedName>
    <definedName name="T3_share_EV">[3]COS!$K$3</definedName>
    <definedName name="Tier3_Overhead">'[1]Core Assumptions'!$D$51</definedName>
    <definedName name="UEC_CCHP_clg">[3]CCHP!$C$15</definedName>
    <definedName name="UEC_CCHP_htg_space">[3]CCHP!$C$13</definedName>
    <definedName name="UEC_EV">[3]EV!$C$9</definedName>
    <definedName name="UEC_window_clg">'[1]Tier III incentives'!$B$16</definedName>
    <definedName name="wholesale_cost_trend">'[3]ELC WS'!$H$20</definedName>
    <definedName name="wx_incentive_escalation">'[1]Core Assumptions'!$D$40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 i="14" l="1"/>
  <c r="N5" i="14"/>
  <c r="N6" i="14"/>
  <c r="N7" i="14"/>
  <c r="N8" i="14"/>
  <c r="N9" i="14"/>
  <c r="N10" i="14"/>
  <c r="N11" i="14"/>
  <c r="N12" i="14"/>
  <c r="N13" i="14"/>
  <c r="N3" i="14"/>
  <c r="F7" i="14"/>
  <c r="F8" i="14"/>
  <c r="F9" i="14"/>
  <c r="F10" i="14"/>
  <c r="F11" i="14"/>
  <c r="F12" i="14"/>
  <c r="F13" i="14"/>
  <c r="F6" i="14"/>
  <c r="F4" i="14"/>
  <c r="F5" i="14"/>
  <c r="F3" i="14"/>
  <c r="G120" i="9"/>
  <c r="G121" i="9" s="1"/>
  <c r="G122" i="9" s="1"/>
  <c r="G123" i="9" s="1"/>
  <c r="G124" i="9" s="1"/>
  <c r="G125" i="9" s="1"/>
  <c r="G119" i="9"/>
  <c r="G105" i="9"/>
  <c r="G106" i="9" s="1"/>
  <c r="G107" i="9" s="1"/>
  <c r="G108" i="9" s="1"/>
  <c r="G109" i="9" s="1"/>
  <c r="G110" i="9" s="1"/>
  <c r="G111" i="9" s="1"/>
  <c r="G92" i="9"/>
  <c r="G93" i="9" s="1"/>
  <c r="G94" i="9" s="1"/>
  <c r="G95" i="9" s="1"/>
  <c r="G96" i="9" s="1"/>
  <c r="G97" i="9" s="1"/>
  <c r="G91" i="9"/>
  <c r="D10" i="12" l="1"/>
  <c r="D11" i="12"/>
  <c r="D12" i="12"/>
  <c r="D9" i="12"/>
  <c r="B3" i="14"/>
  <c r="G4" i="10"/>
  <c r="C3" i="12"/>
  <c r="C4" i="12" s="1"/>
  <c r="C5" i="12" s="1"/>
  <c r="C6" i="12" s="1"/>
  <c r="C7" i="12" s="1"/>
  <c r="C8" i="12" s="1"/>
  <c r="C9" i="12" l="1"/>
  <c r="C10" i="12" s="1"/>
  <c r="C11" i="12" s="1"/>
  <c r="C12" i="12" s="1"/>
  <c r="D29" i="12" l="1"/>
  <c r="D30" i="12"/>
  <c r="D31" i="12"/>
  <c r="C24" i="12"/>
  <c r="D24" i="12" s="1"/>
  <c r="C25" i="12"/>
  <c r="D25" i="12" s="1"/>
  <c r="C26" i="12"/>
  <c r="D26" i="12" s="1"/>
  <c r="C27" i="12"/>
  <c r="D27" i="12" s="1"/>
  <c r="C28" i="12"/>
  <c r="D28" i="12" s="1"/>
  <c r="C29" i="12"/>
  <c r="C30" i="12"/>
  <c r="C31" i="12"/>
  <c r="C32" i="12"/>
  <c r="D32" i="12" s="1"/>
  <c r="C33" i="12"/>
  <c r="D33" i="12" s="1"/>
  <c r="C23" i="12"/>
  <c r="D23" i="12" s="1"/>
  <c r="F34" i="9" l="1"/>
  <c r="E3" i="12" l="1"/>
  <c r="E4" i="12"/>
  <c r="E5" i="12"/>
  <c r="E6" i="12"/>
  <c r="E7" i="12"/>
  <c r="E8" i="12"/>
  <c r="E9" i="12"/>
  <c r="E10" i="12"/>
  <c r="E11" i="12"/>
  <c r="E12" i="12"/>
  <c r="E2" i="12"/>
  <c r="F49" i="20" l="1"/>
  <c r="B49" i="20"/>
  <c r="B50" i="20" s="1"/>
  <c r="D47" i="20" s="1"/>
  <c r="F48" i="20"/>
  <c r="E48" i="20"/>
  <c r="D48" i="20"/>
  <c r="E47" i="20"/>
  <c r="F47" i="20" s="1"/>
  <c r="B47" i="20"/>
  <c r="F46" i="20"/>
  <c r="F45" i="20"/>
  <c r="E44" i="20"/>
  <c r="D44" i="20"/>
  <c r="F44" i="20" s="1"/>
  <c r="D43" i="20"/>
  <c r="F43" i="20" s="1"/>
  <c r="E42" i="20"/>
  <c r="F42" i="20" s="1"/>
  <c r="D42" i="20"/>
  <c r="F41" i="20"/>
  <c r="D41" i="20"/>
  <c r="E40" i="20"/>
  <c r="F40" i="20" s="1"/>
  <c r="D40" i="20"/>
  <c r="F10" i="20"/>
  <c r="E10" i="20"/>
  <c r="D10" i="20"/>
  <c r="C10" i="20"/>
  <c r="B26" i="11" l="1"/>
  <c r="L75" i="16"/>
  <c r="L76" i="16" s="1"/>
  <c r="L77" i="16" s="1"/>
  <c r="L78" i="16" s="1"/>
  <c r="L79" i="16" s="1"/>
  <c r="L80" i="16" s="1"/>
  <c r="L81" i="16" s="1"/>
  <c r="L82" i="16" s="1"/>
  <c r="L83" i="16" s="1"/>
  <c r="L84" i="16" s="1"/>
  <c r="L85" i="16" s="1"/>
  <c r="E75" i="16"/>
  <c r="E76" i="16" s="1"/>
  <c r="E77" i="16" s="1"/>
  <c r="E78" i="16" s="1"/>
  <c r="E79" i="16" s="1"/>
  <c r="E80" i="16" s="1"/>
  <c r="E81" i="16" s="1"/>
  <c r="E82" i="16" s="1"/>
  <c r="E83" i="16" s="1"/>
  <c r="E84" i="16" s="1"/>
  <c r="E85" i="16" s="1"/>
  <c r="B30" i="16" l="1"/>
  <c r="B31" i="16" s="1"/>
  <c r="B32" i="16" s="1"/>
  <c r="B33" i="16" s="1"/>
  <c r="B34" i="16" s="1"/>
  <c r="B35" i="16" s="1"/>
  <c r="B36" i="16" s="1"/>
  <c r="B37" i="16" s="1"/>
  <c r="B38" i="16" s="1"/>
  <c r="B39" i="16" s="1"/>
  <c r="J80" i="14"/>
  <c r="J79" i="14"/>
  <c r="C67" i="14" l="1"/>
  <c r="J67" i="14" s="1"/>
  <c r="B68" i="14"/>
  <c r="C68" i="14" s="1"/>
  <c r="D68" i="14" s="1"/>
  <c r="C55" i="14"/>
  <c r="K55" i="14" s="1"/>
  <c r="D55" i="14"/>
  <c r="L55" i="14" s="1"/>
  <c r="C56" i="14"/>
  <c r="K56" i="14" s="1"/>
  <c r="D56" i="14"/>
  <c r="L56" i="14" s="1"/>
  <c r="C57" i="14"/>
  <c r="K57" i="14" s="1"/>
  <c r="D57" i="14"/>
  <c r="L57" i="14" s="1"/>
  <c r="C58" i="14"/>
  <c r="K58" i="14" s="1"/>
  <c r="D58" i="14"/>
  <c r="L58" i="14" s="1"/>
  <c r="C59" i="14"/>
  <c r="K59" i="14" s="1"/>
  <c r="D59" i="14"/>
  <c r="L59" i="14" s="1"/>
  <c r="C60" i="14"/>
  <c r="K60" i="14" s="1"/>
  <c r="D60" i="14"/>
  <c r="L60" i="14" s="1"/>
  <c r="C61" i="14"/>
  <c r="K61" i="14" s="1"/>
  <c r="D61" i="14"/>
  <c r="L61" i="14" s="1"/>
  <c r="C62" i="14"/>
  <c r="K62" i="14" s="1"/>
  <c r="D62" i="14"/>
  <c r="L62" i="14" s="1"/>
  <c r="C63" i="14"/>
  <c r="K63" i="14" s="1"/>
  <c r="D63" i="14"/>
  <c r="L63" i="14" s="1"/>
  <c r="C64" i="14"/>
  <c r="K64" i="14" s="1"/>
  <c r="D64" i="14"/>
  <c r="L64" i="14" s="1"/>
  <c r="C54" i="14"/>
  <c r="K54" i="14" s="1"/>
  <c r="D54" i="14"/>
  <c r="L54" i="14" s="1"/>
  <c r="B40" i="14"/>
  <c r="J40" i="14" s="1"/>
  <c r="B41" i="14"/>
  <c r="J41" i="14" s="1"/>
  <c r="B42" i="14"/>
  <c r="B57" i="14" s="1"/>
  <c r="J57" i="14" s="1"/>
  <c r="B43" i="14"/>
  <c r="J43" i="14" s="1"/>
  <c r="B44" i="14"/>
  <c r="B59" i="14" s="1"/>
  <c r="J59" i="14" s="1"/>
  <c r="B45" i="14"/>
  <c r="B46" i="14"/>
  <c r="B47" i="14"/>
  <c r="B48" i="14"/>
  <c r="B49" i="14"/>
  <c r="J49" i="14" s="1"/>
  <c r="B39" i="14"/>
  <c r="B38" i="14"/>
  <c r="J38" i="14" s="1"/>
  <c r="L38" i="14"/>
  <c r="K38" i="14"/>
  <c r="B54" i="14" l="1"/>
  <c r="B85" i="14" s="1"/>
  <c r="B98" i="14" s="1"/>
  <c r="J39" i="14"/>
  <c r="B61" i="14"/>
  <c r="J61" i="14" s="1"/>
  <c r="B62" i="14"/>
  <c r="J62" i="14" s="1"/>
  <c r="B64" i="14"/>
  <c r="J64" i="14" s="1"/>
  <c r="B56" i="14"/>
  <c r="J56" i="14" s="1"/>
  <c r="B60" i="14"/>
  <c r="J60" i="14" s="1"/>
  <c r="J45" i="14"/>
  <c r="J46" i="14"/>
  <c r="B63" i="14"/>
  <c r="J63" i="14" s="1"/>
  <c r="J48" i="14"/>
  <c r="J42" i="14"/>
  <c r="B55" i="14"/>
  <c r="J55" i="14" s="1"/>
  <c r="B58" i="14"/>
  <c r="J58" i="14" s="1"/>
  <c r="J47" i="14"/>
  <c r="J44" i="14"/>
  <c r="B69" i="14"/>
  <c r="K67" i="14"/>
  <c r="L67" i="14" s="1"/>
  <c r="J68" i="14"/>
  <c r="D67" i="14"/>
  <c r="J98" i="14" l="1"/>
  <c r="J85" i="14"/>
  <c r="J54" i="14"/>
  <c r="B86" i="14"/>
  <c r="B99" i="14" s="1"/>
  <c r="B70" i="14"/>
  <c r="C69" i="14"/>
  <c r="D69" i="14" s="1"/>
  <c r="K68" i="14"/>
  <c r="L68" i="14" s="1"/>
  <c r="J69" i="14"/>
  <c r="J99" i="14" l="1"/>
  <c r="J86" i="14"/>
  <c r="B87" i="14"/>
  <c r="B100" i="14" s="1"/>
  <c r="B71" i="14"/>
  <c r="C70" i="14"/>
  <c r="D70" i="14" s="1"/>
  <c r="J70" i="14"/>
  <c r="K69" i="14"/>
  <c r="L69" i="14" s="1"/>
  <c r="J100" i="14" l="1"/>
  <c r="B88" i="14"/>
  <c r="B101" i="14" s="1"/>
  <c r="J87" i="14"/>
  <c r="B72" i="14"/>
  <c r="C71" i="14"/>
  <c r="D71" i="14" s="1"/>
  <c r="J71" i="14"/>
  <c r="K70" i="14"/>
  <c r="L70" i="14" s="1"/>
  <c r="J101" i="14" l="1"/>
  <c r="B89" i="14"/>
  <c r="B102" i="14" s="1"/>
  <c r="J88" i="14"/>
  <c r="B73" i="14"/>
  <c r="C72" i="14"/>
  <c r="D72" i="14" s="1"/>
  <c r="J72" i="14"/>
  <c r="K71" i="14"/>
  <c r="L71" i="14" s="1"/>
  <c r="J102" i="14" l="1"/>
  <c r="B90" i="14"/>
  <c r="B103" i="14" s="1"/>
  <c r="J89" i="14"/>
  <c r="B74" i="14"/>
  <c r="C73" i="14"/>
  <c r="D73" i="14" s="1"/>
  <c r="J73" i="14"/>
  <c r="K72" i="14"/>
  <c r="L72" i="14" s="1"/>
  <c r="J103" i="14" l="1"/>
  <c r="B91" i="14"/>
  <c r="B104" i="14" s="1"/>
  <c r="J90" i="14"/>
  <c r="B75" i="14"/>
  <c r="C74" i="14"/>
  <c r="D74" i="14" s="1"/>
  <c r="J74" i="14"/>
  <c r="K73" i="14"/>
  <c r="L73" i="14" s="1"/>
  <c r="J104" i="14" l="1"/>
  <c r="B92" i="14"/>
  <c r="B105" i="14" s="1"/>
  <c r="J91" i="14"/>
  <c r="B76" i="14"/>
  <c r="C75" i="14"/>
  <c r="D75" i="14" s="1"/>
  <c r="J75" i="14"/>
  <c r="K74" i="14"/>
  <c r="L74" i="14" s="1"/>
  <c r="J105" i="14" l="1"/>
  <c r="B93" i="14"/>
  <c r="B106" i="14" s="1"/>
  <c r="J92" i="14"/>
  <c r="B77" i="14"/>
  <c r="C77" i="14" s="1"/>
  <c r="D77" i="14" s="1"/>
  <c r="C76" i="14"/>
  <c r="D76" i="14" s="1"/>
  <c r="J76" i="14"/>
  <c r="K75" i="14"/>
  <c r="L75" i="14" s="1"/>
  <c r="J106" i="14" l="1"/>
  <c r="B94" i="14"/>
  <c r="B107" i="14" s="1"/>
  <c r="J93" i="14"/>
  <c r="J77" i="14"/>
  <c r="K77" i="14" s="1"/>
  <c r="L77" i="14" s="1"/>
  <c r="K76" i="14"/>
  <c r="L76" i="14" s="1"/>
  <c r="J107" i="14" l="1"/>
  <c r="B95" i="14"/>
  <c r="B108" i="14" s="1"/>
  <c r="J94" i="14"/>
  <c r="K40" i="14"/>
  <c r="L40" i="14"/>
  <c r="K41" i="14"/>
  <c r="L41" i="14"/>
  <c r="K42" i="14"/>
  <c r="L42" i="14"/>
  <c r="K43" i="14"/>
  <c r="L43" i="14"/>
  <c r="K44" i="14"/>
  <c r="L44" i="14"/>
  <c r="K45" i="14"/>
  <c r="L45" i="14"/>
  <c r="K46" i="14"/>
  <c r="L46" i="14"/>
  <c r="K47" i="14"/>
  <c r="L47" i="14"/>
  <c r="K48" i="14"/>
  <c r="L48" i="14"/>
  <c r="K49" i="14"/>
  <c r="L49" i="14"/>
  <c r="L39" i="14"/>
  <c r="K39" i="14"/>
  <c r="J108" i="14" l="1"/>
  <c r="J95" i="14"/>
  <c r="L83" i="14"/>
  <c r="K83" i="14"/>
  <c r="J83" i="14"/>
  <c r="C83" i="14"/>
  <c r="D83" i="14" l="1"/>
  <c r="D85" i="14" s="1"/>
  <c r="D98" i="14" s="1"/>
  <c r="C85" i="14"/>
  <c r="F39" i="9"/>
  <c r="F33" i="9" s="1"/>
  <c r="F37" i="9"/>
  <c r="F36" i="9"/>
  <c r="F35" i="9"/>
  <c r="F17" i="16"/>
  <c r="F18" i="16"/>
  <c r="F19" i="16"/>
  <c r="F20" i="16"/>
  <c r="F21" i="16"/>
  <c r="F22" i="16"/>
  <c r="F23" i="16"/>
  <c r="F24" i="16"/>
  <c r="F25" i="16"/>
  <c r="F26" i="16"/>
  <c r="C17" i="16"/>
  <c r="C18" i="16" s="1"/>
  <c r="C19" i="16" s="1"/>
  <c r="C20" i="16" s="1"/>
  <c r="C21" i="16" s="1"/>
  <c r="C22" i="16" s="1"/>
  <c r="C23" i="16" s="1"/>
  <c r="C24" i="16" s="1"/>
  <c r="C25" i="16" s="1"/>
  <c r="C26" i="16" s="1"/>
  <c r="D17" i="16"/>
  <c r="D18" i="16" s="1"/>
  <c r="D19" i="16" s="1"/>
  <c r="D20" i="16" s="1"/>
  <c r="D21" i="16" s="1"/>
  <c r="D22" i="16" s="1"/>
  <c r="D23" i="16" s="1"/>
  <c r="D24" i="16" s="1"/>
  <c r="D25" i="16" s="1"/>
  <c r="D26" i="16" s="1"/>
  <c r="E17" i="16"/>
  <c r="E18" i="16" s="1"/>
  <c r="E19" i="16" s="1"/>
  <c r="E20" i="16" s="1"/>
  <c r="E21" i="16" s="1"/>
  <c r="E22" i="16" s="1"/>
  <c r="E23" i="16" s="1"/>
  <c r="E24" i="16" s="1"/>
  <c r="E25" i="16" s="1"/>
  <c r="E26" i="16" s="1"/>
  <c r="B17" i="16"/>
  <c r="F16" i="16"/>
  <c r="B3" i="16" s="1"/>
  <c r="L98" i="14" l="1"/>
  <c r="C98" i="14"/>
  <c r="K98" i="14" s="1"/>
  <c r="C86" i="14"/>
  <c r="K85" i="14"/>
  <c r="D86" i="14"/>
  <c r="D99" i="14" s="1"/>
  <c r="L85" i="14"/>
  <c r="B4" i="16"/>
  <c r="B18" i="16"/>
  <c r="C125" i="9"/>
  <c r="C124" i="9"/>
  <c r="C123" i="9"/>
  <c r="C122" i="9"/>
  <c r="C121" i="9"/>
  <c r="C120" i="9"/>
  <c r="C119" i="9"/>
  <c r="C118" i="9"/>
  <c r="C117" i="9"/>
  <c r="C116" i="9"/>
  <c r="C115" i="9"/>
  <c r="C111" i="9"/>
  <c r="C110" i="9"/>
  <c r="C109" i="9"/>
  <c r="C108" i="9"/>
  <c r="C107" i="9"/>
  <c r="C106" i="9"/>
  <c r="C105" i="9"/>
  <c r="C104" i="9"/>
  <c r="C103" i="9"/>
  <c r="C102" i="9"/>
  <c r="C101" i="9"/>
  <c r="C88" i="9"/>
  <c r="C89" i="9"/>
  <c r="C90" i="9"/>
  <c r="C91" i="9"/>
  <c r="C92" i="9"/>
  <c r="C93" i="9"/>
  <c r="C94" i="9"/>
  <c r="C95" i="9"/>
  <c r="C96" i="9"/>
  <c r="C97" i="9"/>
  <c r="C87" i="9"/>
  <c r="F40" i="9"/>
  <c r="O4" i="10"/>
  <c r="L99" i="14" l="1"/>
  <c r="C99" i="14"/>
  <c r="K99" i="14" s="1"/>
  <c r="D87" i="14"/>
  <c r="D100" i="14" s="1"/>
  <c r="L86" i="14"/>
  <c r="C87" i="14"/>
  <c r="K86" i="14"/>
  <c r="B19" i="16"/>
  <c r="B5" i="16"/>
  <c r="G24" i="10"/>
  <c r="H24" i="10" s="1"/>
  <c r="G23" i="10"/>
  <c r="G22" i="10"/>
  <c r="G21" i="10"/>
  <c r="G20" i="10"/>
  <c r="G19" i="10"/>
  <c r="G18" i="10"/>
  <c r="H18" i="10" s="1"/>
  <c r="G17" i="10"/>
  <c r="G16" i="10"/>
  <c r="G15" i="10"/>
  <c r="G14" i="10"/>
  <c r="G13" i="10"/>
  <c r="G12" i="10"/>
  <c r="G11" i="10"/>
  <c r="G10" i="10"/>
  <c r="G9" i="10"/>
  <c r="G8" i="10"/>
  <c r="G7" i="10"/>
  <c r="G6" i="10"/>
  <c r="G5" i="10"/>
  <c r="O5" i="10"/>
  <c r="P5" i="10" s="1"/>
  <c r="O6" i="10"/>
  <c r="O7" i="10"/>
  <c r="O8" i="10"/>
  <c r="O9" i="10"/>
  <c r="O10" i="10"/>
  <c r="O11" i="10"/>
  <c r="O12" i="10"/>
  <c r="O13" i="10"/>
  <c r="O14" i="10"/>
  <c r="O15" i="10"/>
  <c r="O16" i="10"/>
  <c r="O17" i="10"/>
  <c r="O18" i="10"/>
  <c r="P18" i="10" s="1"/>
  <c r="O19" i="10"/>
  <c r="P19" i="10" s="1"/>
  <c r="O20" i="10"/>
  <c r="O21" i="10"/>
  <c r="P21" i="10" s="1"/>
  <c r="O22" i="10"/>
  <c r="O23" i="10"/>
  <c r="P23" i="10" s="1"/>
  <c r="O24" i="10"/>
  <c r="L100" i="14" l="1"/>
  <c r="C100" i="14"/>
  <c r="K100" i="14" s="1"/>
  <c r="C88" i="14"/>
  <c r="K87" i="14"/>
  <c r="D88" i="14"/>
  <c r="D101" i="14" s="1"/>
  <c r="L87" i="14"/>
  <c r="B20" i="16"/>
  <c r="B6" i="16"/>
  <c r="H19" i="10"/>
  <c r="H5" i="10"/>
  <c r="H23" i="10"/>
  <c r="P17" i="10"/>
  <c r="K34" i="11"/>
  <c r="P34" i="11" s="1"/>
  <c r="P9" i="10"/>
  <c r="P24" i="10"/>
  <c r="K41" i="11"/>
  <c r="P41" i="11" s="1"/>
  <c r="P16" i="10"/>
  <c r="K33" i="11"/>
  <c r="P33" i="11" s="1"/>
  <c r="P8" i="10"/>
  <c r="K35" i="11"/>
  <c r="P35" i="11" s="1"/>
  <c r="P10" i="10"/>
  <c r="K40" i="11"/>
  <c r="P40" i="11" s="1"/>
  <c r="P15" i="10"/>
  <c r="K36" i="11"/>
  <c r="P36" i="11" s="1"/>
  <c r="P11" i="10"/>
  <c r="K32" i="11"/>
  <c r="P32" i="11" s="1"/>
  <c r="P7" i="10"/>
  <c r="P22" i="10"/>
  <c r="K39" i="11"/>
  <c r="P39" i="11" s="1"/>
  <c r="P14" i="10"/>
  <c r="K31" i="11"/>
  <c r="P31" i="11" s="1"/>
  <c r="P6" i="10"/>
  <c r="K38" i="11"/>
  <c r="P38" i="11" s="1"/>
  <c r="P13" i="10"/>
  <c r="P20" i="10"/>
  <c r="K37" i="11"/>
  <c r="P37" i="11" s="1"/>
  <c r="P12" i="10"/>
  <c r="B37" i="11"/>
  <c r="G37" i="11" s="1"/>
  <c r="H12" i="10"/>
  <c r="H20" i="10"/>
  <c r="B38" i="11"/>
  <c r="G38" i="11" s="1"/>
  <c r="H13" i="10"/>
  <c r="H21" i="10"/>
  <c r="B35" i="11"/>
  <c r="G35" i="11" s="1"/>
  <c r="H10" i="10"/>
  <c r="B31" i="11"/>
  <c r="G31" i="11" s="1"/>
  <c r="H6" i="10"/>
  <c r="B39" i="11"/>
  <c r="G39" i="11" s="1"/>
  <c r="H14" i="10"/>
  <c r="H22" i="10"/>
  <c r="B32" i="11"/>
  <c r="G32" i="11" s="1"/>
  <c r="H7" i="10"/>
  <c r="B40" i="11"/>
  <c r="G40" i="11" s="1"/>
  <c r="H15" i="10"/>
  <c r="B36" i="11"/>
  <c r="G36" i="11" s="1"/>
  <c r="H11" i="10"/>
  <c r="B33" i="11"/>
  <c r="G33" i="11" s="1"/>
  <c r="H8" i="10"/>
  <c r="B41" i="11"/>
  <c r="G41" i="11" s="1"/>
  <c r="H16" i="10"/>
  <c r="B34" i="11"/>
  <c r="G34" i="11" s="1"/>
  <c r="H9" i="10"/>
  <c r="H17" i="10"/>
  <c r="L101" i="14" l="1"/>
  <c r="C101" i="14"/>
  <c r="K101" i="14" s="1"/>
  <c r="D89" i="14"/>
  <c r="D102" i="14" s="1"/>
  <c r="L88" i="14"/>
  <c r="C89" i="14"/>
  <c r="K88" i="14"/>
  <c r="B21" i="16"/>
  <c r="B7" i="16"/>
  <c r="B40" i="9"/>
  <c r="C34" i="9" s="1"/>
  <c r="L102" i="14" l="1"/>
  <c r="C102" i="14"/>
  <c r="K102" i="14" s="1"/>
  <c r="C90" i="14"/>
  <c r="K89" i="14"/>
  <c r="D90" i="14"/>
  <c r="D103" i="14" s="1"/>
  <c r="L89" i="14"/>
  <c r="B22" i="16"/>
  <c r="B8" i="16"/>
  <c r="C33" i="9"/>
  <c r="C35" i="9"/>
  <c r="C38" i="9"/>
  <c r="C37" i="9"/>
  <c r="C39" i="9"/>
  <c r="C36" i="9"/>
  <c r="L103" i="14" l="1"/>
  <c r="C103" i="14"/>
  <c r="K103" i="14" s="1"/>
  <c r="D91" i="14"/>
  <c r="D104" i="14" s="1"/>
  <c r="L90" i="14"/>
  <c r="C91" i="14"/>
  <c r="K90" i="14"/>
  <c r="B23" i="16"/>
  <c r="B9" i="16"/>
  <c r="G36" i="9"/>
  <c r="K36" i="9"/>
  <c r="K38" i="9"/>
  <c r="O3" i="10"/>
  <c r="G3" i="10" s="1"/>
  <c r="K37" i="9"/>
  <c r="G37" i="9"/>
  <c r="G38" i="9"/>
  <c r="G39" i="9"/>
  <c r="G34" i="9"/>
  <c r="G35" i="9"/>
  <c r="G33" i="9"/>
  <c r="C139" i="9"/>
  <c r="E137" i="9"/>
  <c r="E138" i="9" s="1"/>
  <c r="E139" i="9" s="1"/>
  <c r="F135" i="9"/>
  <c r="F136" i="9" s="1"/>
  <c r="F137" i="9" s="1"/>
  <c r="F138" i="9" s="1"/>
  <c r="D130" i="9"/>
  <c r="D131" i="9" s="1"/>
  <c r="D132" i="9" s="1"/>
  <c r="D133" i="9" s="1"/>
  <c r="D134" i="9" s="1"/>
  <c r="D135" i="9" s="1"/>
  <c r="D136" i="9" s="1"/>
  <c r="D137" i="9" s="1"/>
  <c r="D138" i="9" s="1"/>
  <c r="B130" i="9"/>
  <c r="B131" i="9" s="1"/>
  <c r="C129" i="9"/>
  <c r="E123" i="9"/>
  <c r="E124" i="9" s="1"/>
  <c r="E125" i="9" s="1"/>
  <c r="E109" i="9"/>
  <c r="E110" i="9" s="1"/>
  <c r="E111" i="9" s="1"/>
  <c r="E95" i="9"/>
  <c r="E96" i="9" s="1"/>
  <c r="E97" i="9" s="1"/>
  <c r="E81" i="9"/>
  <c r="E82" i="9" s="1"/>
  <c r="E83" i="9" s="1"/>
  <c r="D81" i="9"/>
  <c r="D82" i="9" s="1"/>
  <c r="F79" i="9"/>
  <c r="F80" i="9" s="1"/>
  <c r="D74" i="9"/>
  <c r="D75" i="9" s="1"/>
  <c r="D76" i="9" s="1"/>
  <c r="D77" i="9" s="1"/>
  <c r="D78" i="9" s="1"/>
  <c r="B74" i="9"/>
  <c r="B75" i="9" s="1"/>
  <c r="C73" i="9"/>
  <c r="C69" i="9"/>
  <c r="E67" i="9"/>
  <c r="E68" i="9" s="1"/>
  <c r="E69" i="9" s="1"/>
  <c r="F65" i="9"/>
  <c r="F66" i="9" s="1"/>
  <c r="F67" i="9" s="1"/>
  <c r="F68" i="9" s="1"/>
  <c r="D60" i="9"/>
  <c r="D61" i="9" s="1"/>
  <c r="D62" i="9" s="1"/>
  <c r="D63" i="9" s="1"/>
  <c r="D64" i="9" s="1"/>
  <c r="D65" i="9" s="1"/>
  <c r="D66" i="9" s="1"/>
  <c r="D67" i="9" s="1"/>
  <c r="D68" i="9" s="1"/>
  <c r="B60" i="9"/>
  <c r="C59" i="9"/>
  <c r="E53" i="9"/>
  <c r="E54" i="9" s="1"/>
  <c r="E55" i="9" s="1"/>
  <c r="D53" i="9"/>
  <c r="D54" i="9" s="1"/>
  <c r="D55" i="9" s="1"/>
  <c r="C55" i="9" s="1"/>
  <c r="C53" i="9"/>
  <c r="C52" i="9"/>
  <c r="F51" i="9"/>
  <c r="F48" i="9"/>
  <c r="F49" i="9" s="1"/>
  <c r="D46" i="9"/>
  <c r="D47" i="9" s="1"/>
  <c r="D48" i="9" s="1"/>
  <c r="D49" i="9" s="1"/>
  <c r="D50" i="9" s="1"/>
  <c r="B46" i="9"/>
  <c r="C45" i="9"/>
  <c r="L104" i="14" l="1"/>
  <c r="C104" i="14"/>
  <c r="K104" i="14" s="1"/>
  <c r="E3" i="9"/>
  <c r="B3" i="9"/>
  <c r="C92" i="14"/>
  <c r="K91" i="14"/>
  <c r="D92" i="14"/>
  <c r="D105" i="14" s="1"/>
  <c r="L91" i="14"/>
  <c r="B24" i="16"/>
  <c r="B10" i="16"/>
  <c r="H4" i="10"/>
  <c r="H26" i="10" s="1"/>
  <c r="P4" i="10"/>
  <c r="P26" i="10" s="1"/>
  <c r="F8" i="9"/>
  <c r="O21" i="9"/>
  <c r="O26" i="9"/>
  <c r="G25" i="9"/>
  <c r="G18" i="9"/>
  <c r="G19" i="9"/>
  <c r="G23" i="9"/>
  <c r="O23" i="9"/>
  <c r="O25" i="9"/>
  <c r="G21" i="9"/>
  <c r="O18" i="9"/>
  <c r="G24" i="9"/>
  <c r="G20" i="9"/>
  <c r="O28" i="9"/>
  <c r="O22" i="9"/>
  <c r="O19" i="9"/>
  <c r="G22" i="9"/>
  <c r="G26" i="9"/>
  <c r="G27" i="9"/>
  <c r="O27" i="9"/>
  <c r="O24" i="9"/>
  <c r="G28" i="9"/>
  <c r="O20" i="9"/>
  <c r="E6" i="9"/>
  <c r="G40" i="9"/>
  <c r="E7" i="9"/>
  <c r="E8" i="9"/>
  <c r="F13" i="9"/>
  <c r="F3" i="9"/>
  <c r="E9" i="9"/>
  <c r="E5" i="9"/>
  <c r="B13" i="9"/>
  <c r="F5" i="9"/>
  <c r="D3" i="9"/>
  <c r="E10" i="9"/>
  <c r="F7" i="9"/>
  <c r="F4" i="9"/>
  <c r="F10" i="9"/>
  <c r="E4" i="9"/>
  <c r="D8" i="9"/>
  <c r="B4" i="9"/>
  <c r="F9" i="9"/>
  <c r="B47" i="9"/>
  <c r="B48" i="9" s="1"/>
  <c r="B49" i="9" s="1"/>
  <c r="E13" i="9"/>
  <c r="D7" i="9"/>
  <c r="E11" i="9"/>
  <c r="E12" i="9"/>
  <c r="C46" i="9"/>
  <c r="D6" i="9"/>
  <c r="D4" i="9"/>
  <c r="D10" i="9"/>
  <c r="D11" i="9"/>
  <c r="D5" i="9"/>
  <c r="C130" i="9"/>
  <c r="F6" i="9"/>
  <c r="C60" i="9"/>
  <c r="D12" i="9"/>
  <c r="B132" i="9"/>
  <c r="C131" i="9"/>
  <c r="C78" i="9"/>
  <c r="D79" i="9"/>
  <c r="C79" i="9" s="1"/>
  <c r="C75" i="9"/>
  <c r="B76" i="9"/>
  <c r="C80" i="9"/>
  <c r="F81" i="9"/>
  <c r="F82" i="9" s="1"/>
  <c r="F12" i="9" s="1"/>
  <c r="C74" i="9"/>
  <c r="D83" i="9"/>
  <c r="C83" i="9" s="1"/>
  <c r="B61" i="9"/>
  <c r="D51" i="9"/>
  <c r="C50" i="9"/>
  <c r="C54" i="9"/>
  <c r="L105" i="14" l="1"/>
  <c r="C105" i="14"/>
  <c r="C4" i="9"/>
  <c r="C3" i="9"/>
  <c r="K105" i="14"/>
  <c r="D93" i="14"/>
  <c r="D106" i="14" s="1"/>
  <c r="L92" i="14"/>
  <c r="C93" i="14"/>
  <c r="K92" i="14"/>
  <c r="B25" i="16"/>
  <c r="B11" i="16"/>
  <c r="M27" i="9"/>
  <c r="E27" i="9"/>
  <c r="M19" i="9"/>
  <c r="E19" i="9"/>
  <c r="M26" i="9"/>
  <c r="E26" i="9"/>
  <c r="N25" i="9"/>
  <c r="M10" i="14" s="1"/>
  <c r="F25" i="9"/>
  <c r="E10" i="14" s="1"/>
  <c r="D41" i="11"/>
  <c r="B28" i="9"/>
  <c r="C41" i="11" s="1"/>
  <c r="J28" i="9"/>
  <c r="L41" i="11" s="1"/>
  <c r="M23" i="9"/>
  <c r="E23" i="9"/>
  <c r="N19" i="9"/>
  <c r="M4" i="14" s="1"/>
  <c r="F19" i="9"/>
  <c r="E4" i="14" s="1"/>
  <c r="L25" i="9"/>
  <c r="K10" i="14" s="1"/>
  <c r="D25" i="9"/>
  <c r="C10" i="14" s="1"/>
  <c r="N22" i="9"/>
  <c r="M7" i="14" s="1"/>
  <c r="F22" i="9"/>
  <c r="E7" i="14" s="1"/>
  <c r="F18" i="9"/>
  <c r="E3" i="14" s="1"/>
  <c r="N18" i="9"/>
  <c r="M3" i="14" s="1"/>
  <c r="D31" i="11"/>
  <c r="J18" i="9"/>
  <c r="L31" i="11" s="1"/>
  <c r="B18" i="9"/>
  <c r="C31" i="11" s="1"/>
  <c r="F21" i="9"/>
  <c r="E6" i="14" s="1"/>
  <c r="N21" i="9"/>
  <c r="M6" i="14" s="1"/>
  <c r="D22" i="9"/>
  <c r="C7" i="14" s="1"/>
  <c r="L22" i="9"/>
  <c r="K7" i="14" s="1"/>
  <c r="M22" i="9"/>
  <c r="E22" i="9"/>
  <c r="L26" i="9"/>
  <c r="K11" i="14" s="1"/>
  <c r="D26" i="9"/>
  <c r="C11" i="14" s="1"/>
  <c r="D19" i="9"/>
  <c r="C4" i="14" s="1"/>
  <c r="L19" i="9"/>
  <c r="K4" i="14" s="1"/>
  <c r="N24" i="9"/>
  <c r="M9" i="14" s="1"/>
  <c r="F24" i="9"/>
  <c r="E9" i="14" s="1"/>
  <c r="M25" i="9"/>
  <c r="E25" i="9"/>
  <c r="F28" i="9"/>
  <c r="E13" i="14" s="1"/>
  <c r="N28" i="9"/>
  <c r="M13" i="14" s="1"/>
  <c r="M18" i="9"/>
  <c r="E18" i="9"/>
  <c r="N23" i="9"/>
  <c r="M8" i="14" s="1"/>
  <c r="F23" i="9"/>
  <c r="E8" i="14" s="1"/>
  <c r="L20" i="9"/>
  <c r="K5" i="14" s="1"/>
  <c r="D20" i="9"/>
  <c r="M20" i="9"/>
  <c r="E20" i="9"/>
  <c r="M28" i="9"/>
  <c r="E28" i="9"/>
  <c r="N27" i="9"/>
  <c r="M12" i="14" s="1"/>
  <c r="F27" i="9"/>
  <c r="E12" i="14" s="1"/>
  <c r="L21" i="9"/>
  <c r="K6" i="14" s="1"/>
  <c r="D21" i="9"/>
  <c r="C6" i="14" s="1"/>
  <c r="D32" i="11"/>
  <c r="B19" i="9"/>
  <c r="C32" i="11" s="1"/>
  <c r="J19" i="9"/>
  <c r="L32" i="11" s="1"/>
  <c r="D18" i="9"/>
  <c r="C3" i="14" s="1"/>
  <c r="L18" i="9"/>
  <c r="K3" i="14" s="1"/>
  <c r="M24" i="9"/>
  <c r="E24" i="9"/>
  <c r="L27" i="9"/>
  <c r="K12" i="14" s="1"/>
  <c r="D27" i="9"/>
  <c r="C12" i="14" s="1"/>
  <c r="L23" i="9"/>
  <c r="K8" i="14" s="1"/>
  <c r="D23" i="9"/>
  <c r="C8" i="14" s="1"/>
  <c r="N20" i="9"/>
  <c r="M5" i="14" s="1"/>
  <c r="F20" i="9"/>
  <c r="E5" i="14" s="1"/>
  <c r="E21" i="9"/>
  <c r="M21" i="9"/>
  <c r="C5" i="14"/>
  <c r="B5" i="9"/>
  <c r="C5" i="9" s="1"/>
  <c r="C48" i="9"/>
  <c r="C47" i="9"/>
  <c r="D13" i="9"/>
  <c r="C82" i="9"/>
  <c r="F11" i="9"/>
  <c r="C81" i="9"/>
  <c r="C51" i="9"/>
  <c r="D9" i="9"/>
  <c r="C49" i="9"/>
  <c r="B133" i="9"/>
  <c r="C132" i="9"/>
  <c r="C76" i="9"/>
  <c r="B77" i="9"/>
  <c r="C77" i="9" s="1"/>
  <c r="B62" i="9"/>
  <c r="B6" i="9" s="1"/>
  <c r="C6" i="9" s="1"/>
  <c r="C61" i="9"/>
  <c r="L106" i="14" l="1"/>
  <c r="C106" i="14"/>
  <c r="C13" i="9"/>
  <c r="C57" i="16"/>
  <c r="C71" i="16" s="1"/>
  <c r="F57" i="16"/>
  <c r="F71" i="16" s="1"/>
  <c r="D57" i="16"/>
  <c r="D71" i="16" s="1"/>
  <c r="E57" i="16"/>
  <c r="B57" i="16"/>
  <c r="B71" i="16" s="1"/>
  <c r="B47" i="16"/>
  <c r="B61" i="16" s="1"/>
  <c r="C47" i="16"/>
  <c r="C61" i="16" s="1"/>
  <c r="D47" i="16"/>
  <c r="D61" i="16" s="1"/>
  <c r="D75" i="16" s="1"/>
  <c r="D103" i="16" s="1"/>
  <c r="E47" i="16"/>
  <c r="F47" i="16"/>
  <c r="F61" i="16" s="1"/>
  <c r="F75" i="16" s="1"/>
  <c r="C55" i="16"/>
  <c r="C69" i="16" s="1"/>
  <c r="D55" i="16"/>
  <c r="D69" i="16" s="1"/>
  <c r="E55" i="16"/>
  <c r="F55" i="16"/>
  <c r="F69" i="16" s="1"/>
  <c r="B55" i="16"/>
  <c r="B69" i="16" s="1"/>
  <c r="C50" i="16"/>
  <c r="C64" i="16" s="1"/>
  <c r="D50" i="16"/>
  <c r="D64" i="16" s="1"/>
  <c r="E50" i="16"/>
  <c r="F50" i="16"/>
  <c r="F64" i="16" s="1"/>
  <c r="B50" i="16"/>
  <c r="B64" i="16" s="1"/>
  <c r="J53" i="16"/>
  <c r="J67" i="16" s="1"/>
  <c r="K53" i="16"/>
  <c r="K67" i="16" s="1"/>
  <c r="L53" i="16"/>
  <c r="M53" i="16"/>
  <c r="M67" i="16" s="1"/>
  <c r="I53" i="16"/>
  <c r="I67" i="16" s="1"/>
  <c r="M54" i="16"/>
  <c r="M68" i="16" s="1"/>
  <c r="J54" i="16"/>
  <c r="J68" i="16" s="1"/>
  <c r="L54" i="16"/>
  <c r="K54" i="16"/>
  <c r="K68" i="16" s="1"/>
  <c r="I54" i="16"/>
  <c r="I68" i="16" s="1"/>
  <c r="M51" i="16"/>
  <c r="M65" i="16" s="1"/>
  <c r="J51" i="16"/>
  <c r="J65" i="16" s="1"/>
  <c r="K51" i="16"/>
  <c r="K65" i="16" s="1"/>
  <c r="L51" i="16"/>
  <c r="I51" i="16"/>
  <c r="I65" i="16" s="1"/>
  <c r="M56" i="16"/>
  <c r="M70" i="16" s="1"/>
  <c r="K56" i="16"/>
  <c r="K70" i="16" s="1"/>
  <c r="J56" i="16"/>
  <c r="J70" i="16" s="1"/>
  <c r="L56" i="16"/>
  <c r="I56" i="16"/>
  <c r="I70" i="16" s="1"/>
  <c r="J47" i="16"/>
  <c r="J61" i="16" s="1"/>
  <c r="J89" i="16" s="1"/>
  <c r="L47" i="16"/>
  <c r="I47" i="16"/>
  <c r="I61" i="16" s="1"/>
  <c r="I89" i="16" s="1"/>
  <c r="K47" i="16"/>
  <c r="K61" i="16" s="1"/>
  <c r="K75" i="16" s="1"/>
  <c r="K103" i="16" s="1"/>
  <c r="M47" i="16"/>
  <c r="M61" i="16" s="1"/>
  <c r="M75" i="16" s="1"/>
  <c r="D52" i="16"/>
  <c r="D66" i="16" s="1"/>
  <c r="E52" i="16"/>
  <c r="F52" i="16"/>
  <c r="F66" i="16" s="1"/>
  <c r="C52" i="16"/>
  <c r="C66" i="16" s="1"/>
  <c r="B52" i="16"/>
  <c r="B66" i="16" s="1"/>
  <c r="L55" i="16"/>
  <c r="M55" i="16"/>
  <c r="M69" i="16" s="1"/>
  <c r="J55" i="16"/>
  <c r="J69" i="16" s="1"/>
  <c r="K55" i="16"/>
  <c r="K69" i="16" s="1"/>
  <c r="I55" i="16"/>
  <c r="I69" i="16" s="1"/>
  <c r="C49" i="16"/>
  <c r="C63" i="16" s="1"/>
  <c r="D49" i="16"/>
  <c r="D63" i="16" s="1"/>
  <c r="F49" i="16"/>
  <c r="F63" i="16" s="1"/>
  <c r="B49" i="16"/>
  <c r="B63" i="16" s="1"/>
  <c r="E49" i="16"/>
  <c r="M52" i="16"/>
  <c r="M66" i="16" s="1"/>
  <c r="J52" i="16"/>
  <c r="J66" i="16" s="1"/>
  <c r="K52" i="16"/>
  <c r="K66" i="16" s="1"/>
  <c r="L52" i="16"/>
  <c r="I52" i="16"/>
  <c r="I66" i="16" s="1"/>
  <c r="B48" i="16"/>
  <c r="B62" i="16" s="1"/>
  <c r="D48" i="16"/>
  <c r="D62" i="16" s="1"/>
  <c r="E48" i="16"/>
  <c r="F48" i="16"/>
  <c r="F62" i="16" s="1"/>
  <c r="C48" i="16"/>
  <c r="C62" i="16" s="1"/>
  <c r="L49" i="16"/>
  <c r="J49" i="16"/>
  <c r="J63" i="16" s="1"/>
  <c r="M49" i="16"/>
  <c r="M63" i="16" s="1"/>
  <c r="I49" i="16"/>
  <c r="I63" i="16" s="1"/>
  <c r="K49" i="16"/>
  <c r="K63" i="16" s="1"/>
  <c r="M48" i="16"/>
  <c r="M62" i="16" s="1"/>
  <c r="L48" i="16"/>
  <c r="I48" i="16"/>
  <c r="I62" i="16" s="1"/>
  <c r="J48" i="16"/>
  <c r="J62" i="16" s="1"/>
  <c r="K48" i="16"/>
  <c r="K62" i="16" s="1"/>
  <c r="J57" i="16"/>
  <c r="J71" i="16" s="1"/>
  <c r="L57" i="16"/>
  <c r="M57" i="16"/>
  <c r="M71" i="16" s="1"/>
  <c r="K57" i="16"/>
  <c r="K71" i="16" s="1"/>
  <c r="I57" i="16"/>
  <c r="I71" i="16" s="1"/>
  <c r="M50" i="16"/>
  <c r="M64" i="16" s="1"/>
  <c r="K50" i="16"/>
  <c r="K64" i="16" s="1"/>
  <c r="J50" i="16"/>
  <c r="J64" i="16" s="1"/>
  <c r="L50" i="16"/>
  <c r="I50" i="16"/>
  <c r="I64" i="16" s="1"/>
  <c r="C53" i="16"/>
  <c r="C67" i="16" s="1"/>
  <c r="D53" i="16"/>
  <c r="D67" i="16" s="1"/>
  <c r="E53" i="16"/>
  <c r="F53" i="16"/>
  <c r="F67" i="16" s="1"/>
  <c r="B53" i="16"/>
  <c r="B67" i="16" s="1"/>
  <c r="C54" i="16"/>
  <c r="C68" i="16" s="1"/>
  <c r="E54" i="16"/>
  <c r="D54" i="16"/>
  <c r="D68" i="16" s="1"/>
  <c r="F54" i="16"/>
  <c r="F68" i="16" s="1"/>
  <c r="B54" i="16"/>
  <c r="B68" i="16" s="1"/>
  <c r="C51" i="16"/>
  <c r="C65" i="16" s="1"/>
  <c r="F51" i="16"/>
  <c r="F65" i="16" s="1"/>
  <c r="D51" i="16"/>
  <c r="D65" i="16" s="1"/>
  <c r="E51" i="16"/>
  <c r="B51" i="16"/>
  <c r="B65" i="16" s="1"/>
  <c r="F56" i="16"/>
  <c r="F70" i="16" s="1"/>
  <c r="D56" i="16"/>
  <c r="D70" i="16" s="1"/>
  <c r="C56" i="16"/>
  <c r="C70" i="16" s="1"/>
  <c r="E56" i="16"/>
  <c r="B56" i="16"/>
  <c r="B70" i="16" s="1"/>
  <c r="K106" i="14"/>
  <c r="C94" i="14"/>
  <c r="K93" i="14"/>
  <c r="D94" i="14"/>
  <c r="D107" i="14" s="1"/>
  <c r="L93" i="14"/>
  <c r="B26" i="16"/>
  <c r="B13" i="16" s="1"/>
  <c r="B12" i="16"/>
  <c r="K5" i="9"/>
  <c r="L5" i="9" s="1"/>
  <c r="K20" i="9"/>
  <c r="J5" i="14" s="1"/>
  <c r="C20" i="9"/>
  <c r="B5" i="14" s="1"/>
  <c r="D33" i="11"/>
  <c r="B20" i="9"/>
  <c r="C33" i="11" s="1"/>
  <c r="J20" i="9"/>
  <c r="L33" i="11" s="1"/>
  <c r="M32" i="11"/>
  <c r="N32" i="11" s="1"/>
  <c r="E32" i="11"/>
  <c r="N26" i="9"/>
  <c r="M11" i="14" s="1"/>
  <c r="F26" i="9"/>
  <c r="E11" i="14" s="1"/>
  <c r="K4" i="9"/>
  <c r="L4" i="9" s="1"/>
  <c r="C19" i="9"/>
  <c r="B4" i="14" s="1"/>
  <c r="K19" i="9"/>
  <c r="J4" i="14" s="1"/>
  <c r="L24" i="9"/>
  <c r="K9" i="14" s="1"/>
  <c r="D24" i="9"/>
  <c r="C9" i="14" s="1"/>
  <c r="M31" i="11"/>
  <c r="N31" i="11" s="1"/>
  <c r="E31" i="11"/>
  <c r="D34" i="11"/>
  <c r="J21" i="9"/>
  <c r="L34" i="11" s="1"/>
  <c r="B21" i="9"/>
  <c r="C34" i="11" s="1"/>
  <c r="L28" i="9"/>
  <c r="K13" i="14" s="1"/>
  <c r="D28" i="9"/>
  <c r="C13" i="14" s="1"/>
  <c r="K3" i="9"/>
  <c r="L3" i="9" s="1"/>
  <c r="K18" i="9"/>
  <c r="J3" i="14" s="1"/>
  <c r="C18" i="9"/>
  <c r="M41" i="11"/>
  <c r="N41" i="11" s="1"/>
  <c r="E41" i="11"/>
  <c r="B134" i="9"/>
  <c r="C133" i="9"/>
  <c r="C62" i="9"/>
  <c r="B63" i="9"/>
  <c r="B7" i="9" s="1"/>
  <c r="L107" i="14" l="1"/>
  <c r="C107" i="14"/>
  <c r="K107" i="14" s="1"/>
  <c r="I90" i="16"/>
  <c r="I91" i="16" s="1"/>
  <c r="I92" i="16" s="1"/>
  <c r="I93" i="16" s="1"/>
  <c r="I94" i="16" s="1"/>
  <c r="J90" i="16"/>
  <c r="C7" i="9"/>
  <c r="D35" i="11"/>
  <c r="B22" i="9"/>
  <c r="C35" i="11" s="1"/>
  <c r="J22" i="9"/>
  <c r="L35" i="11" s="1"/>
  <c r="M76" i="16"/>
  <c r="M77" i="16" s="1"/>
  <c r="M78" i="16" s="1"/>
  <c r="M79" i="16" s="1"/>
  <c r="M80" i="16" s="1"/>
  <c r="M81" i="16" s="1"/>
  <c r="M82" i="16" s="1"/>
  <c r="M83" i="16" s="1"/>
  <c r="M84" i="16" s="1"/>
  <c r="M85" i="16" s="1"/>
  <c r="C89" i="16"/>
  <c r="C75" i="16"/>
  <c r="I75" i="16"/>
  <c r="I103" i="16" s="1"/>
  <c r="F76" i="16"/>
  <c r="F77" i="16" s="1"/>
  <c r="F78" i="16" s="1"/>
  <c r="F79" i="16" s="1"/>
  <c r="F80" i="16" s="1"/>
  <c r="F81" i="16" s="1"/>
  <c r="F82" i="16" s="1"/>
  <c r="F83" i="16" s="1"/>
  <c r="F84" i="16" s="1"/>
  <c r="F85" i="16" s="1"/>
  <c r="J75" i="16"/>
  <c r="D76" i="16"/>
  <c r="D104" i="16" s="1"/>
  <c r="B75" i="16"/>
  <c r="B89" i="16"/>
  <c r="B90" i="16" s="1"/>
  <c r="B91" i="16" s="1"/>
  <c r="K76" i="16"/>
  <c r="K104" i="16" s="1"/>
  <c r="F41" i="11"/>
  <c r="H41" i="11" s="1"/>
  <c r="I41" i="11"/>
  <c r="O32" i="11"/>
  <c r="Q32" i="11" s="1"/>
  <c r="R32" i="11"/>
  <c r="O41" i="11"/>
  <c r="Q41" i="11" s="1"/>
  <c r="R41" i="11"/>
  <c r="F32" i="11"/>
  <c r="H32" i="11" s="1"/>
  <c r="I32" i="11"/>
  <c r="F31" i="11"/>
  <c r="H31" i="11" s="1"/>
  <c r="I31" i="11"/>
  <c r="O31" i="11"/>
  <c r="Q31" i="11" s="1"/>
  <c r="R31" i="11"/>
  <c r="D95" i="14"/>
  <c r="D108" i="14" s="1"/>
  <c r="L94" i="14"/>
  <c r="C95" i="14"/>
  <c r="K94" i="14"/>
  <c r="K6" i="9"/>
  <c r="L6" i="9" s="1"/>
  <c r="K21" i="9"/>
  <c r="J6" i="14" s="1"/>
  <c r="C21" i="9"/>
  <c r="B6" i="14" s="1"/>
  <c r="M33" i="11"/>
  <c r="N33" i="11" s="1"/>
  <c r="E33" i="11"/>
  <c r="M34" i="11"/>
  <c r="N34" i="11" s="1"/>
  <c r="E34" i="11"/>
  <c r="K13" i="9"/>
  <c r="L13" i="9" s="1"/>
  <c r="C28" i="9"/>
  <c r="B13" i="14" s="1"/>
  <c r="K28" i="9"/>
  <c r="C134" i="9"/>
  <c r="B135" i="9"/>
  <c r="C63" i="9"/>
  <c r="B64" i="9"/>
  <c r="B8" i="9" s="1"/>
  <c r="C8" i="9" s="1"/>
  <c r="L108" i="14" l="1"/>
  <c r="C108" i="14"/>
  <c r="H44" i="11"/>
  <c r="B103" i="16"/>
  <c r="E35" i="11"/>
  <c r="I35" i="11" s="1"/>
  <c r="M35" i="11"/>
  <c r="N35" i="11" s="1"/>
  <c r="J76" i="16"/>
  <c r="J103" i="16"/>
  <c r="J13" i="14"/>
  <c r="C76" i="16"/>
  <c r="C103" i="16"/>
  <c r="Q44" i="11"/>
  <c r="Q58" i="11" s="1"/>
  <c r="H58" i="11"/>
  <c r="D77" i="16"/>
  <c r="D105" i="16" s="1"/>
  <c r="B76" i="16"/>
  <c r="B104" i="16" s="1"/>
  <c r="D78" i="16"/>
  <c r="F89" i="16"/>
  <c r="D3" i="14" s="1"/>
  <c r="G3" i="14" s="1"/>
  <c r="C90" i="16"/>
  <c r="I76" i="16"/>
  <c r="I104" i="16" s="1"/>
  <c r="K77" i="16"/>
  <c r="M89" i="16"/>
  <c r="L3" i="14" s="1"/>
  <c r="O3" i="14" s="1"/>
  <c r="F34" i="11"/>
  <c r="H34" i="11" s="1"/>
  <c r="I34" i="11"/>
  <c r="O34" i="11"/>
  <c r="Q34" i="11" s="1"/>
  <c r="R34" i="11"/>
  <c r="O33" i="11"/>
  <c r="Q33" i="11" s="1"/>
  <c r="R33" i="11"/>
  <c r="F33" i="11"/>
  <c r="H33" i="11" s="1"/>
  <c r="I33" i="11"/>
  <c r="K108" i="14"/>
  <c r="K95" i="14"/>
  <c r="L95" i="14"/>
  <c r="D36" i="11"/>
  <c r="B23" i="9"/>
  <c r="C36" i="11" s="1"/>
  <c r="J23" i="9"/>
  <c r="L36" i="11" s="1"/>
  <c r="K7" i="9"/>
  <c r="L7" i="9" s="1"/>
  <c r="K22" i="9"/>
  <c r="J7" i="14" s="1"/>
  <c r="C22" i="9"/>
  <c r="B7" i="14" s="1"/>
  <c r="C135" i="9"/>
  <c r="B136" i="9"/>
  <c r="B65" i="9"/>
  <c r="B9" i="9" s="1"/>
  <c r="C9" i="9" s="1"/>
  <c r="C64" i="9"/>
  <c r="J77" i="16" l="1"/>
  <c r="J104" i="16"/>
  <c r="C77" i="16"/>
  <c r="C104" i="16"/>
  <c r="O35" i="11"/>
  <c r="Q35" i="11" s="1"/>
  <c r="R35" i="11"/>
  <c r="F35" i="11"/>
  <c r="H35" i="11" s="1"/>
  <c r="I44" i="11"/>
  <c r="I58" i="11" s="1"/>
  <c r="K105" i="16"/>
  <c r="K78" i="16"/>
  <c r="D112" i="14"/>
  <c r="B112" i="14"/>
  <c r="C112" i="14"/>
  <c r="D79" i="16"/>
  <c r="D106" i="16"/>
  <c r="F90" i="16"/>
  <c r="D4" i="14" s="1"/>
  <c r="G4" i="14" s="1"/>
  <c r="R44" i="11"/>
  <c r="R58" i="11" s="1"/>
  <c r="H45" i="11"/>
  <c r="H59" i="11" s="1"/>
  <c r="B77" i="16"/>
  <c r="B105" i="16" s="1"/>
  <c r="C91" i="16"/>
  <c r="M90" i="16"/>
  <c r="L4" i="14" s="1"/>
  <c r="O4" i="14" s="1"/>
  <c r="K112" i="14"/>
  <c r="L112" i="14"/>
  <c r="J112" i="14"/>
  <c r="I77" i="16"/>
  <c r="I105" i="16" s="1"/>
  <c r="Q45" i="11"/>
  <c r="Q59" i="11" s="1"/>
  <c r="J91" i="16"/>
  <c r="R45" i="11"/>
  <c r="R59" i="11" s="1"/>
  <c r="D37" i="11"/>
  <c r="J24" i="9"/>
  <c r="L37" i="11" s="1"/>
  <c r="B24" i="9"/>
  <c r="C37" i="11" s="1"/>
  <c r="M36" i="11"/>
  <c r="N36" i="11" s="1"/>
  <c r="E36" i="11"/>
  <c r="K8" i="9"/>
  <c r="L8" i="9" s="1"/>
  <c r="K23" i="9"/>
  <c r="J8" i="14" s="1"/>
  <c r="C23" i="9"/>
  <c r="B8" i="14" s="1"/>
  <c r="B137" i="9"/>
  <c r="C136" i="9"/>
  <c r="B66" i="9"/>
  <c r="B10" i="9" s="1"/>
  <c r="C10" i="9" s="1"/>
  <c r="C65" i="9"/>
  <c r="C78" i="16" l="1"/>
  <c r="C105" i="16"/>
  <c r="I46" i="11" s="1"/>
  <c r="I60" i="11" s="1"/>
  <c r="J78" i="16"/>
  <c r="J105" i="16"/>
  <c r="C113" i="14"/>
  <c r="D113" i="14"/>
  <c r="B113" i="14"/>
  <c r="F91" i="16"/>
  <c r="D5" i="14" s="1"/>
  <c r="G5" i="14" s="1"/>
  <c r="B92" i="16"/>
  <c r="I45" i="11"/>
  <c r="I59" i="11" s="1"/>
  <c r="C92" i="16"/>
  <c r="J92" i="16"/>
  <c r="J113" i="14"/>
  <c r="L113" i="14"/>
  <c r="K113" i="14"/>
  <c r="H46" i="11"/>
  <c r="H60" i="11" s="1"/>
  <c r="B78" i="16"/>
  <c r="B106" i="16" s="1"/>
  <c r="K106" i="16"/>
  <c r="K79" i="16"/>
  <c r="M91" i="16"/>
  <c r="L5" i="14" s="1"/>
  <c r="O5" i="14" s="1"/>
  <c r="R46" i="11"/>
  <c r="R60" i="11" s="1"/>
  <c r="D107" i="16"/>
  <c r="D80" i="16"/>
  <c r="Q46" i="11"/>
  <c r="Q60" i="11" s="1"/>
  <c r="I78" i="16"/>
  <c r="I106" i="16" s="1"/>
  <c r="O36" i="11"/>
  <c r="Q36" i="11" s="1"/>
  <c r="R36" i="11"/>
  <c r="F36" i="11"/>
  <c r="H36" i="11" s="1"/>
  <c r="I36" i="11"/>
  <c r="D38" i="11"/>
  <c r="B25" i="9"/>
  <c r="C38" i="11" s="1"/>
  <c r="J25" i="9"/>
  <c r="L38" i="11" s="1"/>
  <c r="K9" i="9"/>
  <c r="L9" i="9" s="1"/>
  <c r="K24" i="9"/>
  <c r="J9" i="14" s="1"/>
  <c r="C24" i="9"/>
  <c r="B9" i="14" s="1"/>
  <c r="M37" i="11"/>
  <c r="N37" i="11" s="1"/>
  <c r="E37" i="11"/>
  <c r="C137" i="9"/>
  <c r="B138" i="9"/>
  <c r="C138" i="9" s="1"/>
  <c r="B67" i="9"/>
  <c r="B11" i="9" s="1"/>
  <c r="C11" i="9" s="1"/>
  <c r="C66" i="9"/>
  <c r="J79" i="16" l="1"/>
  <c r="J106" i="16"/>
  <c r="C79" i="16"/>
  <c r="C106" i="16"/>
  <c r="J93" i="16"/>
  <c r="K107" i="16"/>
  <c r="K80" i="16"/>
  <c r="F92" i="16"/>
  <c r="D6" i="14" s="1"/>
  <c r="G6" i="14" s="1"/>
  <c r="I47" i="11"/>
  <c r="I61" i="11" s="1"/>
  <c r="B93" i="16"/>
  <c r="D114" i="14"/>
  <c r="C114" i="14"/>
  <c r="B114" i="14"/>
  <c r="J114" i="14"/>
  <c r="K114" i="14"/>
  <c r="L114" i="14"/>
  <c r="Q47" i="11"/>
  <c r="Q61" i="11" s="1"/>
  <c r="I79" i="16"/>
  <c r="I107" i="16" s="1"/>
  <c r="H47" i="11"/>
  <c r="H61" i="11" s="1"/>
  <c r="B79" i="16"/>
  <c r="B107" i="16" s="1"/>
  <c r="C93" i="16"/>
  <c r="R47" i="11"/>
  <c r="R61" i="11" s="1"/>
  <c r="M92" i="16"/>
  <c r="L6" i="14" s="1"/>
  <c r="O6" i="14" s="1"/>
  <c r="D108" i="16"/>
  <c r="D81" i="16"/>
  <c r="F37" i="11"/>
  <c r="H37" i="11" s="1"/>
  <c r="I37" i="11"/>
  <c r="O37" i="11"/>
  <c r="Q37" i="11" s="1"/>
  <c r="R37" i="11"/>
  <c r="D39" i="11"/>
  <c r="B26" i="9"/>
  <c r="C39" i="11" s="1"/>
  <c r="J26" i="9"/>
  <c r="L39" i="11" s="1"/>
  <c r="K10" i="9"/>
  <c r="L10" i="9" s="1"/>
  <c r="K25" i="9"/>
  <c r="J10" i="14" s="1"/>
  <c r="C25" i="9"/>
  <c r="B10" i="14" s="1"/>
  <c r="M38" i="11"/>
  <c r="N38" i="11" s="1"/>
  <c r="E38" i="11"/>
  <c r="C67" i="9"/>
  <c r="B68" i="9"/>
  <c r="C80" i="16" l="1"/>
  <c r="C107" i="16"/>
  <c r="J80" i="16"/>
  <c r="J107" i="16"/>
  <c r="R48" i="11" s="1"/>
  <c r="R62" i="11" s="1"/>
  <c r="K115" i="14"/>
  <c r="J115" i="14"/>
  <c r="L115" i="14"/>
  <c r="J94" i="16"/>
  <c r="M93" i="16"/>
  <c r="L7" i="14" s="1"/>
  <c r="O7" i="14" s="1"/>
  <c r="C115" i="14"/>
  <c r="D115" i="14"/>
  <c r="B115" i="14"/>
  <c r="Q48" i="11"/>
  <c r="Q62" i="11" s="1"/>
  <c r="I80" i="16"/>
  <c r="I108" i="16" s="1"/>
  <c r="D109" i="16"/>
  <c r="D82" i="16"/>
  <c r="C94" i="16"/>
  <c r="K108" i="16"/>
  <c r="K81" i="16"/>
  <c r="H48" i="11"/>
  <c r="H62" i="11" s="1"/>
  <c r="B80" i="16"/>
  <c r="B108" i="16" s="1"/>
  <c r="F93" i="16"/>
  <c r="D7" i="14" s="1"/>
  <c r="G7" i="14" s="1"/>
  <c r="B94" i="16"/>
  <c r="F38" i="11"/>
  <c r="H38" i="11" s="1"/>
  <c r="I38" i="11"/>
  <c r="O38" i="11"/>
  <c r="Q38" i="11" s="1"/>
  <c r="R38" i="11"/>
  <c r="K11" i="9"/>
  <c r="L11" i="9" s="1"/>
  <c r="C26" i="9"/>
  <c r="B11" i="14" s="1"/>
  <c r="K26" i="9"/>
  <c r="J11" i="14" s="1"/>
  <c r="M39" i="11"/>
  <c r="N39" i="11" s="1"/>
  <c r="E39" i="11"/>
  <c r="C68" i="9"/>
  <c r="B12" i="9"/>
  <c r="C12" i="9" s="1"/>
  <c r="J81" i="16" l="1"/>
  <c r="J108" i="16"/>
  <c r="C81" i="16"/>
  <c r="C108" i="16"/>
  <c r="I49" i="11" s="1"/>
  <c r="I63" i="11" s="1"/>
  <c r="I48" i="11"/>
  <c r="I62" i="11" s="1"/>
  <c r="Q49" i="11"/>
  <c r="Q63" i="11" s="1"/>
  <c r="I81" i="16"/>
  <c r="I109" i="16" s="1"/>
  <c r="F94" i="16"/>
  <c r="D8" i="14" s="1"/>
  <c r="G8" i="14" s="1"/>
  <c r="B95" i="16"/>
  <c r="D116" i="14"/>
  <c r="B116" i="14"/>
  <c r="C116" i="14"/>
  <c r="C95" i="16"/>
  <c r="J95" i="16"/>
  <c r="D110" i="16"/>
  <c r="D83" i="16"/>
  <c r="K116" i="14"/>
  <c r="L116" i="14"/>
  <c r="J116" i="14"/>
  <c r="K109" i="16"/>
  <c r="K82" i="16"/>
  <c r="I95" i="16"/>
  <c r="I96" i="16" s="1"/>
  <c r="R49" i="11"/>
  <c r="R63" i="11" s="1"/>
  <c r="M94" i="16"/>
  <c r="L8" i="14" s="1"/>
  <c r="O8" i="14" s="1"/>
  <c r="H49" i="11"/>
  <c r="H63" i="11" s="1"/>
  <c r="B81" i="16"/>
  <c r="B109" i="16" s="1"/>
  <c r="F39" i="11"/>
  <c r="H39" i="11" s="1"/>
  <c r="I39" i="11"/>
  <c r="O39" i="11"/>
  <c r="Q39" i="11" s="1"/>
  <c r="R39" i="11"/>
  <c r="D40" i="11"/>
  <c r="B27" i="9"/>
  <c r="C40" i="11" s="1"/>
  <c r="J27" i="9"/>
  <c r="L40" i="11" s="1"/>
  <c r="C82" i="16" l="1"/>
  <c r="C109" i="16"/>
  <c r="J82" i="16"/>
  <c r="J109" i="16"/>
  <c r="H50" i="11"/>
  <c r="H64" i="11" s="1"/>
  <c r="B82" i="16"/>
  <c r="B110" i="16" s="1"/>
  <c r="M95" i="16"/>
  <c r="L9" i="14" s="1"/>
  <c r="O9" i="14" s="1"/>
  <c r="K110" i="16"/>
  <c r="K83" i="16"/>
  <c r="J96" i="16"/>
  <c r="C117" i="14"/>
  <c r="B117" i="14"/>
  <c r="D117" i="14"/>
  <c r="C96" i="16"/>
  <c r="Q50" i="11"/>
  <c r="Q64" i="11" s="1"/>
  <c r="I82" i="16"/>
  <c r="I110" i="16" s="1"/>
  <c r="D111" i="16"/>
  <c r="D84" i="16"/>
  <c r="F95" i="16"/>
  <c r="D9" i="14" s="1"/>
  <c r="G9" i="14" s="1"/>
  <c r="B96" i="16"/>
  <c r="K117" i="14"/>
  <c r="L117" i="14"/>
  <c r="J117" i="14"/>
  <c r="K12" i="9"/>
  <c r="L12" i="9" s="1"/>
  <c r="K27" i="9"/>
  <c r="J12" i="14" s="1"/>
  <c r="C27" i="9"/>
  <c r="B12" i="14" s="1"/>
  <c r="M40" i="11"/>
  <c r="N40" i="11" s="1"/>
  <c r="E40" i="11"/>
  <c r="J83" i="16" l="1"/>
  <c r="J110" i="16"/>
  <c r="C83" i="16"/>
  <c r="C110" i="16"/>
  <c r="I50" i="11"/>
  <c r="I64" i="11" s="1"/>
  <c r="F96" i="16"/>
  <c r="D10" i="14" s="1"/>
  <c r="G10" i="14" s="1"/>
  <c r="B97" i="16"/>
  <c r="C118" i="14"/>
  <c r="D118" i="14"/>
  <c r="B118" i="14"/>
  <c r="I97" i="16"/>
  <c r="D112" i="16"/>
  <c r="D85" i="16"/>
  <c r="D113" i="16" s="1"/>
  <c r="H51" i="11"/>
  <c r="H65" i="11" s="1"/>
  <c r="B83" i="16"/>
  <c r="B111" i="16" s="1"/>
  <c r="K111" i="16"/>
  <c r="K84" i="16"/>
  <c r="C97" i="16"/>
  <c r="R50" i="11"/>
  <c r="R64" i="11" s="1"/>
  <c r="J118" i="14"/>
  <c r="K118" i="14"/>
  <c r="L118" i="14"/>
  <c r="Q51" i="11"/>
  <c r="Q65" i="11" s="1"/>
  <c r="I83" i="16"/>
  <c r="I111" i="16" s="1"/>
  <c r="M96" i="16"/>
  <c r="L10" i="14" s="1"/>
  <c r="O10" i="14" s="1"/>
  <c r="J97" i="16"/>
  <c r="F40" i="11"/>
  <c r="H40" i="11" s="1"/>
  <c r="I40" i="11"/>
  <c r="O40" i="11"/>
  <c r="Q40" i="11" s="1"/>
  <c r="R40" i="11"/>
  <c r="C84" i="16" l="1"/>
  <c r="C111" i="16"/>
  <c r="J84" i="16"/>
  <c r="J111" i="16"/>
  <c r="I51" i="11"/>
  <c r="I65" i="11" s="1"/>
  <c r="K112" i="16"/>
  <c r="K85" i="16"/>
  <c r="K113" i="16" s="1"/>
  <c r="H52" i="11"/>
  <c r="H66" i="11" s="1"/>
  <c r="B84" i="16"/>
  <c r="B112" i="16" s="1"/>
  <c r="F97" i="16"/>
  <c r="D11" i="14" s="1"/>
  <c r="G11" i="14" s="1"/>
  <c r="B98" i="16"/>
  <c r="C119" i="14"/>
  <c r="D119" i="14"/>
  <c r="B119" i="14"/>
  <c r="Q52" i="11"/>
  <c r="Q66" i="11" s="1"/>
  <c r="I84" i="16"/>
  <c r="I112" i="16" s="1"/>
  <c r="R51" i="11"/>
  <c r="R65" i="11" s="1"/>
  <c r="M97" i="16"/>
  <c r="L11" i="14" s="1"/>
  <c r="O11" i="14" s="1"/>
  <c r="J98" i="16"/>
  <c r="L119" i="14"/>
  <c r="K119" i="14"/>
  <c r="J119" i="14"/>
  <c r="C98" i="16"/>
  <c r="I98" i="16"/>
  <c r="R52" i="11"/>
  <c r="R66" i="11" s="1"/>
  <c r="J85" i="16" l="1"/>
  <c r="J113" i="16" s="1"/>
  <c r="J112" i="16"/>
  <c r="C85" i="16"/>
  <c r="C113" i="16" s="1"/>
  <c r="C112" i="16"/>
  <c r="Q53" i="11"/>
  <c r="Q67" i="11" s="1"/>
  <c r="I85" i="16"/>
  <c r="I52" i="11"/>
  <c r="I66" i="11" s="1"/>
  <c r="H53" i="11"/>
  <c r="H67" i="11" s="1"/>
  <c r="B85" i="16"/>
  <c r="M98" i="16"/>
  <c r="L12" i="14" s="1"/>
  <c r="O12" i="14" s="1"/>
  <c r="J99" i="16"/>
  <c r="C99" i="16"/>
  <c r="I99" i="16"/>
  <c r="K120" i="14"/>
  <c r="L120" i="14"/>
  <c r="J120" i="14"/>
  <c r="F98" i="16"/>
  <c r="D12" i="14" s="1"/>
  <c r="G12" i="14" s="1"/>
  <c r="B99" i="16"/>
  <c r="C120" i="14"/>
  <c r="D120" i="14"/>
  <c r="B120" i="14"/>
  <c r="Q54" i="11" l="1"/>
  <c r="Q68" i="11" s="1"/>
  <c r="D16" i="19" s="1"/>
  <c r="I113" i="16"/>
  <c r="H54" i="11"/>
  <c r="H68" i="11" s="1"/>
  <c r="D8" i="19" s="1"/>
  <c r="B113" i="16"/>
  <c r="I53" i="11"/>
  <c r="I67" i="11" s="1"/>
  <c r="C121" i="14"/>
  <c r="B121" i="14"/>
  <c r="D121" i="14"/>
  <c r="K121" i="14"/>
  <c r="L121" i="14"/>
  <c r="J121" i="14"/>
  <c r="R53" i="11"/>
  <c r="R67" i="11" s="1"/>
  <c r="R54" i="11"/>
  <c r="R68" i="11" s="1"/>
  <c r="M99" i="16"/>
  <c r="I54" i="11"/>
  <c r="I68" i="11" s="1"/>
  <c r="D7" i="19" s="1"/>
  <c r="F99" i="16"/>
  <c r="D15" i="19" l="1"/>
  <c r="D6" i="19"/>
  <c r="D5" i="19" s="1"/>
  <c r="D13" i="14"/>
  <c r="G13" i="14" s="1"/>
  <c r="D14" i="19"/>
  <c r="L13" i="14"/>
  <c r="O13" i="14" s="1"/>
  <c r="D13" i="19" l="1"/>
  <c r="B122" i="14"/>
  <c r="B124" i="14" s="1"/>
  <c r="C4" i="19" s="1"/>
  <c r="C122" i="14"/>
  <c r="C124" i="14" s="1"/>
  <c r="D4" i="19" s="1"/>
  <c r="D122" i="14"/>
  <c r="D124" i="14" s="1"/>
  <c r="E4" i="19" s="1"/>
  <c r="J122" i="14"/>
  <c r="J124" i="14" s="1"/>
  <c r="C12" i="19" s="1"/>
  <c r="K122" i="14"/>
  <c r="K124" i="14" s="1"/>
  <c r="D12" i="19" s="1"/>
  <c r="L122" i="14"/>
  <c r="L124" i="14" s="1"/>
  <c r="E12" i="1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Jacobs, Adam</author>
  </authors>
  <commentList>
    <comment ref="G2" authorId="0" shapeId="0" xr:uid="{1F2CA78A-3ACB-4754-BD20-1632CA6139C1}">
      <text>
        <r>
          <rPr>
            <b/>
            <sz val="9"/>
            <color indexed="81"/>
            <rFont val="Tahoma"/>
            <family val="2"/>
          </rPr>
          <t>Jacobs, Adam:</t>
        </r>
        <r>
          <rPr>
            <sz val="9"/>
            <color indexed="81"/>
            <rFont val="Tahoma"/>
            <family val="2"/>
          </rPr>
          <t xml:space="preserve">
all consumption + losses including MWh served behind by BTM generation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Jacobs, Adam</author>
  </authors>
  <commentList>
    <comment ref="G2" authorId="0" shapeId="0" xr:uid="{E03BCB9E-9F25-4551-BC03-071073D3FCA3}">
      <text>
        <r>
          <rPr>
            <b/>
            <sz val="9"/>
            <color indexed="81"/>
            <rFont val="Tahoma"/>
            <family val="2"/>
          </rPr>
          <t>Jacobs, Adam:</t>
        </r>
        <r>
          <rPr>
            <sz val="9"/>
            <color indexed="81"/>
            <rFont val="Tahoma"/>
            <family val="2"/>
          </rPr>
          <t xml:space="preserve">
Varies by load forecast based on estimated statewide load growth applied to 100% renewable utility's current share of statewide load.
These % are technically embedded in Tier I here but priced out separately based on estimated volume requirements under each load scenario in "Rate Impacts" tab </t>
        </r>
      </text>
    </comment>
    <comment ref="G17" authorId="0" shapeId="0" xr:uid="{12D101F0-8509-4299-9CF1-0C90E7F72BB1}">
      <text>
        <r>
          <rPr>
            <b/>
            <sz val="9"/>
            <color indexed="81"/>
            <rFont val="Tahoma"/>
            <family val="2"/>
          </rPr>
          <t>Jacobs, Adam:</t>
        </r>
        <r>
          <rPr>
            <sz val="9"/>
            <color indexed="81"/>
            <rFont val="Tahoma"/>
            <family val="2"/>
          </rPr>
          <t xml:space="preserve">
100% DU Proportional share of </t>
        </r>
        <r>
          <rPr>
            <u/>
            <sz val="9"/>
            <color indexed="81"/>
            <rFont val="Tahoma"/>
            <family val="2"/>
          </rPr>
          <t>statewide</t>
        </r>
        <r>
          <rPr>
            <sz val="9"/>
            <color indexed="81"/>
            <rFont val="Tahoma"/>
            <family val="2"/>
          </rPr>
          <t xml:space="preserve"> load growth compared to 100% DU 2022 baseline load</t>
        </r>
      </text>
    </comment>
    <comment ref="O17" authorId="0" shapeId="0" xr:uid="{20DBB775-98A9-4661-B04D-CA0DB8AC6E29}">
      <text>
        <r>
          <rPr>
            <b/>
            <sz val="9"/>
            <color indexed="81"/>
            <rFont val="Tahoma"/>
            <family val="2"/>
          </rPr>
          <t>Jacobs, Adam:</t>
        </r>
        <r>
          <rPr>
            <sz val="9"/>
            <color indexed="81"/>
            <rFont val="Tahoma"/>
            <family val="2"/>
          </rPr>
          <t xml:space="preserve">
100% DU Proportional share of </t>
        </r>
        <r>
          <rPr>
            <u/>
            <sz val="9"/>
            <color indexed="81"/>
            <rFont val="Tahoma"/>
            <family val="2"/>
          </rPr>
          <t>statewide</t>
        </r>
        <r>
          <rPr>
            <sz val="9"/>
            <color indexed="81"/>
            <rFont val="Tahoma"/>
            <family val="2"/>
          </rPr>
          <t xml:space="preserve"> load growth compared to 100% DU 2022 baseline load</t>
        </r>
      </text>
    </comment>
    <comment ref="B32" authorId="0" shapeId="0" xr:uid="{195C906D-56F2-4A18-991B-5438996A746B}">
      <text>
        <r>
          <rPr>
            <b/>
            <sz val="9"/>
            <color indexed="81"/>
            <rFont val="Tahoma"/>
            <family val="2"/>
          </rPr>
          <t>Jacobs, Adam:</t>
        </r>
        <r>
          <rPr>
            <sz val="9"/>
            <color indexed="81"/>
            <rFont val="Tahoma"/>
            <family val="2"/>
          </rPr>
          <t xml:space="preserve">
Total Physical Deliveries from 2023 RES compliance data (24-0775-INV)</t>
        </r>
      </text>
    </comment>
    <comment ref="F32" authorId="0" shapeId="0" xr:uid="{8E508C03-B4B2-4535-9601-AC2B0C20269C}">
      <text>
        <r>
          <rPr>
            <b/>
            <sz val="9"/>
            <color indexed="81"/>
            <rFont val="Tahoma"/>
            <family val="2"/>
          </rPr>
          <t>Jacobs, Adam:</t>
        </r>
        <r>
          <rPr>
            <sz val="9"/>
            <color indexed="81"/>
            <rFont val="Tahoma"/>
            <family val="2"/>
          </rPr>
          <t xml:space="preserve">
Total Physical Deliveries from 2023 RES compliance data (24-0775-INV)</t>
        </r>
      </text>
    </comment>
    <comment ref="E33" authorId="0" shapeId="0" xr:uid="{D2172266-7166-4493-A1A8-02BCE52E041F}">
      <text>
        <r>
          <rPr>
            <b/>
            <sz val="9"/>
            <color indexed="81"/>
            <rFont val="Tahoma"/>
            <family val="2"/>
          </rPr>
          <t>Jacobs, Adam:</t>
        </r>
        <r>
          <rPr>
            <sz val="9"/>
            <color indexed="81"/>
            <rFont val="Tahoma"/>
            <family val="2"/>
          </rPr>
          <t xml:space="preserve">
GMP less GF</t>
        </r>
      </text>
    </comment>
    <comment ref="E34" authorId="0" shapeId="0" xr:uid="{12610970-A168-4D57-84D7-8D5C18F2DE2A}">
      <text>
        <r>
          <rPr>
            <b/>
            <sz val="9"/>
            <color indexed="81"/>
            <rFont val="Tahoma"/>
            <family val="2"/>
          </rPr>
          <t>Jacobs, Adam:</t>
        </r>
        <r>
          <rPr>
            <sz val="9"/>
            <color indexed="81"/>
            <rFont val="Tahoma"/>
            <family val="2"/>
          </rPr>
          <t xml:space="preserve">
less BED and Swanton as 100% RE DUs</t>
        </r>
      </text>
    </comment>
    <comment ref="F38" authorId="0" shapeId="0" xr:uid="{40666B6B-851F-4F86-BE08-FE88CCE69FDE}">
      <text>
        <r>
          <rPr>
            <b/>
            <sz val="9"/>
            <color indexed="81"/>
            <rFont val="Tahoma"/>
            <family val="2"/>
          </rPr>
          <t>Jacobs, Adam:</t>
        </r>
        <r>
          <rPr>
            <sz val="9"/>
            <color indexed="81"/>
            <rFont val="Tahoma"/>
            <family val="2"/>
          </rPr>
          <t xml:space="preserve">
Swanton 2022 retail sales</t>
        </r>
      </text>
    </comment>
    <comment ref="J38" authorId="0" shapeId="0" xr:uid="{86193B99-9CD0-41BD-8457-CFEC5E25BF4B}">
      <text>
        <r>
          <rPr>
            <b/>
            <sz val="9"/>
            <color indexed="81"/>
            <rFont val="Tahoma"/>
            <family val="2"/>
          </rPr>
          <t>Jacobs, Adam:</t>
        </r>
        <r>
          <rPr>
            <sz val="9"/>
            <color indexed="81"/>
            <rFont val="Tahoma"/>
            <family val="2"/>
          </rPr>
          <t xml:space="preserve">
Swanton 2022 retail sales</t>
        </r>
      </text>
    </comment>
    <comment ref="F39" authorId="0" shapeId="0" xr:uid="{42BE3FF7-93C4-4D5D-A64B-EB834E9BA9B7}">
      <text>
        <r>
          <rPr>
            <b/>
            <sz val="9"/>
            <color indexed="81"/>
            <rFont val="Tahoma"/>
            <family val="2"/>
          </rPr>
          <t>Jacobs, Adam:</t>
        </r>
        <r>
          <rPr>
            <sz val="9"/>
            <color indexed="81"/>
            <rFont val="Tahoma"/>
            <family val="2"/>
          </rPr>
          <t xml:space="preserve">
GMP's FY25 retail sales for GF</t>
        </r>
      </text>
    </comment>
    <comment ref="G91" authorId="0" shapeId="0" xr:uid="{876DE8FC-721A-4654-8CBA-3ACDBA58E35D}">
      <text>
        <r>
          <rPr>
            <b/>
            <sz val="9"/>
            <color indexed="81"/>
            <rFont val="Tahoma"/>
            <family val="2"/>
          </rPr>
          <t>Jacobs, Adam:</t>
        </r>
        <r>
          <rPr>
            <sz val="9"/>
            <color indexed="81"/>
            <rFont val="Tahoma"/>
            <family val="2"/>
          </rPr>
          <t xml:space="preserve">
VELCO LRTP forecast never exceeds the % threshold that triggers temporary relief from 100% load growth met w/ new renewables</t>
        </r>
      </text>
    </comment>
    <comment ref="G105" authorId="0" shapeId="0" xr:uid="{6A4E430F-1AF4-4E94-A9AD-C971A057B232}">
      <text>
        <r>
          <rPr>
            <b/>
            <sz val="9"/>
            <color indexed="81"/>
            <rFont val="Tahoma"/>
            <family val="2"/>
          </rPr>
          <t>Jacobs, Adam:</t>
        </r>
        <r>
          <rPr>
            <sz val="9"/>
            <color indexed="81"/>
            <rFont val="Tahoma"/>
            <family val="2"/>
          </rPr>
          <t xml:space="preserve">
VELCO LRTP forecast never exceeds the % threshold that triggers temporary relief from 100% load growth met w/ new renewables</t>
        </r>
      </text>
    </comment>
    <comment ref="G119" authorId="0" shapeId="0" xr:uid="{3CA98552-445D-419A-AB5B-115F79F4D3A4}">
      <text>
        <r>
          <rPr>
            <b/>
            <sz val="9"/>
            <color indexed="81"/>
            <rFont val="Tahoma"/>
            <family val="2"/>
          </rPr>
          <t>Jacobs, Adam:</t>
        </r>
        <r>
          <rPr>
            <sz val="9"/>
            <color indexed="81"/>
            <rFont val="Tahoma"/>
            <family val="2"/>
          </rPr>
          <t xml:space="preserve">
VELCO LRTP forecast never exceeds the % threshold that triggers temporary relief from 100% load growth met w/ new renewables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Jacobs, Adam</author>
  </authors>
  <commentList>
    <comment ref="B1" authorId="0" shapeId="0" xr:uid="{B1FC3995-3534-4EF8-B365-643E7A93A895}">
      <text>
        <r>
          <rPr>
            <b/>
            <sz val="9"/>
            <color indexed="81"/>
            <rFont val="Tahoma"/>
            <family val="2"/>
          </rPr>
          <t>Jacobs, Adam:</t>
        </r>
        <r>
          <rPr>
            <sz val="9"/>
            <color indexed="81"/>
            <rFont val="Tahoma"/>
            <family val="2"/>
          </rPr>
          <t xml:space="preserve">
Average of other New England markets for existing resources.
Maine Existing = ~$3.50
Massachusetts Clean Energy Standard Existing = ~$9.50</t>
        </r>
      </text>
    </comment>
    <comment ref="C1" authorId="0" shapeId="0" xr:uid="{0B0E441C-0306-473A-A700-43C1040B118D}">
      <text>
        <r>
          <rPr>
            <b/>
            <sz val="9"/>
            <color indexed="81"/>
            <rFont val="Tahoma"/>
            <family val="2"/>
          </rPr>
          <t>Jacobs, Adam:</t>
        </r>
        <r>
          <rPr>
            <sz val="9"/>
            <color indexed="81"/>
            <rFont val="Tahoma"/>
            <family val="2"/>
          </rPr>
          <t xml:space="preserve">
Starts at latest compliance year actual Tier II costs then follows </t>
        </r>
        <r>
          <rPr>
            <i/>
            <sz val="9"/>
            <color indexed="81"/>
            <rFont val="Tahoma"/>
            <family val="2"/>
          </rPr>
          <t>trend</t>
        </r>
        <r>
          <rPr>
            <sz val="9"/>
            <color indexed="81"/>
            <rFont val="Tahoma"/>
            <family val="2"/>
          </rPr>
          <t xml:space="preserve"> in regional Class I (Tier IV) price forecast</t>
        </r>
      </text>
    </comment>
    <comment ref="D1" authorId="0" shapeId="0" xr:uid="{D283A8E9-50B4-4926-A062-8584CDA4E35B}">
      <text>
        <r>
          <rPr>
            <b/>
            <sz val="9"/>
            <color indexed="81"/>
            <rFont val="Tahoma"/>
            <family val="2"/>
          </rPr>
          <t>Jacobs, Adam:</t>
        </r>
        <r>
          <rPr>
            <sz val="9"/>
            <color indexed="81"/>
            <rFont val="Tahoma"/>
            <family val="2"/>
          </rPr>
          <t xml:space="preserve">
Actual trading prices for Nepool Class I RECs through 2031, then an average for remainder of model period</t>
        </r>
      </text>
    </comment>
    <comment ref="E1" authorId="0" shapeId="0" xr:uid="{256980CB-5A0B-422C-932E-E515AAA38805}">
      <text>
        <r>
          <rPr>
            <b/>
            <sz val="9"/>
            <color indexed="81"/>
            <rFont val="Tahoma"/>
            <family val="2"/>
          </rPr>
          <t>Jacobs, Adam:</t>
        </r>
        <r>
          <rPr>
            <sz val="9"/>
            <color indexed="81"/>
            <rFont val="Tahoma"/>
            <family val="2"/>
          </rPr>
          <t xml:space="preserve">
Both Tier II and IV resources qualify for Tier V. Price assumed to match Tier IV as these are expected to be the least-cost resource</t>
        </r>
      </text>
    </comment>
    <comment ref="C2" authorId="0" shapeId="0" xr:uid="{2227A447-4CE2-4C46-97CB-18BED24E6B7C}">
      <text>
        <r>
          <rPr>
            <b/>
            <sz val="9"/>
            <color indexed="81"/>
            <rFont val="Tahoma"/>
            <family val="2"/>
          </rPr>
          <t>Jacobs, Adam:</t>
        </r>
        <r>
          <rPr>
            <sz val="9"/>
            <color indexed="81"/>
            <rFont val="Tahoma"/>
            <family val="2"/>
          </rPr>
          <t xml:space="preserve">
2023 Actual Tier II $/MWh from DU filings in 24-0775-INV</t>
        </r>
      </text>
    </comment>
    <comment ref="J2" authorId="0" shapeId="0" xr:uid="{26DC1CE3-69BB-44B8-9B5B-D9ACED66B5A4}">
      <text>
        <r>
          <rPr>
            <b/>
            <sz val="9"/>
            <color indexed="81"/>
            <rFont val="Tahoma"/>
            <family val="2"/>
          </rPr>
          <t>Jacobs, Adam:</t>
        </r>
        <r>
          <rPr>
            <sz val="9"/>
            <color indexed="81"/>
            <rFont val="Tahoma"/>
            <family val="2"/>
          </rPr>
          <t xml:space="preserve">
These are the weighted cost of SEA's Tier II $/MWh using a missing money analysis to determine the effective price per "REC" after netting out wholesale market value. SEA's model did </t>
        </r>
        <r>
          <rPr>
            <u/>
            <sz val="9"/>
            <color indexed="81"/>
            <rFont val="Tahoma"/>
            <family val="2"/>
          </rPr>
          <t>not</t>
        </r>
        <r>
          <rPr>
            <sz val="9"/>
            <color indexed="81"/>
            <rFont val="Tahoma"/>
            <family val="2"/>
          </rPr>
          <t xml:space="preserve"> contemplate any of the exemptions embedded in H.289 Tier II such as muni/LIHI hydro, use of NM 1.0 to reduce requirements or the end of group net-metering</t>
        </r>
      </text>
    </comment>
    <comment ref="D22" authorId="0" shapeId="0" xr:uid="{166B50CC-C693-48EA-940A-F73C30F7894E}">
      <text>
        <r>
          <rPr>
            <b/>
            <sz val="9"/>
            <color indexed="81"/>
            <rFont val="Tahoma"/>
            <family val="2"/>
          </rPr>
          <t>Jacobs, Adam:</t>
        </r>
        <r>
          <rPr>
            <sz val="9"/>
            <color indexed="81"/>
            <rFont val="Tahoma"/>
            <family val="2"/>
          </rPr>
          <t xml:space="preserve">
these resources pre-date the RES and are assumed to have $0 incremental cost to ratepayers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Jacobs, Adam</author>
  </authors>
  <commentList>
    <comment ref="A15" authorId="0" shapeId="0" xr:uid="{6916D787-16F7-46AD-A84A-1D98642DE5E5}">
      <text>
        <r>
          <rPr>
            <b/>
            <sz val="9"/>
            <color indexed="81"/>
            <rFont val="Tahoma"/>
            <family val="2"/>
          </rPr>
          <t>Jacobs, Adam:</t>
        </r>
        <r>
          <rPr>
            <sz val="9"/>
            <color indexed="81"/>
            <rFont val="Tahoma"/>
            <family val="2"/>
          </rPr>
          <t xml:space="preserve">
GMP 2023 Tier III incentive costs, escalate at inflation for study period</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Jacobs, Adam</author>
  </authors>
  <commentList>
    <comment ref="D6" authorId="0" shapeId="0" xr:uid="{65C9FDD3-7A6D-4606-8854-9C6909FC7E32}">
      <text>
        <r>
          <rPr>
            <b/>
            <sz val="9"/>
            <color indexed="81"/>
            <rFont val="Tahoma"/>
            <family val="2"/>
          </rPr>
          <t>Jacobs, Adam:</t>
        </r>
        <r>
          <rPr>
            <sz val="9"/>
            <color indexed="81"/>
            <rFont val="Tahoma"/>
            <family val="2"/>
          </rPr>
          <t xml:space="preserve">
increase due to Tier III</t>
        </r>
      </text>
    </comment>
    <comment ref="D14" authorId="0" shapeId="0" xr:uid="{971B2378-E060-4E8F-8EF4-73338C2E3144}">
      <text>
        <r>
          <rPr>
            <b/>
            <sz val="9"/>
            <color indexed="81"/>
            <rFont val="Tahoma"/>
            <family val="2"/>
          </rPr>
          <t>Jacobs, Adam:</t>
        </r>
        <r>
          <rPr>
            <sz val="9"/>
            <color indexed="81"/>
            <rFont val="Tahoma"/>
            <family val="2"/>
          </rPr>
          <t xml:space="preserve">
increase due to Tier III</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Jacobs, Adam</author>
  </authors>
  <commentList>
    <comment ref="B2" authorId="0" shapeId="0" xr:uid="{886A3B56-B335-435E-AF4B-23A27B7EC403}">
      <text>
        <r>
          <rPr>
            <b/>
            <sz val="9"/>
            <color indexed="81"/>
            <rFont val="Tahoma"/>
            <family val="2"/>
          </rPr>
          <t>Jacobs, Adam:</t>
        </r>
        <r>
          <rPr>
            <sz val="9"/>
            <color indexed="81"/>
            <rFont val="Tahoma"/>
            <family val="2"/>
          </rPr>
          <t xml:space="preserve">
Load growth DUs must maintain 100% RE
Tier V load growth requirement is backed out of this cost and allocated Tier V</t>
        </r>
      </text>
    </comment>
    <comment ref="D2" authorId="0" shapeId="0" xr:uid="{BB2A9968-696C-4FBA-9548-63E6849E20E6}">
      <text>
        <r>
          <rPr>
            <b/>
            <sz val="9"/>
            <color indexed="81"/>
            <rFont val="Tahoma"/>
            <family val="2"/>
          </rPr>
          <t>Jacobs, Adam:</t>
        </r>
        <r>
          <rPr>
            <sz val="9"/>
            <color indexed="81"/>
            <rFont val="Tahoma"/>
            <family val="2"/>
          </rPr>
          <t xml:space="preserve">
Tier III incentive cost net of additional retail sales revnues for electrification measures</t>
        </r>
      </text>
    </comment>
    <comment ref="J2" authorId="0" shapeId="0" xr:uid="{E8F0804B-2F9A-41BF-AFD8-69BA5967F05D}">
      <text>
        <r>
          <rPr>
            <b/>
            <sz val="9"/>
            <color indexed="81"/>
            <rFont val="Tahoma"/>
            <family val="2"/>
          </rPr>
          <t>Jacobs, Adam:</t>
        </r>
        <r>
          <rPr>
            <sz val="9"/>
            <color indexed="81"/>
            <rFont val="Tahoma"/>
            <family val="2"/>
          </rPr>
          <t xml:space="preserve">
Load growth DUs must maintain 100% RE
Tier V load growth requirement is backed out of this cost and allocated Tier V</t>
        </r>
      </text>
    </comment>
    <comment ref="L2" authorId="0" shapeId="0" xr:uid="{D371E70B-2AF4-430B-8A39-9128D1A8F1B2}">
      <text>
        <r>
          <rPr>
            <b/>
            <sz val="9"/>
            <color indexed="81"/>
            <rFont val="Tahoma"/>
            <family val="2"/>
          </rPr>
          <t>Jacobs, Adam:</t>
        </r>
        <r>
          <rPr>
            <sz val="9"/>
            <color indexed="81"/>
            <rFont val="Tahoma"/>
            <family val="2"/>
          </rPr>
          <t xml:space="preserve">
Tier III incentive cost net of additional retail sales revnues for electrification measures</t>
        </r>
      </text>
    </comment>
    <comment ref="B36" authorId="0" shapeId="0" xr:uid="{711A1CCA-913B-4798-8BA9-957DB49CB51B}">
      <text>
        <r>
          <rPr>
            <b/>
            <sz val="9"/>
            <color indexed="81"/>
            <rFont val="Tahoma"/>
            <family val="2"/>
          </rPr>
          <t>Jacobs, Adam:</t>
        </r>
        <r>
          <rPr>
            <sz val="9"/>
            <color indexed="81"/>
            <rFont val="Tahoma"/>
            <family val="2"/>
          </rPr>
          <t xml:space="preserve">
10% discount on AESC 2024 CF#1</t>
        </r>
      </text>
    </comment>
    <comment ref="C36" authorId="0" shapeId="0" xr:uid="{C41FA0F8-C739-4F21-8456-ECCF2E7B3A6A}">
      <text>
        <r>
          <rPr>
            <b/>
            <sz val="9"/>
            <color indexed="81"/>
            <rFont val="Tahoma"/>
            <family val="2"/>
          </rPr>
          <t>Jacobs, Adam:</t>
        </r>
        <r>
          <rPr>
            <sz val="9"/>
            <color indexed="81"/>
            <rFont val="Tahoma"/>
            <family val="2"/>
          </rPr>
          <t xml:space="preserve">
AESC 2024 CF#1 VT</t>
        </r>
      </text>
    </comment>
    <comment ref="D36" authorId="0" shapeId="0" xr:uid="{216E72B4-F60C-4546-94D4-E628A01194BE}">
      <text>
        <r>
          <rPr>
            <b/>
            <sz val="9"/>
            <color indexed="81"/>
            <rFont val="Tahoma"/>
            <family val="2"/>
          </rPr>
          <t>Jacobs, Adam:</t>
        </r>
        <r>
          <rPr>
            <sz val="9"/>
            <color indexed="81"/>
            <rFont val="Tahoma"/>
            <family val="2"/>
          </rPr>
          <t xml:space="preserve">
AESC 2024 High Gas Price Sensitivity (S1) VT</t>
        </r>
      </text>
    </comment>
    <comment ref="J36" authorId="0" shapeId="0" xr:uid="{9103C78C-D4F2-43B2-BFFA-AB6F89F6A8A5}">
      <text>
        <r>
          <rPr>
            <b/>
            <sz val="9"/>
            <color indexed="81"/>
            <rFont val="Tahoma"/>
            <family val="2"/>
          </rPr>
          <t>Jacobs, Adam:</t>
        </r>
        <r>
          <rPr>
            <sz val="9"/>
            <color indexed="81"/>
            <rFont val="Tahoma"/>
            <family val="2"/>
          </rPr>
          <t xml:space="preserve">
10% discount on AESC 2024 CF#1</t>
        </r>
      </text>
    </comment>
    <comment ref="K36" authorId="0" shapeId="0" xr:uid="{43646B56-7602-444F-A997-59EAA1E140FF}">
      <text>
        <r>
          <rPr>
            <b/>
            <sz val="9"/>
            <color indexed="81"/>
            <rFont val="Tahoma"/>
            <family val="2"/>
          </rPr>
          <t>Jacobs, Adam:</t>
        </r>
        <r>
          <rPr>
            <sz val="9"/>
            <color indexed="81"/>
            <rFont val="Tahoma"/>
            <family val="2"/>
          </rPr>
          <t xml:space="preserve">
AESC 2024 CF#1 VT</t>
        </r>
      </text>
    </comment>
    <comment ref="L36" authorId="0" shapeId="0" xr:uid="{8D6F612D-FA1C-4814-BB52-888143FB6E70}">
      <text>
        <r>
          <rPr>
            <b/>
            <sz val="9"/>
            <color indexed="81"/>
            <rFont val="Tahoma"/>
            <family val="2"/>
          </rPr>
          <t>Jacobs, Adam:</t>
        </r>
        <r>
          <rPr>
            <sz val="9"/>
            <color indexed="81"/>
            <rFont val="Tahoma"/>
            <family val="2"/>
          </rPr>
          <t xml:space="preserve">
AESC 2024 High Gas Price Sensiticty (S1) VT</t>
        </r>
      </text>
    </comment>
    <comment ref="B67" authorId="0" shapeId="0" xr:uid="{CD957151-D920-4134-8C4F-220B63F22979}">
      <text>
        <r>
          <rPr>
            <b/>
            <sz val="9"/>
            <color indexed="81"/>
            <rFont val="Tahoma"/>
            <family val="2"/>
          </rPr>
          <t>Jacobs, Adam:</t>
        </r>
        <r>
          <rPr>
            <sz val="9"/>
            <color indexed="81"/>
            <rFont val="Tahoma"/>
            <family val="2"/>
          </rPr>
          <t xml:space="preserve">
input cell</t>
        </r>
      </text>
    </comment>
  </commentList>
</comments>
</file>

<file path=xl/sharedStrings.xml><?xml version="1.0" encoding="utf-8"?>
<sst xmlns="http://schemas.openxmlformats.org/spreadsheetml/2006/main" count="470" uniqueCount="195">
  <si>
    <t>Data Point</t>
  </si>
  <si>
    <t>Use</t>
  </si>
  <si>
    <t>Reference Tab</t>
  </si>
  <si>
    <t>Reference Cell(s)</t>
  </si>
  <si>
    <t>Determines baseline for Tier V requirement</t>
  </si>
  <si>
    <t>Requirements</t>
  </si>
  <si>
    <t>J37:J39</t>
  </si>
  <si>
    <t>Determines each DU's proportional share of load for forecast period</t>
  </si>
  <si>
    <t>B34:B40</t>
  </si>
  <si>
    <t>REC prices</t>
  </si>
  <si>
    <t>Cost per REC estimates for Tiers I, II, IV and V</t>
  </si>
  <si>
    <t>Tier III Allocations %</t>
  </si>
  <si>
    <t>Determines % of Tier III savings from different measures</t>
  </si>
  <si>
    <t>Tier III</t>
  </si>
  <si>
    <t>Determines cost per MWhe from different measures</t>
  </si>
  <si>
    <t>Wholesale Energy Prices</t>
  </si>
  <si>
    <t>Helps determine underlying cost-of-service use to calculate rate impact</t>
  </si>
  <si>
    <t>Rate Impact</t>
  </si>
  <si>
    <t>Inflation</t>
  </si>
  <si>
    <t>BAU Net Energy (MWh) Breakdown (Continued Growth)</t>
  </si>
  <si>
    <t>Policy Net Energy (MWh) Breakdown (VT Roadmap)</t>
  </si>
  <si>
    <t>Year</t>
  </si>
  <si>
    <t>Reconstituted</t>
  </si>
  <si>
    <t>HP</t>
  </si>
  <si>
    <t>EV</t>
  </si>
  <si>
    <t>PV</t>
  </si>
  <si>
    <t>Total</t>
  </si>
  <si>
    <t>Total Load (including BTM)</t>
  </si>
  <si>
    <t>2022 Actual</t>
  </si>
  <si>
    <t>Annual % Change</t>
  </si>
  <si>
    <t>Avg % Change over forecast</t>
  </si>
  <si>
    <t>Source:</t>
  </si>
  <si>
    <t>VELCO 2024 Long Range Transmission Plan Load Forecast -</t>
  </si>
  <si>
    <t>https://www.velco.com/sites/default/files/2024-04/2024%20VLRTP_publicreview_clean.pdf</t>
  </si>
  <si>
    <t xml:space="preserve">Underlying data requested from VELCO for section 4.5.3.2 Load forecast scenarios </t>
  </si>
  <si>
    <t>Statewide Load-weighted Requirements (%)</t>
  </si>
  <si>
    <t>Check</t>
  </si>
  <si>
    <t>Tier I</t>
  </si>
  <si>
    <t>Net Tier I</t>
  </si>
  <si>
    <t>Tier II</t>
  </si>
  <si>
    <t>Tier IV</t>
  </si>
  <si>
    <t>Tier V</t>
  </si>
  <si>
    <t>Total % Renewable</t>
  </si>
  <si>
    <t>BAU Requirements (MWh)</t>
  </si>
  <si>
    <t>VT Roadmap (MWh)</t>
  </si>
  <si>
    <t>2023 Load</t>
  </si>
  <si>
    <t>MWh</t>
  </si>
  <si>
    <t>% Weight</t>
  </si>
  <si>
    <t>GMP</t>
  </si>
  <si>
    <t>VPPSA + HPE + SED (Munis)</t>
  </si>
  <si>
    <t>Munis</t>
  </si>
  <si>
    <t>VEC</t>
  </si>
  <si>
    <t>2022 Tier V Load Growth DU baseline</t>
  </si>
  <si>
    <t>BED</t>
  </si>
  <si>
    <t>WEC</t>
  </si>
  <si>
    <t>Swanton</t>
  </si>
  <si>
    <t>GF</t>
  </si>
  <si>
    <t>Munis (less Swanton and BED)</t>
  </si>
  <si>
    <t>SEA Model S2V5 Average Tier II Cost</t>
  </si>
  <si>
    <t>Alternative Compliance Payment Rate (24-2822-INV)</t>
  </si>
  <si>
    <t>Costs</t>
  </si>
  <si>
    <t>Average $/Mwhe</t>
  </si>
  <si>
    <t>$/MWhe Incentive</t>
  </si>
  <si>
    <t>CCHP</t>
  </si>
  <si>
    <t>Weatherization</t>
  </si>
  <si>
    <t>Custom</t>
  </si>
  <si>
    <t>Tier II RECs</t>
  </si>
  <si>
    <t>% Allocation of Savings</t>
  </si>
  <si>
    <t>Energy Impacts</t>
  </si>
  <si>
    <t>Net-to-Gross Ratio</t>
  </si>
  <si>
    <t>BAU</t>
  </si>
  <si>
    <t>VT Road Map</t>
  </si>
  <si>
    <t>MWhe Savings</t>
  </si>
  <si>
    <t>Number of New Units</t>
  </si>
  <si>
    <t>Number of Units</t>
  </si>
  <si>
    <t>Cumulative Number of Units</t>
  </si>
  <si>
    <t>Additional MWh Retail Sales</t>
  </si>
  <si>
    <t>MMBtu Fossil Fuel Saved</t>
  </si>
  <si>
    <t>TIER III PLANNING TOOL (references Savings Calculator 2022)</t>
  </si>
  <si>
    <t>Existing MMBtu Consumption Annually</t>
  </si>
  <si>
    <t>Existing System MMBtu Displaced / Reduced By New System (DMMBtu)</t>
  </si>
  <si>
    <t>Added kWh new system (DkWh)</t>
  </si>
  <si>
    <t>Gross Lifetime MWh Saved</t>
  </si>
  <si>
    <t>Multi Zone Cold-Climate Heat Pump (CCHP) with Controls* and High Performing Home</t>
  </si>
  <si>
    <t>Multi Zone Cold-Climate Heat Pump (CCHP) with no Controls* and Low Performing Home</t>
  </si>
  <si>
    <t>Multi Zone Cold-Climate Heat Pump (CCHP) with Controls* and Low Performing Home</t>
  </si>
  <si>
    <t>Multi Zone Cold-Climate Heat Pump (CCHP) with no Controls* and High Performing Home</t>
  </si>
  <si>
    <t>Single Zone Cold-Climate Heat Pump (CCHP) with Controls* and High Performing Home</t>
  </si>
  <si>
    <t>Single Zone Cold-Climate Heat Pump (CCHP) with no Controls* and Low Performing Home</t>
  </si>
  <si>
    <t>Single Zone Cold-Climate Heat Pump (CCHP) with Controls* and Low Performing Home</t>
  </si>
  <si>
    <t>Single Zone Cold-Climate Heat Pump (CCHP) with no Controls* and High Performing Home</t>
  </si>
  <si>
    <t>CCHP Average</t>
  </si>
  <si>
    <t>Heat Pump Water Heater (HPWH)</t>
  </si>
  <si>
    <t>Biodiesel**</t>
  </si>
  <si>
    <t>Pellet Heating***</t>
  </si>
  <si>
    <t>Electric Vehicles</t>
  </si>
  <si>
    <t>Charging Stations****</t>
  </si>
  <si>
    <t>Smart Thermostat</t>
  </si>
  <si>
    <t>Electric Bike</t>
  </si>
  <si>
    <t>Transit Bus*****</t>
  </si>
  <si>
    <t>School Bus*****</t>
  </si>
  <si>
    <t>Paratransit Vehicle*****</t>
  </si>
  <si>
    <t>Low Flow Faucet Aerator</t>
  </si>
  <si>
    <t>Low Flow Showerhead</t>
  </si>
  <si>
    <t>Solar Hot Water</t>
  </si>
  <si>
    <t>Electric Forklift</t>
  </si>
  <si>
    <t>Electric Golf Cart</t>
  </si>
  <si>
    <t>Air to Water Heat Pump</t>
  </si>
  <si>
    <t>Lawnmowers</t>
  </si>
  <si>
    <t>Leafblowers</t>
  </si>
  <si>
    <t>Centrally Ducted Air Source Heat Pumps</t>
  </si>
  <si>
    <t>Induction Stovetop</t>
  </si>
  <si>
    <t>Motorcycles</t>
  </si>
  <si>
    <t>Tractors and Small Gas Appliances</t>
  </si>
  <si>
    <t>DISPLACED MMBTU</t>
  </si>
  <si>
    <t>lbs CO2 per mmBTU</t>
  </si>
  <si>
    <t>lbs of CO2 saved annually</t>
  </si>
  <si>
    <t>HP Hot Water Heater</t>
  </si>
  <si>
    <t>WEATHERIZATION</t>
  </si>
  <si>
    <t>EV Chargers</t>
  </si>
  <si>
    <t>Claimed lifetime MWh</t>
  </si>
  <si>
    <t>Smart Thermostats</t>
  </si>
  <si>
    <t>Measure Life (years)</t>
  </si>
  <si>
    <t>Home Battery</t>
  </si>
  <si>
    <t>FF Heat Rate</t>
  </si>
  <si>
    <t>MMBtu of FF saved</t>
  </si>
  <si>
    <t>Pellet Boiler</t>
  </si>
  <si>
    <t>Average Wx MWh claim for 2018</t>
  </si>
  <si>
    <t>Displaced MMBtu per project</t>
  </si>
  <si>
    <t>Low</t>
  </si>
  <si>
    <t>BAU LOAD SCENARIO</t>
  </si>
  <si>
    <t>VT ROADMAP LOAD SCENARIO</t>
  </si>
  <si>
    <t>Energy Price Scenario</t>
  </si>
  <si>
    <t>Mid</t>
  </si>
  <si>
    <t>High</t>
  </si>
  <si>
    <t>10 Year Average Electric Rate Impact</t>
  </si>
  <si>
    <t>Total Energy Reduction (MMBtu)</t>
  </si>
  <si>
    <t>Electric Energy Reduction (MWh)</t>
  </si>
  <si>
    <t>Fossil Fuel Reduction (MMBtu)</t>
  </si>
  <si>
    <t>GHG Emissions Reduction (lbsCO2)</t>
  </si>
  <si>
    <t>Net Tier III</t>
  </si>
  <si>
    <t>Wholesale Price Scenario</t>
  </si>
  <si>
    <t>$/MWh</t>
  </si>
  <si>
    <t>Wholesale Price % Change</t>
  </si>
  <si>
    <t>% Change YOY</t>
  </si>
  <si>
    <t xml:space="preserve">10yr average from: </t>
  </si>
  <si>
    <t>https://www.bls.gov/charts/consumer-price-index/consumer-price-index-by-category-line-chart.htm</t>
  </si>
  <si>
    <t>%</t>
  </si>
  <si>
    <t>COS % Tied to market</t>
  </si>
  <si>
    <t>% Tied to market</t>
  </si>
  <si>
    <t>COS % Tied to inflation</t>
  </si>
  <si>
    <t>% Tied to inflation</t>
  </si>
  <si>
    <t>Total Cost-of-service</t>
  </si>
  <si>
    <t>2023 Actual</t>
  </si>
  <si>
    <t>Average Retail Rate ($/MWh)</t>
  </si>
  <si>
    <t>Annual % Rate Impact</t>
  </si>
  <si>
    <t>10 Year Average Rate Impact</t>
  </si>
  <si>
    <r>
      <t>Table 3-7
LMU Marginal Heat Rate, 2013 to 2022 (MMBtu/MWh)</t>
    </r>
    <r>
      <rPr>
        <b/>
        <vertAlign val="superscript"/>
        <sz val="11"/>
        <color theme="0"/>
        <rFont val="Aptos Narrow"/>
        <family val="2"/>
        <scheme val="minor"/>
      </rPr>
      <t xml:space="preserve"> (a)</t>
    </r>
  </si>
  <si>
    <t>Time-Weighted</t>
  </si>
  <si>
    <t>Load-Weighted</t>
  </si>
  <si>
    <t>All LMUs</t>
  </si>
  <si>
    <t>Emitting 
LMUs</t>
  </si>
  <si>
    <t xml:space="preserve">Source: ISO NE 2022 Air Emissions Report available at - </t>
  </si>
  <si>
    <t>Summary (PDF)</t>
  </si>
  <si>
    <t>https://www.iso-ne.com/static-assets/documents/100006/final_2022_air_emissions_report.pdf</t>
  </si>
  <si>
    <t>Appendix (Excel)</t>
  </si>
  <si>
    <t>https://www.iso-ne.com/static-assets/documents/100006/final_2022_air_emissions_report_appendix.xlsx</t>
  </si>
  <si>
    <t>2022 NEPOOL GIS Residual Mix (lbs/MWh)</t>
  </si>
  <si>
    <t>2022 ISO-NE Marginal heat rate (Mmbtu/MWh)</t>
  </si>
  <si>
    <t>% Residual Mix 2016 (pre-RES)</t>
  </si>
  <si>
    <t>Tier I, II, IV, V</t>
  </si>
  <si>
    <t>BAU Total Load (MWh)</t>
  </si>
  <si>
    <t>Tier I %</t>
  </si>
  <si>
    <t>% Residual</t>
  </si>
  <si>
    <t>lbs CO2 with RES</t>
  </si>
  <si>
    <t>lbs CO2 pre-RES</t>
  </si>
  <si>
    <t>lbs CO2 Saved</t>
  </si>
  <si>
    <t>Fossil MMbtu saved</t>
  </si>
  <si>
    <t>VT Roadmap Total Load (MWh)</t>
  </si>
  <si>
    <t>Total RES BAU</t>
  </si>
  <si>
    <t>Total RES VT Roadmap</t>
  </si>
  <si>
    <t>NYPA (MWh)</t>
  </si>
  <si>
    <t>HQ (MWh)</t>
  </si>
  <si>
    <t>Pre-RES Resources</t>
  </si>
  <si>
    <t>Total Pre-RES MWh</t>
  </si>
  <si>
    <t>Tier II cost comparison for reference</t>
  </si>
  <si>
    <t>Note: Act 179 repealed  8005b and moved this section of statute to 202b</t>
  </si>
  <si>
    <t>2023 Annual Load for all utilities</t>
  </si>
  <si>
    <t>2022 Load for 100% RE utilities</t>
  </si>
  <si>
    <t>B2:B12, C2:C12, D2:D12, E2:E12</t>
  </si>
  <si>
    <t>Rows 16-26</t>
  </si>
  <si>
    <t>Rows 29-39</t>
  </si>
  <si>
    <t>Tier III Incentvie $/MWhe</t>
  </si>
  <si>
    <t>B39:B49, J39:J49</t>
  </si>
  <si>
    <t>B67:B77, J67:J77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</si>
</sst>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5" formatCode="&quot;$&quot;#,##0_);\(&quot;$&quot;#,##0\)"/>
    <numFmt numFmtId="44" formatCode="_(&quot;$&quot;* #,##0.00_);_(&quot;$&quot;* \(#,##0.00\);_(&quot;$&quot;* &quot;-&quot;??_);_(@_)"/>
    <numFmt numFmtId="43" formatCode="_(* #,##0.00_);_(* \(#,##0.00\);_(* &quot;-&quot;??_);_(@_)"/>
    <numFmt numFmtId="164" formatCode="0.0%"/>
    <numFmt numFmtId="165" formatCode="0.000%"/>
    <numFmt numFmtId="166" formatCode="_(* #,##0_);_(* \(#,##0\);_(* &quot;-&quot;??_);_(@_)"/>
    <numFmt numFmtId="167" formatCode="&quot;$&quot;#,##0.00"/>
    <numFmt numFmtId="168" formatCode="&quot;$&quot;#,##0"/>
    <numFmt numFmtId="170" formatCode="0.0"/>
    <numFmt numFmtId="171" formatCode="0.000"/>
    <numFmt numFmtId="179" formatCode="&quot;$&quot;#,##0.000"/>
  </numFmts>
  <fonts count="23" x14ac:knownFonts="1">
    <font>
      <sz val="11"/>
      <color theme="1"/>
      <name val="Aptos Narrow"/>
      <family val="2"/>
      <scheme val="minor"/>
    </font>
    <font>
      <sz val="11"/>
      <color theme="1"/>
      <name val="Aptos Narrow"/>
      <family val="2"/>
      <scheme val="minor"/>
    </font>
    <font>
      <sz val="11"/>
      <color rgb="FFFF0000"/>
      <name val="Aptos Narrow"/>
      <family val="2"/>
      <scheme val="minor"/>
    </font>
    <font>
      <b/>
      <sz val="11"/>
      <color theme="1"/>
      <name val="Aptos Narrow"/>
      <family val="2"/>
      <scheme val="minor"/>
    </font>
    <font>
      <sz val="9"/>
      <color indexed="81"/>
      <name val="Tahoma"/>
      <family val="2"/>
    </font>
    <font>
      <b/>
      <sz val="9"/>
      <color indexed="81"/>
      <name val="Tahoma"/>
      <family val="2"/>
    </font>
    <font>
      <b/>
      <sz val="12"/>
      <color theme="1"/>
      <name val="Aptos Narrow"/>
      <family val="2"/>
      <scheme val="minor"/>
    </font>
    <font>
      <u/>
      <sz val="11"/>
      <color theme="10"/>
      <name val="Aptos Narrow"/>
      <family val="2"/>
      <scheme val="minor"/>
    </font>
    <font>
      <u/>
      <sz val="9"/>
      <color indexed="81"/>
      <name val="Tahoma"/>
      <family val="2"/>
    </font>
    <font>
      <i/>
      <sz val="11"/>
      <color theme="1"/>
      <name val="Aptos Narrow"/>
      <family val="2"/>
      <scheme val="minor"/>
    </font>
    <font>
      <b/>
      <sz val="11"/>
      <color theme="0"/>
      <name val="Aptos Narrow"/>
      <family val="2"/>
      <scheme val="minor"/>
    </font>
    <font>
      <sz val="8"/>
      <name val="Aptos Narrow"/>
      <family val="2"/>
      <scheme val="minor"/>
    </font>
    <font>
      <b/>
      <i/>
      <sz val="11"/>
      <color theme="1"/>
      <name val="Aptos Narrow"/>
      <family val="2"/>
      <scheme val="minor"/>
    </font>
    <font>
      <b/>
      <sz val="11"/>
      <name val="Aptos Narrow"/>
      <family val="2"/>
      <scheme val="minor"/>
    </font>
    <font>
      <b/>
      <sz val="14"/>
      <color theme="1"/>
      <name val="Aptos Narrow"/>
      <family val="2"/>
      <scheme val="minor"/>
    </font>
    <font>
      <b/>
      <sz val="10"/>
      <color theme="1"/>
      <name val="Arial"/>
      <family val="2"/>
    </font>
    <font>
      <sz val="11"/>
      <color theme="0" tint="-0.14999847407452621"/>
      <name val="Aptos Narrow"/>
      <family val="2"/>
      <scheme val="minor"/>
    </font>
    <font>
      <sz val="11"/>
      <color rgb="FF212121"/>
      <name val="Arial"/>
      <family val="2"/>
    </font>
    <font>
      <b/>
      <u/>
      <sz val="11"/>
      <color theme="1"/>
      <name val="Aptos Narrow"/>
      <family val="2"/>
      <scheme val="minor"/>
    </font>
    <font>
      <b/>
      <vertAlign val="superscript"/>
      <sz val="11"/>
      <color theme="0"/>
      <name val="Aptos Narrow"/>
      <family val="2"/>
      <scheme val="minor"/>
    </font>
    <font>
      <sz val="10"/>
      <name val="Arial"/>
      <family val="2"/>
    </font>
    <font>
      <sz val="11"/>
      <name val="Aptos Narrow"/>
      <family val="2"/>
      <scheme val="minor"/>
    </font>
    <font>
      <i/>
      <sz val="9"/>
      <color indexed="81"/>
      <name val="Tahoma"/>
      <family val="2"/>
    </font>
  </fonts>
  <fills count="18">
    <fill>
      <patternFill patternType="none"/>
    </fill>
    <fill>
      <patternFill patternType="gray125"/>
    </fill>
    <fill>
      <patternFill patternType="solid">
        <fgColor rgb="FFFFFF00"/>
        <bgColor indexed="64"/>
      </patternFill>
    </fill>
    <fill>
      <patternFill patternType="solid">
        <fgColor theme="1"/>
        <bgColor indexed="64"/>
      </patternFill>
    </fill>
    <fill>
      <patternFill patternType="solid">
        <fgColor theme="0" tint="-0.14999847407452621"/>
        <bgColor indexed="64"/>
      </patternFill>
    </fill>
    <fill>
      <patternFill patternType="solid">
        <fgColor theme="9"/>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rgb="FFFFFFCC"/>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rgb="FF84D1FF"/>
        <bgColor indexed="64"/>
      </patternFill>
    </fill>
    <fill>
      <patternFill patternType="solid">
        <fgColor rgb="FF0082CF"/>
        <bgColor indexed="64"/>
      </patternFill>
    </fill>
    <fill>
      <patternFill patternType="solid">
        <fgColor rgb="FFC1E8FF"/>
        <bgColor indexed="64"/>
      </patternFill>
    </fill>
    <fill>
      <patternFill patternType="solid">
        <fgColor rgb="FFEBF8FF"/>
        <bgColor indexed="64"/>
      </patternFill>
    </fill>
    <fill>
      <patternFill patternType="solid">
        <fgColor theme="7"/>
        <bgColor indexed="64"/>
      </patternFill>
    </fill>
  </fills>
  <borders count="4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theme="1"/>
      </bottom>
      <diagonal/>
    </border>
    <border>
      <left style="medium">
        <color indexed="64"/>
      </left>
      <right style="thin">
        <color indexed="64"/>
      </right>
      <top style="medium">
        <color indexed="64"/>
      </top>
      <bottom style="thin">
        <color theme="1"/>
      </bottom>
      <diagonal/>
    </border>
    <border>
      <left style="thin">
        <color indexed="64"/>
      </left>
      <right style="medium">
        <color indexed="64"/>
      </right>
      <top style="medium">
        <color indexed="64"/>
      </top>
      <bottom style="thin">
        <color theme="1"/>
      </bottom>
      <diagonal/>
    </border>
    <border>
      <left/>
      <right/>
      <top style="medium">
        <color indexed="64"/>
      </top>
      <bottom style="thin">
        <color theme="1"/>
      </bottom>
      <diagonal/>
    </border>
    <border>
      <left style="medium">
        <color indexed="64"/>
      </left>
      <right/>
      <top style="medium">
        <color indexed="64"/>
      </top>
      <bottom style="thin">
        <color theme="1"/>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6">
    <xf numFmtId="0" fontId="0" fillId="0" borderId="0"/>
    <xf numFmtId="9"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44" fontId="1" fillId="0" borderId="0" applyFont="0" applyFill="0" applyBorder="0" applyAlignment="0" applyProtection="0"/>
    <xf numFmtId="0" fontId="20" fillId="0" borderId="0"/>
  </cellStyleXfs>
  <cellXfs count="289">
    <xf numFmtId="0" fontId="0" fillId="0" borderId="0" xfId="0"/>
    <xf numFmtId="9" fontId="0" fillId="0" borderId="0" xfId="0" applyNumberFormat="1"/>
    <xf numFmtId="10" fontId="0" fillId="0" borderId="0" xfId="0" applyNumberFormat="1"/>
    <xf numFmtId="164" fontId="0" fillId="0" borderId="0" xfId="0" applyNumberFormat="1" applyAlignment="1">
      <alignment horizontal="center"/>
    </xf>
    <xf numFmtId="165" fontId="0" fillId="0" borderId="0" xfId="0" applyNumberFormat="1"/>
    <xf numFmtId="9" fontId="0" fillId="0" borderId="0" xfId="1" applyFont="1"/>
    <xf numFmtId="9" fontId="0" fillId="2" borderId="0" xfId="1" applyFont="1" applyFill="1"/>
    <xf numFmtId="9" fontId="0" fillId="2" borderId="0" xfId="0" applyNumberFormat="1" applyFill="1"/>
    <xf numFmtId="164" fontId="0" fillId="2" borderId="0" xfId="0" applyNumberFormat="1" applyFill="1" applyAlignment="1">
      <alignment horizontal="center"/>
    </xf>
    <xf numFmtId="0" fontId="0" fillId="2" borderId="0" xfId="0" applyFill="1"/>
    <xf numFmtId="0" fontId="3" fillId="0" borderId="0" xfId="0" applyFont="1" applyAlignment="1">
      <alignment horizontal="center"/>
    </xf>
    <xf numFmtId="166" fontId="0" fillId="0" borderId="0" xfId="2" applyNumberFormat="1" applyFont="1"/>
    <xf numFmtId="166" fontId="0" fillId="0" borderId="0" xfId="0" applyNumberFormat="1"/>
    <xf numFmtId="0" fontId="0" fillId="3" borderId="0" xfId="0" applyFill="1"/>
    <xf numFmtId="164" fontId="0" fillId="3" borderId="0" xfId="0" applyNumberFormat="1" applyFill="1" applyAlignment="1">
      <alignment horizontal="center"/>
    </xf>
    <xf numFmtId="0" fontId="3" fillId="0" borderId="0" xfId="0" applyFont="1"/>
    <xf numFmtId="166" fontId="0" fillId="0" borderId="0" xfId="2" applyNumberFormat="1" applyFont="1" applyAlignment="1">
      <alignment horizontal="center"/>
    </xf>
    <xf numFmtId="0" fontId="7" fillId="0" borderId="0" xfId="3"/>
    <xf numFmtId="168" fontId="0" fillId="0" borderId="0" xfId="2" applyNumberFormat="1" applyFont="1" applyAlignment="1">
      <alignment horizontal="center"/>
    </xf>
    <xf numFmtId="3" fontId="0" fillId="0" borderId="0" xfId="0" applyNumberFormat="1"/>
    <xf numFmtId="0" fontId="3" fillId="3" borderId="0" xfId="0" applyFont="1" applyFill="1"/>
    <xf numFmtId="0" fontId="3" fillId="0" borderId="0" xfId="0" applyFont="1" applyAlignment="1">
      <alignment wrapText="1"/>
    </xf>
    <xf numFmtId="0" fontId="0" fillId="0" borderId="2" xfId="0" applyBorder="1"/>
    <xf numFmtId="0" fontId="0" fillId="0" borderId="3" xfId="0" applyBorder="1"/>
    <xf numFmtId="0" fontId="0" fillId="0" borderId="4" xfId="0" applyBorder="1"/>
    <xf numFmtId="10" fontId="0" fillId="0" borderId="5" xfId="1" applyNumberFormat="1" applyFont="1" applyBorder="1"/>
    <xf numFmtId="10" fontId="0" fillId="0" borderId="6" xfId="1" applyNumberFormat="1" applyFont="1" applyBorder="1"/>
    <xf numFmtId="10" fontId="0" fillId="0" borderId="7" xfId="1" applyNumberFormat="1" applyFont="1" applyBorder="1"/>
    <xf numFmtId="0" fontId="9" fillId="0" borderId="0" xfId="0" applyFont="1"/>
    <xf numFmtId="0" fontId="9" fillId="0" borderId="0" xfId="0" applyFont="1" applyAlignment="1">
      <alignment horizontal="center"/>
    </xf>
    <xf numFmtId="0" fontId="0" fillId="0" borderId="0" xfId="0" applyAlignment="1">
      <alignment horizontal="center"/>
    </xf>
    <xf numFmtId="0" fontId="0" fillId="0" borderId="8" xfId="0" applyBorder="1"/>
    <xf numFmtId="10" fontId="9" fillId="0" borderId="0" xfId="0" applyNumberFormat="1" applyFont="1" applyAlignment="1">
      <alignment horizontal="center"/>
    </xf>
    <xf numFmtId="0" fontId="9" fillId="4" borderId="0" xfId="0" applyFont="1" applyFill="1" applyAlignment="1">
      <alignment horizontal="center"/>
    </xf>
    <xf numFmtId="0" fontId="9" fillId="4" borderId="0" xfId="0" applyFont="1" applyFill="1"/>
    <xf numFmtId="164" fontId="0" fillId="0" borderId="0" xfId="0" applyNumberFormat="1"/>
    <xf numFmtId="0" fontId="3" fillId="0" borderId="9" xfId="0" applyFont="1" applyBorder="1"/>
    <xf numFmtId="0" fontId="0" fillId="0" borderId="9" xfId="0" applyBorder="1"/>
    <xf numFmtId="167" fontId="0" fillId="0" borderId="0" xfId="0" applyNumberFormat="1" applyAlignment="1">
      <alignment horizontal="center"/>
    </xf>
    <xf numFmtId="0" fontId="0" fillId="5" borderId="9" xfId="0" applyFill="1" applyBorder="1"/>
    <xf numFmtId="0" fontId="0" fillId="6" borderId="9" xfId="0" applyFill="1" applyBorder="1"/>
    <xf numFmtId="0" fontId="0" fillId="7" borderId="13" xfId="0" applyFill="1" applyBorder="1"/>
    <xf numFmtId="0" fontId="0" fillId="7" borderId="14" xfId="0" applyFill="1" applyBorder="1"/>
    <xf numFmtId="0" fontId="14" fillId="2" borderId="0" xfId="0" applyFont="1" applyFill="1"/>
    <xf numFmtId="164" fontId="0" fillId="2" borderId="9" xfId="1" applyNumberFormat="1" applyFont="1" applyFill="1" applyBorder="1"/>
    <xf numFmtId="2" fontId="0" fillId="0" borderId="0" xfId="0" applyNumberFormat="1" applyAlignment="1">
      <alignment horizontal="center"/>
    </xf>
    <xf numFmtId="0" fontId="14" fillId="0" borderId="0" xfId="0" applyFont="1" applyAlignment="1">
      <alignment horizontal="center" vertical="center" wrapText="1"/>
    </xf>
    <xf numFmtId="0" fontId="15" fillId="8" borderId="9" xfId="0" applyFont="1" applyFill="1" applyBorder="1" applyAlignment="1">
      <alignment horizontal="center" vertical="center" wrapText="1"/>
    </xf>
    <xf numFmtId="0" fontId="15" fillId="9" borderId="9" xfId="0" applyFont="1" applyFill="1" applyBorder="1" applyAlignment="1">
      <alignment horizontal="center" vertical="center" wrapText="1"/>
    </xf>
    <xf numFmtId="166" fontId="15" fillId="10" borderId="9" xfId="2" applyNumberFormat="1" applyFont="1" applyFill="1" applyBorder="1" applyAlignment="1">
      <alignment horizontal="center" vertical="center" wrapText="1"/>
    </xf>
    <xf numFmtId="0" fontId="0" fillId="0" borderId="0" xfId="0" applyAlignment="1">
      <alignment wrapText="1"/>
    </xf>
    <xf numFmtId="2" fontId="0" fillId="0" borderId="0" xfId="0" applyNumberFormat="1"/>
    <xf numFmtId="1" fontId="16" fillId="0" borderId="0" xfId="0" applyNumberFormat="1" applyFont="1"/>
    <xf numFmtId="44" fontId="0" fillId="0" borderId="0" xfId="4" applyFont="1"/>
    <xf numFmtId="0" fontId="17" fillId="0" borderId="0" xfId="0" applyFont="1" applyAlignment="1">
      <alignment vertical="center"/>
    </xf>
    <xf numFmtId="2" fontId="3" fillId="2" borderId="0" xfId="0" applyNumberFormat="1" applyFont="1" applyFill="1"/>
    <xf numFmtId="166" fontId="3" fillId="2" borderId="0" xfId="2" applyNumberFormat="1" applyFont="1" applyFill="1"/>
    <xf numFmtId="2" fontId="3" fillId="0" borderId="0" xfId="0" applyNumberFormat="1" applyFont="1"/>
    <xf numFmtId="44" fontId="3" fillId="0" borderId="0" xfId="4" applyFont="1"/>
    <xf numFmtId="166" fontId="0" fillId="0" borderId="0" xfId="2" applyNumberFormat="1" applyFont="1" applyFill="1"/>
    <xf numFmtId="0" fontId="3" fillId="7" borderId="15" xfId="0" applyFont="1" applyFill="1" applyBorder="1"/>
    <xf numFmtId="0" fontId="3" fillId="7" borderId="16" xfId="0" applyFont="1" applyFill="1" applyBorder="1"/>
    <xf numFmtId="0" fontId="3" fillId="7" borderId="5" xfId="0" applyFont="1" applyFill="1" applyBorder="1"/>
    <xf numFmtId="2" fontId="3" fillId="7" borderId="13" xfId="0" applyNumberFormat="1" applyFont="1" applyFill="1" applyBorder="1"/>
    <xf numFmtId="1" fontId="0" fillId="7" borderId="0" xfId="0" applyNumberFormat="1" applyFill="1"/>
    <xf numFmtId="166" fontId="0" fillId="7" borderId="6" xfId="2" applyNumberFormat="1" applyFont="1" applyFill="1" applyBorder="1"/>
    <xf numFmtId="0" fontId="3" fillId="7" borderId="13" xfId="0" applyFont="1" applyFill="1" applyBorder="1"/>
    <xf numFmtId="1" fontId="0" fillId="7" borderId="0" xfId="2" applyNumberFormat="1" applyFont="1" applyFill="1" applyBorder="1"/>
    <xf numFmtId="0" fontId="18" fillId="11" borderId="15" xfId="0" applyFont="1" applyFill="1" applyBorder="1" applyAlignment="1">
      <alignment horizontal="right" wrapText="1"/>
    </xf>
    <xf numFmtId="0" fontId="0" fillId="11" borderId="5" xfId="0" applyFill="1" applyBorder="1"/>
    <xf numFmtId="0" fontId="0" fillId="11" borderId="13" xfId="0" applyFill="1" applyBorder="1" applyAlignment="1">
      <alignment horizontal="right" wrapText="1"/>
    </xf>
    <xf numFmtId="0" fontId="0" fillId="11" borderId="6" xfId="0" applyFill="1" applyBorder="1"/>
    <xf numFmtId="166" fontId="0" fillId="7" borderId="0" xfId="2" applyNumberFormat="1" applyFont="1" applyFill="1" applyBorder="1"/>
    <xf numFmtId="166" fontId="0" fillId="11" borderId="6" xfId="2" applyNumberFormat="1" applyFont="1" applyFill="1" applyBorder="1"/>
    <xf numFmtId="0" fontId="0" fillId="12" borderId="13" xfId="0" applyFill="1" applyBorder="1"/>
    <xf numFmtId="1" fontId="0" fillId="12" borderId="0" xfId="0" applyNumberFormat="1" applyFill="1"/>
    <xf numFmtId="166" fontId="0" fillId="12" borderId="0" xfId="2" applyNumberFormat="1" applyFont="1" applyFill="1" applyBorder="1"/>
    <xf numFmtId="166" fontId="0" fillId="12" borderId="6" xfId="2" applyNumberFormat="1" applyFont="1" applyFill="1" applyBorder="1"/>
    <xf numFmtId="43" fontId="0" fillId="11" borderId="6" xfId="0" applyNumberFormat="1" applyFill="1" applyBorder="1"/>
    <xf numFmtId="0" fontId="0" fillId="11" borderId="13" xfId="0" applyFill="1" applyBorder="1" applyAlignment="1">
      <alignment wrapText="1"/>
    </xf>
    <xf numFmtId="170" fontId="0" fillId="11" borderId="6" xfId="0" applyNumberFormat="1" applyFill="1" applyBorder="1"/>
    <xf numFmtId="0" fontId="0" fillId="7" borderId="17" xfId="0" applyFill="1" applyBorder="1"/>
    <xf numFmtId="166" fontId="0" fillId="7" borderId="17" xfId="2" applyNumberFormat="1" applyFont="1" applyFill="1" applyBorder="1"/>
    <xf numFmtId="166" fontId="0" fillId="7" borderId="7" xfId="2" applyNumberFormat="1" applyFont="1" applyFill="1" applyBorder="1"/>
    <xf numFmtId="0" fontId="0" fillId="11" borderId="14" xfId="0" applyFill="1" applyBorder="1" applyAlignment="1">
      <alignment horizontal="right" wrapText="1"/>
    </xf>
    <xf numFmtId="170" fontId="0" fillId="11" borderId="7" xfId="0" applyNumberFormat="1" applyFill="1" applyBorder="1"/>
    <xf numFmtId="168" fontId="0" fillId="0" borderId="0" xfId="2" applyNumberFormat="1" applyFont="1" applyFill="1" applyAlignment="1">
      <alignment horizontal="center"/>
    </xf>
    <xf numFmtId="0" fontId="3" fillId="13" borderId="1" xfId="0" applyFont="1" applyFill="1" applyBorder="1"/>
    <xf numFmtId="0" fontId="3" fillId="15" borderId="27" xfId="0" applyFont="1" applyFill="1" applyBorder="1" applyAlignment="1">
      <alignment horizontal="center"/>
    </xf>
    <xf numFmtId="0" fontId="3" fillId="0" borderId="27" xfId="0" applyFont="1" applyBorder="1" applyAlignment="1">
      <alignment horizontal="center"/>
    </xf>
    <xf numFmtId="0" fontId="3" fillId="15" borderId="28" xfId="0" applyFont="1" applyFill="1" applyBorder="1" applyAlignment="1">
      <alignment horizontal="center"/>
    </xf>
    <xf numFmtId="0" fontId="3" fillId="0" borderId="18" xfId="0" applyFont="1" applyBorder="1" applyAlignment="1">
      <alignment horizontal="center"/>
    </xf>
    <xf numFmtId="0" fontId="3" fillId="13" borderId="35" xfId="0" applyFont="1" applyFill="1" applyBorder="1" applyAlignment="1">
      <alignment horizontal="center" vertical="center"/>
    </xf>
    <xf numFmtId="0" fontId="3" fillId="13" borderId="39" xfId="0" applyFont="1" applyFill="1" applyBorder="1" applyAlignment="1">
      <alignment horizontal="center" vertical="center"/>
    </xf>
    <xf numFmtId="0" fontId="3" fillId="13" borderId="36" xfId="0" applyFont="1" applyFill="1" applyBorder="1" applyAlignment="1">
      <alignment horizontal="center" vertical="center"/>
    </xf>
    <xf numFmtId="0" fontId="3" fillId="13" borderId="37" xfId="0" applyFont="1" applyFill="1" applyBorder="1" applyAlignment="1">
      <alignment horizontal="center" vertical="center" wrapText="1"/>
    </xf>
    <xf numFmtId="171" fontId="0" fillId="0" borderId="20" xfId="0" applyNumberFormat="1" applyBorder="1"/>
    <xf numFmtId="171" fontId="0" fillId="0" borderId="32" xfId="0" applyNumberFormat="1" applyBorder="1"/>
    <xf numFmtId="171" fontId="0" fillId="16" borderId="13" xfId="0" applyNumberFormat="1" applyFill="1" applyBorder="1"/>
    <xf numFmtId="171" fontId="0" fillId="16" borderId="6" xfId="0" applyNumberFormat="1" applyFill="1" applyBorder="1"/>
    <xf numFmtId="171" fontId="0" fillId="15" borderId="22" xfId="0" applyNumberFormat="1" applyFill="1" applyBorder="1"/>
    <xf numFmtId="171" fontId="0" fillId="15" borderId="33" xfId="0" applyNumberFormat="1" applyFill="1" applyBorder="1"/>
    <xf numFmtId="171" fontId="0" fillId="0" borderId="22" xfId="0" applyNumberFormat="1" applyBorder="1"/>
    <xf numFmtId="171" fontId="0" fillId="0" borderId="33" xfId="0" applyNumberFormat="1" applyBorder="1"/>
    <xf numFmtId="171" fontId="0" fillId="0" borderId="23" xfId="0" applyNumberFormat="1" applyBorder="1"/>
    <xf numFmtId="171" fontId="0" fillId="15" borderId="23" xfId="0" applyNumberFormat="1" applyFill="1" applyBorder="1"/>
    <xf numFmtId="171" fontId="0" fillId="15" borderId="24" xfId="0" applyNumberFormat="1" applyFill="1" applyBorder="1"/>
    <xf numFmtId="171" fontId="0" fillId="15" borderId="26" xfId="0" applyNumberFormat="1" applyFill="1" applyBorder="1"/>
    <xf numFmtId="0" fontId="3" fillId="13" borderId="38" xfId="0" applyFont="1" applyFill="1" applyBorder="1" applyAlignment="1">
      <alignment horizontal="center" vertical="center" wrapText="1"/>
    </xf>
    <xf numFmtId="171" fontId="0" fillId="15" borderId="40" xfId="0" applyNumberFormat="1" applyFill="1" applyBorder="1"/>
    <xf numFmtId="0" fontId="0" fillId="0" borderId="17" xfId="0" applyBorder="1"/>
    <xf numFmtId="166" fontId="0" fillId="0" borderId="17" xfId="2" applyNumberFormat="1" applyFont="1" applyBorder="1"/>
    <xf numFmtId="0" fontId="3" fillId="4" borderId="29" xfId="0" applyFont="1" applyFill="1" applyBorder="1" applyAlignment="1">
      <alignment horizontal="left"/>
    </xf>
    <xf numFmtId="0" fontId="3" fillId="4" borderId="30" xfId="0" applyFont="1" applyFill="1" applyBorder="1" applyAlignment="1">
      <alignment horizontal="center"/>
    </xf>
    <xf numFmtId="0" fontId="3" fillId="4" borderId="31" xfId="0" applyFont="1" applyFill="1" applyBorder="1" applyAlignment="1">
      <alignment horizontal="center"/>
    </xf>
    <xf numFmtId="165" fontId="0" fillId="0" borderId="0" xfId="1" applyNumberFormat="1" applyFont="1"/>
    <xf numFmtId="0" fontId="3" fillId="9" borderId="20" xfId="0" applyFont="1" applyFill="1" applyBorder="1" applyAlignment="1">
      <alignment horizontal="left"/>
    </xf>
    <xf numFmtId="10" fontId="0" fillId="9" borderId="19" xfId="1" applyNumberFormat="1" applyFont="1" applyFill="1" applyBorder="1" applyAlignment="1">
      <alignment horizontal="center"/>
    </xf>
    <xf numFmtId="10" fontId="0" fillId="9" borderId="21" xfId="1" applyNumberFormat="1" applyFont="1" applyFill="1" applyBorder="1" applyAlignment="1">
      <alignment horizontal="center"/>
    </xf>
    <xf numFmtId="0" fontId="3" fillId="9" borderId="22" xfId="0" applyFont="1" applyFill="1" applyBorder="1" applyAlignment="1">
      <alignment horizontal="left"/>
    </xf>
    <xf numFmtId="0" fontId="0" fillId="9" borderId="9" xfId="0" applyFill="1" applyBorder="1"/>
    <xf numFmtId="3" fontId="0" fillId="9" borderId="9" xfId="0" applyNumberFormat="1" applyFill="1" applyBorder="1" applyAlignment="1">
      <alignment horizontal="center"/>
    </xf>
    <xf numFmtId="0" fontId="0" fillId="9" borderId="23" xfId="0" applyFill="1" applyBorder="1"/>
    <xf numFmtId="0" fontId="3" fillId="9" borderId="24" xfId="0" applyFont="1" applyFill="1" applyBorder="1" applyAlignment="1">
      <alignment horizontal="left"/>
    </xf>
    <xf numFmtId="0" fontId="0" fillId="9" borderId="25" xfId="0" applyFill="1" applyBorder="1"/>
    <xf numFmtId="3" fontId="0" fillId="9" borderId="25" xfId="0" applyNumberFormat="1" applyFill="1" applyBorder="1" applyAlignment="1">
      <alignment horizontal="center"/>
    </xf>
    <xf numFmtId="0" fontId="0" fillId="9" borderId="26" xfId="0" applyFill="1" applyBorder="1"/>
    <xf numFmtId="0" fontId="0" fillId="6" borderId="0" xfId="0" applyFill="1"/>
    <xf numFmtId="167" fontId="0" fillId="6" borderId="0" xfId="0" applyNumberFormat="1" applyFill="1" applyAlignment="1">
      <alignment horizontal="center"/>
    </xf>
    <xf numFmtId="9" fontId="0" fillId="6" borderId="0" xfId="1" applyFont="1" applyFill="1"/>
    <xf numFmtId="167" fontId="0" fillId="2" borderId="0" xfId="4" applyNumberFormat="1" applyFont="1" applyFill="1" applyBorder="1" applyAlignment="1">
      <alignment horizontal="center"/>
    </xf>
    <xf numFmtId="0" fontId="3" fillId="6" borderId="0" xfId="0" applyFont="1" applyFill="1"/>
    <xf numFmtId="0" fontId="3" fillId="0" borderId="15" xfId="0" applyFont="1" applyBorder="1"/>
    <xf numFmtId="164" fontId="0" fillId="0" borderId="16" xfId="0" applyNumberFormat="1" applyBorder="1" applyAlignment="1">
      <alignment horizontal="center"/>
    </xf>
    <xf numFmtId="164" fontId="0" fillId="0" borderId="5" xfId="0" applyNumberFormat="1" applyBorder="1" applyAlignment="1">
      <alignment horizontal="center"/>
    </xf>
    <xf numFmtId="0" fontId="3" fillId="0" borderId="13" xfId="0" applyFont="1" applyBorder="1"/>
    <xf numFmtId="0" fontId="3" fillId="0" borderId="6" xfId="0" applyFont="1" applyBorder="1" applyAlignment="1">
      <alignment horizontal="center"/>
    </xf>
    <xf numFmtId="0" fontId="0" fillId="0" borderId="13" xfId="0" applyBorder="1"/>
    <xf numFmtId="37" fontId="1" fillId="0" borderId="0" xfId="2" applyNumberFormat="1" applyFont="1" applyBorder="1" applyAlignment="1">
      <alignment horizontal="center"/>
    </xf>
    <xf numFmtId="3" fontId="0" fillId="0" borderId="0" xfId="0" applyNumberFormat="1" applyAlignment="1">
      <alignment horizontal="center"/>
    </xf>
    <xf numFmtId="37" fontId="0" fillId="0" borderId="6" xfId="0" applyNumberFormat="1" applyBorder="1" applyAlignment="1">
      <alignment horizontal="center"/>
    </xf>
    <xf numFmtId="0" fontId="0" fillId="0" borderId="14" xfId="0" applyBorder="1"/>
    <xf numFmtId="3" fontId="0" fillId="0" borderId="17" xfId="0" applyNumberFormat="1" applyBorder="1" applyAlignment="1">
      <alignment horizontal="center"/>
    </xf>
    <xf numFmtId="164" fontId="0" fillId="0" borderId="17" xfId="0" applyNumberFormat="1" applyBorder="1" applyAlignment="1">
      <alignment horizontal="center"/>
    </xf>
    <xf numFmtId="37" fontId="0" fillId="0" borderId="7" xfId="0" applyNumberFormat="1" applyBorder="1" applyAlignment="1">
      <alignment horizontal="center"/>
    </xf>
    <xf numFmtId="3" fontId="0" fillId="0" borderId="0" xfId="2" applyNumberFormat="1" applyFont="1" applyBorder="1" applyAlignment="1">
      <alignment horizontal="center"/>
    </xf>
    <xf numFmtId="0" fontId="0" fillId="0" borderId="6" xfId="0" applyBorder="1"/>
    <xf numFmtId="0" fontId="0" fillId="0" borderId="17" xfId="0" applyBorder="1" applyAlignment="1">
      <alignment horizontal="center"/>
    </xf>
    <xf numFmtId="0" fontId="0" fillId="0" borderId="7" xfId="0" applyBorder="1"/>
    <xf numFmtId="3" fontId="0" fillId="0" borderId="6" xfId="0" applyNumberFormat="1" applyBorder="1"/>
    <xf numFmtId="3" fontId="0" fillId="0" borderId="6" xfId="2" applyNumberFormat="1" applyFont="1" applyBorder="1" applyAlignment="1">
      <alignment horizontal="center"/>
    </xf>
    <xf numFmtId="167" fontId="0" fillId="0" borderId="17" xfId="0" applyNumberFormat="1" applyBorder="1" applyAlignment="1">
      <alignment horizontal="center"/>
    </xf>
    <xf numFmtId="0" fontId="3" fillId="0" borderId="16" xfId="0" applyFont="1" applyBorder="1" applyAlignment="1">
      <alignment horizontal="center"/>
    </xf>
    <xf numFmtId="0" fontId="3" fillId="0" borderId="5" xfId="0" applyFont="1" applyBorder="1" applyAlignment="1">
      <alignment horizontal="center"/>
    </xf>
    <xf numFmtId="167" fontId="0" fillId="2" borderId="6" xfId="0" applyNumberFormat="1" applyFill="1" applyBorder="1" applyAlignment="1">
      <alignment horizontal="center"/>
    </xf>
    <xf numFmtId="167" fontId="0" fillId="0" borderId="6" xfId="0" applyNumberFormat="1" applyBorder="1" applyAlignment="1">
      <alignment horizontal="center"/>
    </xf>
    <xf numFmtId="167" fontId="0" fillId="0" borderId="7" xfId="0" applyNumberFormat="1" applyBorder="1" applyAlignment="1">
      <alignment horizontal="center"/>
    </xf>
    <xf numFmtId="10" fontId="1" fillId="0" borderId="0" xfId="1" applyNumberFormat="1" applyFont="1" applyBorder="1" applyAlignment="1">
      <alignment horizontal="center"/>
    </xf>
    <xf numFmtId="10" fontId="1" fillId="0" borderId="6" xfId="1" applyNumberFormat="1" applyFont="1" applyBorder="1" applyAlignment="1">
      <alignment horizontal="center"/>
    </xf>
    <xf numFmtId="3" fontId="1" fillId="0" borderId="0" xfId="2" applyNumberFormat="1" applyFont="1" applyBorder="1" applyAlignment="1">
      <alignment horizontal="center"/>
    </xf>
    <xf numFmtId="37" fontId="0" fillId="0" borderId="0" xfId="2" applyNumberFormat="1" applyFont="1" applyBorder="1" applyAlignment="1">
      <alignment horizontal="center"/>
    </xf>
    <xf numFmtId="1" fontId="0" fillId="0" borderId="0" xfId="0" applyNumberFormat="1" applyAlignment="1">
      <alignment horizontal="center"/>
    </xf>
    <xf numFmtId="3" fontId="0" fillId="0" borderId="6" xfId="0" applyNumberFormat="1" applyBorder="1" applyAlignment="1">
      <alignment horizontal="center"/>
    </xf>
    <xf numFmtId="0" fontId="0" fillId="0" borderId="16" xfId="0" applyBorder="1"/>
    <xf numFmtId="0" fontId="0" fillId="0" borderId="5" xfId="0" applyBorder="1"/>
    <xf numFmtId="2" fontId="3" fillId="0" borderId="10" xfId="0" applyNumberFormat="1" applyFont="1" applyBorder="1" applyAlignment="1">
      <alignment horizontal="center"/>
    </xf>
    <xf numFmtId="2" fontId="0" fillId="0" borderId="11" xfId="0" applyNumberFormat="1" applyBorder="1" applyAlignment="1">
      <alignment horizontal="center"/>
    </xf>
    <xf numFmtId="2" fontId="0" fillId="0" borderId="12" xfId="0" applyNumberFormat="1" applyBorder="1" applyAlignment="1">
      <alignment horizontal="center"/>
    </xf>
    <xf numFmtId="0" fontId="0" fillId="0" borderId="15" xfId="0" applyBorder="1"/>
    <xf numFmtId="0" fontId="3" fillId="0" borderId="16" xfId="0" applyFont="1" applyBorder="1"/>
    <xf numFmtId="0" fontId="0" fillId="0" borderId="13" xfId="0" applyBorder="1" applyAlignment="1">
      <alignment horizontal="center"/>
    </xf>
    <xf numFmtId="0" fontId="3" fillId="0" borderId="13" xfId="0" applyFont="1" applyBorder="1" applyAlignment="1">
      <alignment horizontal="center"/>
    </xf>
    <xf numFmtId="0" fontId="0" fillId="0" borderId="6" xfId="0" applyBorder="1" applyAlignment="1">
      <alignment horizontal="center"/>
    </xf>
    <xf numFmtId="168" fontId="0" fillId="0" borderId="0" xfId="0" applyNumberFormat="1" applyAlignment="1">
      <alignment horizontal="center"/>
    </xf>
    <xf numFmtId="0" fontId="0" fillId="0" borderId="16" xfId="0" applyBorder="1" applyAlignment="1">
      <alignment horizontal="center"/>
    </xf>
    <xf numFmtId="0" fontId="0" fillId="3" borderId="16" xfId="0" applyFill="1" applyBorder="1"/>
    <xf numFmtId="0" fontId="0" fillId="0" borderId="5" xfId="0" applyBorder="1" applyAlignment="1">
      <alignment horizontal="center"/>
    </xf>
    <xf numFmtId="0" fontId="12" fillId="4" borderId="13" xfId="0" applyFont="1" applyFill="1" applyBorder="1" applyAlignment="1">
      <alignment horizontal="center"/>
    </xf>
    <xf numFmtId="167" fontId="9" fillId="4" borderId="0" xfId="0" applyNumberFormat="1" applyFont="1" applyFill="1" applyAlignment="1">
      <alignment horizontal="center"/>
    </xf>
    <xf numFmtId="0" fontId="0" fillId="3" borderId="0" xfId="0" applyFill="1" applyAlignment="1">
      <alignment horizontal="center"/>
    </xf>
    <xf numFmtId="0" fontId="12" fillId="4" borderId="0" xfId="0" applyFont="1" applyFill="1" applyAlignment="1">
      <alignment horizontal="center"/>
    </xf>
    <xf numFmtId="167" fontId="9" fillId="4" borderId="6" xfId="0" applyNumberFormat="1" applyFont="1" applyFill="1" applyBorder="1" applyAlignment="1">
      <alignment horizontal="center"/>
    </xf>
    <xf numFmtId="0" fontId="0" fillId="3" borderId="17" xfId="0" applyFill="1" applyBorder="1"/>
    <xf numFmtId="0" fontId="9" fillId="4" borderId="6" xfId="0" applyFont="1" applyFill="1" applyBorder="1" applyAlignment="1">
      <alignment horizontal="center"/>
    </xf>
    <xf numFmtId="164" fontId="0" fillId="0" borderId="0" xfId="1" applyNumberFormat="1" applyFont="1" applyBorder="1" applyAlignment="1">
      <alignment horizontal="center"/>
    </xf>
    <xf numFmtId="164" fontId="0" fillId="0" borderId="6" xfId="0" applyNumberFormat="1" applyBorder="1" applyAlignment="1">
      <alignment horizontal="center"/>
    </xf>
    <xf numFmtId="0" fontId="3" fillId="0" borderId="14" xfId="0" applyFont="1" applyBorder="1" applyAlignment="1">
      <alignment horizontal="center"/>
    </xf>
    <xf numFmtId="164" fontId="0" fillId="0" borderId="17" xfId="1" applyNumberFormat="1" applyFont="1" applyBorder="1" applyAlignment="1">
      <alignment horizontal="center"/>
    </xf>
    <xf numFmtId="0" fontId="0" fillId="3" borderId="17" xfId="0" applyFill="1" applyBorder="1" applyAlignment="1">
      <alignment horizontal="center"/>
    </xf>
    <xf numFmtId="0" fontId="3" fillId="0" borderId="17" xfId="0" applyFont="1" applyBorder="1" applyAlignment="1">
      <alignment horizontal="center"/>
    </xf>
    <xf numFmtId="164" fontId="0" fillId="0" borderId="7" xfId="0" applyNumberFormat="1" applyBorder="1" applyAlignment="1">
      <alignment horizontal="center"/>
    </xf>
    <xf numFmtId="0" fontId="7" fillId="0" borderId="16" xfId="3" applyBorder="1"/>
    <xf numFmtId="10" fontId="0" fillId="2" borderId="0" xfId="0" applyNumberFormat="1" applyFill="1" applyAlignment="1">
      <alignment horizontal="center"/>
    </xf>
    <xf numFmtId="10" fontId="9" fillId="4" borderId="0" xfId="0" applyNumberFormat="1" applyFont="1" applyFill="1" applyAlignment="1">
      <alignment horizontal="center"/>
    </xf>
    <xf numFmtId="10" fontId="9" fillId="4" borderId="6" xfId="0" applyNumberFormat="1" applyFont="1" applyFill="1" applyBorder="1" applyAlignment="1">
      <alignment horizontal="center"/>
    </xf>
    <xf numFmtId="0" fontId="3" fillId="0" borderId="41" xfId="0" applyFont="1" applyBorder="1"/>
    <xf numFmtId="164" fontId="0" fillId="2" borderId="42" xfId="1" applyNumberFormat="1" applyFont="1" applyFill="1" applyBorder="1"/>
    <xf numFmtId="0" fontId="3" fillId="0" borderId="42" xfId="0" applyFont="1" applyBorder="1"/>
    <xf numFmtId="0" fontId="3" fillId="0" borderId="22" xfId="0" applyFont="1" applyBorder="1"/>
    <xf numFmtId="168" fontId="0" fillId="3" borderId="0" xfId="0" applyNumberFormat="1" applyFill="1" applyAlignment="1">
      <alignment horizontal="center"/>
    </xf>
    <xf numFmtId="168" fontId="0" fillId="0" borderId="6" xfId="0" applyNumberFormat="1" applyBorder="1" applyAlignment="1">
      <alignment horizontal="center"/>
    </xf>
    <xf numFmtId="168" fontId="9" fillId="4" borderId="0" xfId="0" applyNumberFormat="1" applyFont="1" applyFill="1" applyAlignment="1">
      <alignment horizontal="center"/>
    </xf>
    <xf numFmtId="1" fontId="12" fillId="4" borderId="0" xfId="0" applyNumberFormat="1" applyFont="1" applyFill="1" applyAlignment="1">
      <alignment horizontal="center"/>
    </xf>
    <xf numFmtId="168" fontId="9" fillId="4" borderId="6" xfId="0" applyNumberFormat="1" applyFont="1" applyFill="1" applyBorder="1" applyAlignment="1">
      <alignment horizontal="center"/>
    </xf>
    <xf numFmtId="1" fontId="3" fillId="0" borderId="0" xfId="0" applyNumberFormat="1" applyFont="1" applyAlignment="1">
      <alignment horizontal="center"/>
    </xf>
    <xf numFmtId="0" fontId="3" fillId="0" borderId="14" xfId="0" applyFont="1" applyBorder="1"/>
    <xf numFmtId="168" fontId="0" fillId="0" borderId="17" xfId="0" applyNumberFormat="1" applyBorder="1"/>
    <xf numFmtId="168" fontId="0" fillId="3" borderId="17" xfId="0" applyNumberFormat="1" applyFill="1" applyBorder="1"/>
    <xf numFmtId="1" fontId="3" fillId="0" borderId="17" xfId="0" applyNumberFormat="1" applyFont="1" applyBorder="1"/>
    <xf numFmtId="168" fontId="0" fillId="0" borderId="7" xfId="0" applyNumberFormat="1" applyBorder="1"/>
    <xf numFmtId="0" fontId="3" fillId="0" borderId="15" xfId="0" applyFont="1" applyBorder="1" applyAlignment="1">
      <alignment horizontal="center"/>
    </xf>
    <xf numFmtId="168" fontId="0" fillId="0" borderId="16" xfId="0" applyNumberFormat="1" applyBorder="1" applyAlignment="1">
      <alignment horizontal="center"/>
    </xf>
    <xf numFmtId="168" fontId="0" fillId="3" borderId="16" xfId="0" applyNumberFormat="1" applyFill="1" applyBorder="1" applyAlignment="1">
      <alignment horizontal="center"/>
    </xf>
    <xf numFmtId="168" fontId="0" fillId="0" borderId="5" xfId="0" applyNumberFormat="1" applyBorder="1" applyAlignment="1">
      <alignment horizontal="center"/>
    </xf>
    <xf numFmtId="164" fontId="0" fillId="0" borderId="6" xfId="1" applyNumberFormat="1" applyFont="1" applyBorder="1" applyAlignment="1">
      <alignment horizontal="center"/>
    </xf>
    <xf numFmtId="0" fontId="0" fillId="0" borderId="14" xfId="0" applyBorder="1" applyAlignment="1">
      <alignment horizontal="center"/>
    </xf>
    <xf numFmtId="0" fontId="0" fillId="0" borderId="7" xfId="0" applyBorder="1" applyAlignment="1">
      <alignment horizontal="center"/>
    </xf>
    <xf numFmtId="0" fontId="3" fillId="0" borderId="10" xfId="0" applyFont="1" applyBorder="1" applyAlignment="1">
      <alignment horizontal="center"/>
    </xf>
    <xf numFmtId="0" fontId="0" fillId="0" borderId="11" xfId="0" applyBorder="1" applyAlignment="1">
      <alignment horizontal="center"/>
    </xf>
    <xf numFmtId="0" fontId="0" fillId="3" borderId="11" xfId="0" applyFill="1" applyBorder="1" applyAlignment="1">
      <alignment horizontal="center"/>
    </xf>
    <xf numFmtId="0" fontId="3" fillId="0" borderId="11" xfId="0" applyFont="1" applyBorder="1" applyAlignment="1">
      <alignment horizontal="center"/>
    </xf>
    <xf numFmtId="164" fontId="0" fillId="2" borderId="11" xfId="0" applyNumberFormat="1" applyFill="1" applyBorder="1" applyAlignment="1">
      <alignment horizontal="center"/>
    </xf>
    <xf numFmtId="164" fontId="0" fillId="2" borderId="12" xfId="0" applyNumberFormat="1" applyFill="1" applyBorder="1" applyAlignment="1">
      <alignment horizontal="center"/>
    </xf>
    <xf numFmtId="0" fontId="3" fillId="0" borderId="13" xfId="0" applyFont="1" applyBorder="1" applyAlignment="1">
      <alignment wrapText="1"/>
    </xf>
    <xf numFmtId="0" fontId="3" fillId="0" borderId="0" xfId="0" applyFont="1" applyAlignment="1">
      <alignment horizontal="center" wrapText="1"/>
    </xf>
    <xf numFmtId="0" fontId="3" fillId="0" borderId="6" xfId="0" applyFont="1" applyBorder="1" applyAlignment="1">
      <alignment wrapText="1"/>
    </xf>
    <xf numFmtId="166" fontId="0" fillId="0" borderId="0" xfId="2" applyNumberFormat="1" applyFont="1" applyBorder="1"/>
    <xf numFmtId="9" fontId="0" fillId="0" borderId="0" xfId="1" applyFont="1" applyBorder="1" applyAlignment="1">
      <alignment horizontal="center"/>
    </xf>
    <xf numFmtId="166" fontId="0" fillId="0" borderId="6" xfId="2" applyNumberFormat="1" applyFont="1" applyBorder="1"/>
    <xf numFmtId="0" fontId="3" fillId="0" borderId="16" xfId="0" applyFont="1" applyBorder="1" applyAlignment="1">
      <alignment horizontal="center" wrapText="1"/>
    </xf>
    <xf numFmtId="0" fontId="3" fillId="0" borderId="5" xfId="0" applyFont="1" applyBorder="1" applyAlignment="1">
      <alignment wrapText="1"/>
    </xf>
    <xf numFmtId="166" fontId="0" fillId="0" borderId="6" xfId="0" applyNumberFormat="1" applyBorder="1"/>
    <xf numFmtId="43" fontId="0" fillId="0" borderId="0" xfId="0" applyNumberFormat="1"/>
    <xf numFmtId="166" fontId="0" fillId="0" borderId="16" xfId="2" applyNumberFormat="1" applyFont="1" applyBorder="1"/>
    <xf numFmtId="166" fontId="3" fillId="0" borderId="0" xfId="2" applyNumberFormat="1" applyFont="1" applyBorder="1" applyAlignment="1">
      <alignment horizontal="center" wrapText="1"/>
    </xf>
    <xf numFmtId="166" fontId="0" fillId="0" borderId="17" xfId="0" applyNumberFormat="1" applyBorder="1"/>
    <xf numFmtId="0" fontId="6" fillId="0" borderId="16" xfId="0" applyFont="1" applyBorder="1" applyAlignment="1">
      <alignment horizontal="center"/>
    </xf>
    <xf numFmtId="0" fontId="9" fillId="0" borderId="5" xfId="0" applyFont="1" applyBorder="1" applyAlignment="1">
      <alignment horizontal="center"/>
    </xf>
    <xf numFmtId="0" fontId="3" fillId="0" borderId="13" xfId="0" applyFont="1" applyBorder="1" applyAlignment="1">
      <alignment horizontal="left"/>
    </xf>
    <xf numFmtId="0" fontId="9" fillId="0" borderId="6" xfId="0" applyFont="1" applyBorder="1" applyAlignment="1">
      <alignment horizontal="center"/>
    </xf>
    <xf numFmtId="0" fontId="9" fillId="4" borderId="13" xfId="0" applyFont="1" applyFill="1" applyBorder="1" applyAlignment="1">
      <alignment horizontal="left"/>
    </xf>
    <xf numFmtId="3" fontId="12" fillId="4" borderId="0" xfId="2" applyNumberFormat="1" applyFont="1" applyFill="1" applyBorder="1" applyAlignment="1">
      <alignment horizontal="center" vertical="center"/>
    </xf>
    <xf numFmtId="0" fontId="0" fillId="0" borderId="13" xfId="0" applyBorder="1" applyAlignment="1">
      <alignment horizontal="left"/>
    </xf>
    <xf numFmtId="3" fontId="0" fillId="0" borderId="0" xfId="2" applyNumberFormat="1" applyFont="1" applyFill="1" applyBorder="1" applyAlignment="1">
      <alignment horizontal="center"/>
    </xf>
    <xf numFmtId="3" fontId="9" fillId="0" borderId="0" xfId="2" applyNumberFormat="1" applyFont="1" applyBorder="1" applyAlignment="1">
      <alignment horizontal="center"/>
    </xf>
    <xf numFmtId="3" fontId="3" fillId="0" borderId="0" xfId="0" applyNumberFormat="1" applyFont="1" applyAlignment="1">
      <alignment horizontal="center"/>
    </xf>
    <xf numFmtId="10" fontId="9" fillId="0" borderId="6" xfId="1" applyNumberFormat="1" applyFont="1" applyBorder="1" applyAlignment="1">
      <alignment horizontal="center"/>
    </xf>
    <xf numFmtId="0" fontId="9" fillId="0" borderId="7" xfId="0" applyFont="1" applyBorder="1" applyAlignment="1">
      <alignment horizontal="center"/>
    </xf>
    <xf numFmtId="3" fontId="9" fillId="0" borderId="0" xfId="0" applyNumberFormat="1" applyFont="1" applyAlignment="1">
      <alignment horizontal="center"/>
    </xf>
    <xf numFmtId="0" fontId="0" fillId="17" borderId="9" xfId="0" applyFill="1" applyBorder="1"/>
    <xf numFmtId="171" fontId="3" fillId="2" borderId="34" xfId="0" applyNumberFormat="1" applyFont="1" applyFill="1" applyBorder="1"/>
    <xf numFmtId="0" fontId="13" fillId="0" borderId="9" xfId="0" applyFont="1" applyBorder="1" applyAlignment="1">
      <alignment horizontal="center" wrapText="1"/>
    </xf>
    <xf numFmtId="0" fontId="3" fillId="0" borderId="9" xfId="0" applyFont="1" applyBorder="1" applyAlignment="1">
      <alignment horizontal="center" wrapText="1"/>
    </xf>
    <xf numFmtId="0" fontId="3" fillId="0" borderId="9" xfId="0" applyFont="1" applyBorder="1" applyAlignment="1">
      <alignment horizontal="center"/>
    </xf>
    <xf numFmtId="2" fontId="0" fillId="2" borderId="9" xfId="0" applyNumberFormat="1" applyFill="1" applyBorder="1" applyAlignment="1">
      <alignment horizontal="center" vertical="center"/>
    </xf>
    <xf numFmtId="171" fontId="0" fillId="2" borderId="9" xfId="0" applyNumberFormat="1" applyFill="1" applyBorder="1" applyAlignment="1">
      <alignment horizontal="center"/>
    </xf>
    <xf numFmtId="10" fontId="0" fillId="2" borderId="9" xfId="1" applyNumberFormat="1" applyFont="1" applyFill="1" applyBorder="1" applyAlignment="1">
      <alignment horizontal="center"/>
    </xf>
    <xf numFmtId="0" fontId="2" fillId="0" borderId="0" xfId="0" applyFont="1"/>
    <xf numFmtId="0" fontId="6" fillId="0" borderId="15" xfId="0" applyFont="1" applyBorder="1"/>
    <xf numFmtId="0" fontId="6" fillId="0" borderId="16" xfId="0" applyFont="1" applyBorder="1"/>
    <xf numFmtId="0" fontId="13" fillId="0" borderId="10" xfId="0" applyFont="1" applyBorder="1" applyAlignment="1">
      <alignment horizontal="center"/>
    </xf>
    <xf numFmtId="0" fontId="0" fillId="0" borderId="12" xfId="0" applyBorder="1"/>
    <xf numFmtId="0" fontId="0" fillId="0" borderId="12" xfId="0" applyBorder="1" applyAlignment="1">
      <alignment horizontal="center"/>
    </xf>
    <xf numFmtId="165" fontId="0" fillId="0" borderId="0" xfId="1" applyNumberFormat="1" applyFont="1" applyAlignment="1">
      <alignment horizontal="center"/>
    </xf>
    <xf numFmtId="5" fontId="0" fillId="0" borderId="0" xfId="2" applyNumberFormat="1" applyFont="1" applyFill="1" applyAlignment="1">
      <alignment horizontal="center"/>
    </xf>
    <xf numFmtId="167" fontId="9" fillId="4" borderId="3" xfId="0" applyNumberFormat="1" applyFont="1" applyFill="1" applyBorder="1" applyAlignment="1">
      <alignment horizontal="center"/>
    </xf>
    <xf numFmtId="3" fontId="21" fillId="0" borderId="0" xfId="0" applyNumberFormat="1" applyFont="1" applyAlignment="1">
      <alignment horizontal="center"/>
    </xf>
    <xf numFmtId="0" fontId="0" fillId="4" borderId="2" xfId="0" applyFill="1" applyBorder="1" applyAlignment="1">
      <alignment horizontal="center"/>
    </xf>
    <xf numFmtId="167" fontId="9" fillId="4" borderId="2" xfId="0" applyNumberFormat="1" applyFont="1" applyFill="1" applyBorder="1" applyAlignment="1">
      <alignment horizontal="center"/>
    </xf>
    <xf numFmtId="167" fontId="9" fillId="4" borderId="4" xfId="0" applyNumberFormat="1" applyFont="1" applyFill="1" applyBorder="1" applyAlignment="1">
      <alignment horizontal="center"/>
    </xf>
    <xf numFmtId="0" fontId="0" fillId="4" borderId="0" xfId="0" applyFill="1"/>
    <xf numFmtId="0" fontId="3" fillId="4" borderId="0" xfId="0" applyFont="1" applyFill="1"/>
    <xf numFmtId="0" fontId="3" fillId="4" borderId="15" xfId="0" applyFont="1" applyFill="1" applyBorder="1" applyAlignment="1">
      <alignment horizontal="center"/>
    </xf>
    <xf numFmtId="0" fontId="3" fillId="4" borderId="13" xfId="0" applyFont="1" applyFill="1" applyBorder="1" applyAlignment="1">
      <alignment horizontal="center"/>
    </xf>
    <xf numFmtId="0" fontId="3" fillId="4" borderId="14" xfId="0" applyFont="1" applyFill="1" applyBorder="1" applyAlignment="1">
      <alignment horizontal="center"/>
    </xf>
    <xf numFmtId="0" fontId="10" fillId="3" borderId="10" xfId="0" applyFont="1" applyFill="1" applyBorder="1" applyAlignment="1">
      <alignment horizontal="center"/>
    </xf>
    <xf numFmtId="0" fontId="10" fillId="3" borderId="11" xfId="0" applyFont="1" applyFill="1" applyBorder="1" applyAlignment="1">
      <alignment horizontal="center"/>
    </xf>
    <xf numFmtId="0" fontId="10" fillId="3" borderId="12" xfId="0" applyFont="1" applyFill="1" applyBorder="1" applyAlignment="1">
      <alignment horizontal="center"/>
    </xf>
    <xf numFmtId="0" fontId="3" fillId="13" borderId="1" xfId="0" applyFont="1" applyFill="1" applyBorder="1" applyAlignment="1">
      <alignment horizontal="center"/>
    </xf>
    <xf numFmtId="0" fontId="10" fillId="14" borderId="1" xfId="0" applyFont="1" applyFill="1" applyBorder="1" applyAlignment="1">
      <alignment horizontal="center" wrapText="1"/>
    </xf>
    <xf numFmtId="0" fontId="10" fillId="14" borderId="1" xfId="0" applyFont="1" applyFill="1" applyBorder="1" applyAlignment="1">
      <alignment horizontal="center"/>
    </xf>
    <xf numFmtId="167" fontId="0" fillId="0" borderId="0" xfId="1" applyNumberFormat="1" applyFont="1" applyAlignment="1">
      <alignment horizontal="center"/>
    </xf>
    <xf numFmtId="179" fontId="0" fillId="0" borderId="0" xfId="0" applyNumberFormat="1" applyAlignment="1">
      <alignment horizontal="center"/>
    </xf>
    <xf numFmtId="166" fontId="0" fillId="0" borderId="0" xfId="2" applyNumberFormat="1" applyFont="1" applyFill="1" applyAlignment="1">
      <alignment horizontal="center"/>
    </xf>
    <xf numFmtId="166" fontId="21" fillId="0" borderId="0" xfId="2" applyNumberFormat="1" applyFont="1" applyBorder="1"/>
    <xf numFmtId="166" fontId="21" fillId="0" borderId="17" xfId="2" applyNumberFormat="1" applyFont="1" applyBorder="1"/>
    <xf numFmtId="166" fontId="21" fillId="0" borderId="2" xfId="2" applyNumberFormat="1" applyFont="1" applyBorder="1"/>
    <xf numFmtId="166" fontId="21" fillId="0" borderId="3" xfId="2" applyNumberFormat="1" applyFont="1" applyBorder="1"/>
    <xf numFmtId="166" fontId="21" fillId="0" borderId="4" xfId="2" applyNumberFormat="1" applyFont="1" applyBorder="1"/>
  </cellXfs>
  <cellStyles count="6">
    <cellStyle name="Comma" xfId="2" builtinId="3"/>
    <cellStyle name="Currency" xfId="4" builtinId="4"/>
    <cellStyle name="Hyperlink" xfId="3" builtinId="8"/>
    <cellStyle name="Normal" xfId="0" builtinId="0"/>
    <cellStyle name="Normal 2" xfId="5" xr:uid="{75FD0C00-FE7A-493D-9AA4-39178FA4A861}"/>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VELCO 2024 Long Range Transmission Plan</a:t>
            </a:r>
          </a:p>
          <a:p>
            <a:pPr>
              <a:defRPr/>
            </a:pPr>
            <a:r>
              <a:rPr lang="en-US"/>
              <a:t>Statewide</a:t>
            </a:r>
            <a:r>
              <a:rPr lang="en-US" baseline="0"/>
              <a:t> Load Forecast</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881417442409677"/>
          <c:y val="0.15602591792656587"/>
          <c:w val="0.84448119383710296"/>
          <c:h val="0.71152372692074395"/>
        </c:manualLayout>
      </c:layout>
      <c:lineChart>
        <c:grouping val="standard"/>
        <c:varyColors val="0"/>
        <c:ser>
          <c:idx val="0"/>
          <c:order val="0"/>
          <c:tx>
            <c:v>BAU (Continued Growth)</c:v>
          </c:tx>
          <c:spPr>
            <a:ln w="28575" cap="rnd">
              <a:solidFill>
                <a:schemeClr val="accent1"/>
              </a:solidFill>
              <a:round/>
            </a:ln>
            <a:effectLst/>
          </c:spPr>
          <c:marker>
            <c:symbol val="none"/>
          </c:marker>
          <c:cat>
            <c:numRef>
              <c:f>'Load Forecast'!$A$6:$A$16</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'Load Forecast'!$G$6:$G$16</c:f>
              <c:numCache>
                <c:formatCode>#,##0</c:formatCode>
                <c:ptCount val="11"/>
                <c:pt idx="0">
                  <c:v>6071698.8867315007</c:v>
                </c:pt>
                <c:pt idx="1">
                  <c:v>6114967.8152850615</c:v>
                </c:pt>
                <c:pt idx="2">
                  <c:v>6163671.8652282413</c:v>
                </c:pt>
                <c:pt idx="3">
                  <c:v>6225730.3239021655</c:v>
                </c:pt>
                <c:pt idx="4">
                  <c:v>6273575.0955762872</c:v>
                </c:pt>
                <c:pt idx="5">
                  <c:v>6335843.3002838604</c:v>
                </c:pt>
                <c:pt idx="6">
                  <c:v>6409069.6046545431</c:v>
                </c:pt>
                <c:pt idx="7">
                  <c:v>6507710.9787170896</c:v>
                </c:pt>
                <c:pt idx="8">
                  <c:v>6596559.2138399016</c:v>
                </c:pt>
                <c:pt idx="9">
                  <c:v>6698574.1219204003</c:v>
                </c:pt>
                <c:pt idx="10">
                  <c:v>6802705.16354731</c:v>
                </c:pt>
              </c:numCache>
            </c:numRef>
          </c:val>
          <c:smooth val="0"/>
          <c:extLst>
            <c:ext xmlns:c16="http://schemas.microsoft.com/office/drawing/2014/chart" uri="{C3380CC4-5D6E-409C-BE32-E72D297353CC}">
              <c16:uniqueId val="{00000000-B684-4E47-B0B2-36C1B5E8F4CE}"/>
            </c:ext>
          </c:extLst>
        </c:ser>
        <c:ser>
          <c:idx val="2"/>
          <c:order val="1"/>
          <c:tx>
            <c:v>Policy (VT Roadmap)</c:v>
          </c:tx>
          <c:spPr>
            <a:ln w="28575" cap="rnd">
              <a:solidFill>
                <a:schemeClr val="accent3"/>
              </a:solidFill>
              <a:round/>
            </a:ln>
            <a:effectLst/>
          </c:spPr>
          <c:marker>
            <c:symbol val="none"/>
          </c:marker>
          <c:cat>
            <c:numRef>
              <c:f>'Load Forecast'!$A$6:$A$16</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'Load Forecast'!$O$6:$O$16</c:f>
              <c:numCache>
                <c:formatCode>#,##0</c:formatCode>
                <c:ptCount val="11"/>
                <c:pt idx="0">
                  <c:v>6159986.0799216339</c:v>
                </c:pt>
                <c:pt idx="1">
                  <c:v>6269324.550796546</c:v>
                </c:pt>
                <c:pt idx="2">
                  <c:v>6397255.576150001</c:v>
                </c:pt>
                <c:pt idx="3">
                  <c:v>6539584.3123036427</c:v>
                </c:pt>
                <c:pt idx="4">
                  <c:v>6681807.0928948838</c:v>
                </c:pt>
                <c:pt idx="5">
                  <c:v>6832361.4069560561</c:v>
                </c:pt>
                <c:pt idx="6">
                  <c:v>6986003.7232129313</c:v>
                </c:pt>
                <c:pt idx="7">
                  <c:v>7150575.5696815532</c:v>
                </c:pt>
                <c:pt idx="8">
                  <c:v>7289662.1653458681</c:v>
                </c:pt>
                <c:pt idx="9">
                  <c:v>7438434.637711158</c:v>
                </c:pt>
                <c:pt idx="10">
                  <c:v>7566061.3169552684</c:v>
                </c:pt>
              </c:numCache>
            </c:numRef>
          </c:val>
          <c:smooth val="0"/>
          <c:extLst>
            <c:ext xmlns:c16="http://schemas.microsoft.com/office/drawing/2014/chart" uri="{C3380CC4-5D6E-409C-BE32-E72D297353CC}">
              <c16:uniqueId val="{00000002-B684-4E47-B0B2-36C1B5E8F4CE}"/>
            </c:ext>
          </c:extLst>
        </c:ser>
        <c:dLbls>
          <c:showLegendKey val="0"/>
          <c:showVal val="0"/>
          <c:showCatName val="0"/>
          <c:showSerName val="0"/>
          <c:showPercent val="0"/>
          <c:showBubbleSize val="0"/>
        </c:dLbls>
        <c:smooth val="0"/>
        <c:axId val="1455221232"/>
        <c:axId val="1455220872"/>
      </c:lineChart>
      <c:catAx>
        <c:axId val="1455221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1455220872"/>
        <c:crosses val="autoZero"/>
        <c:auto val="1"/>
        <c:lblAlgn val="ctr"/>
        <c:lblOffset val="100"/>
        <c:noMultiLvlLbl val="0"/>
      </c:catAx>
      <c:valAx>
        <c:axId val="14552208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600"/>
                  <a:t>MWh</a:t>
                </a:r>
              </a:p>
            </c:rich>
          </c:tx>
          <c:layout>
            <c:manualLayout>
              <c:xMode val="edge"/>
              <c:yMode val="edge"/>
              <c:x val="1.1336310751588856E-2"/>
              <c:y val="0.4129036354257013"/>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55221232"/>
        <c:crosses val="autoZero"/>
        <c:crossBetween val="between"/>
      </c:valAx>
      <c:spPr>
        <a:noFill/>
        <a:ln>
          <a:noFill/>
        </a:ln>
        <a:effectLst/>
      </c:spPr>
    </c:plotArea>
    <c:legend>
      <c:legendPos val="b"/>
      <c:layout>
        <c:manualLayout>
          <c:xMode val="edge"/>
          <c:yMode val="edge"/>
          <c:x val="0.65570426703495777"/>
          <c:y val="0.46639138790156631"/>
          <c:w val="0.25806742835960994"/>
          <c:h val="0.15347902246560433"/>
        </c:manualLayout>
      </c:layout>
      <c:overlay val="0"/>
      <c:spPr>
        <a:solidFill>
          <a:schemeClr val="lt1"/>
        </a:solidFill>
        <a:ln w="19050" cap="flat" cmpd="sng" algn="ctr">
          <a:solidFill>
            <a:schemeClr val="dk1"/>
          </a:solidFill>
          <a:prstDash val="solid"/>
          <a:miter lim="800000"/>
        </a:ln>
        <a:effectLst/>
      </c:spPr>
      <c:txPr>
        <a:bodyPr rot="0" spcFirstLastPara="1" vertOverflow="ellipsis" vert="horz" wrap="square" anchor="ctr" anchorCtr="1"/>
        <a:lstStyle/>
        <a:p>
          <a:pPr>
            <a:defRPr sz="1200" b="0" i="0" u="none" strike="noStrike" kern="1200" baseline="0">
              <a:solidFill>
                <a:schemeClr val="dk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Vermont</a:t>
            </a:r>
            <a:r>
              <a:rPr lang="en-US" baseline="0"/>
              <a:t> Renewable Energy Standard Requirements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areaChart>
        <c:grouping val="stacked"/>
        <c:varyColors val="0"/>
        <c:ser>
          <c:idx val="0"/>
          <c:order val="0"/>
          <c:tx>
            <c:strRef>
              <c:f>Requirements!$C$2</c:f>
              <c:strCache>
                <c:ptCount val="1"/>
                <c:pt idx="0">
                  <c:v>Net Tier I</c:v>
                </c:pt>
              </c:strCache>
            </c:strRef>
          </c:tx>
          <c:spPr>
            <a:solidFill>
              <a:schemeClr val="accent1"/>
            </a:solidFill>
            <a:ln>
              <a:noFill/>
            </a:ln>
            <a:effectLst/>
          </c:spPr>
          <c:cat>
            <c:numRef>
              <c:f>Requirements!$A$3:$A$13</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Requirements!$C$3:$C$13</c:f>
              <c:numCache>
                <c:formatCode>0.0%</c:formatCode>
                <c:ptCount val="11"/>
                <c:pt idx="0">
                  <c:v>0.61156576192908219</c:v>
                </c:pt>
                <c:pt idx="1">
                  <c:v>0.59407781377448576</c:v>
                </c:pt>
                <c:pt idx="2">
                  <c:v>0.54903092371891771</c:v>
                </c:pt>
                <c:pt idx="3">
                  <c:v>0.5678452408045942</c:v>
                </c:pt>
                <c:pt idx="4">
                  <c:v>0.55035729264999778</c:v>
                </c:pt>
                <c:pt idx="5">
                  <c:v>0.73632529097642674</c:v>
                </c:pt>
                <c:pt idx="6">
                  <c:v>0.72414281854615048</c:v>
                </c:pt>
                <c:pt idx="7">
                  <c:v>0.67065635353954178</c:v>
                </c:pt>
                <c:pt idx="8">
                  <c:v>0.66866680014292179</c:v>
                </c:pt>
                <c:pt idx="9">
                  <c:v>0.67198272247062174</c:v>
                </c:pt>
                <c:pt idx="10">
                  <c:v>0.65883565594552529</c:v>
                </c:pt>
              </c:numCache>
            </c:numRef>
          </c:val>
          <c:extLst>
            <c:ext xmlns:c16="http://schemas.microsoft.com/office/drawing/2014/chart" uri="{C3380CC4-5D6E-409C-BE32-E72D297353CC}">
              <c16:uniqueId val="{00000000-28F4-4E7B-810A-E450890BF614}"/>
            </c:ext>
          </c:extLst>
        </c:ser>
        <c:ser>
          <c:idx val="1"/>
          <c:order val="1"/>
          <c:tx>
            <c:strRef>
              <c:f>Requirements!$D$2</c:f>
              <c:strCache>
                <c:ptCount val="1"/>
                <c:pt idx="0">
                  <c:v>Tier II</c:v>
                </c:pt>
              </c:strCache>
            </c:strRef>
          </c:tx>
          <c:spPr>
            <a:solidFill>
              <a:schemeClr val="accent2"/>
            </a:solidFill>
            <a:ln>
              <a:noFill/>
            </a:ln>
            <a:effectLst/>
          </c:spPr>
          <c:cat>
            <c:numRef>
              <c:f>Requirements!$A$3:$A$13</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Requirements!$D$3:$D$13</c:f>
              <c:numCache>
                <c:formatCode>0.0%</c:formatCode>
                <c:ptCount val="11"/>
                <c:pt idx="0">
                  <c:v>5.2638284598395417E-2</c:v>
                </c:pt>
                <c:pt idx="1">
                  <c:v>7.0126232752991749E-2</c:v>
                </c:pt>
                <c:pt idx="2">
                  <c:v>8.7614180907588088E-2</c:v>
                </c:pt>
                <c:pt idx="3">
                  <c:v>0.10510212906218444</c:v>
                </c:pt>
                <c:pt idx="4">
                  <c:v>0.12259007721678079</c:v>
                </c:pt>
                <c:pt idx="5">
                  <c:v>0.14007802537137712</c:v>
                </c:pt>
                <c:pt idx="6">
                  <c:v>0.15756597352597346</c:v>
                </c:pt>
                <c:pt idx="7">
                  <c:v>0.17660376115636744</c:v>
                </c:pt>
                <c:pt idx="8">
                  <c:v>0.17859331455298749</c:v>
                </c:pt>
                <c:pt idx="9">
                  <c:v>0.18058286794960751</c:v>
                </c:pt>
                <c:pt idx="10">
                  <c:v>0.18151132620136351</c:v>
                </c:pt>
              </c:numCache>
            </c:numRef>
          </c:val>
          <c:extLst>
            <c:ext xmlns:c16="http://schemas.microsoft.com/office/drawing/2014/chart" uri="{C3380CC4-5D6E-409C-BE32-E72D297353CC}">
              <c16:uniqueId val="{00000001-28F4-4E7B-810A-E450890BF614}"/>
            </c:ext>
          </c:extLst>
        </c:ser>
        <c:ser>
          <c:idx val="3"/>
          <c:order val="2"/>
          <c:tx>
            <c:strRef>
              <c:f>Requirements!$F$2</c:f>
              <c:strCache>
                <c:ptCount val="1"/>
                <c:pt idx="0">
                  <c:v>Tier IV</c:v>
                </c:pt>
              </c:strCache>
            </c:strRef>
          </c:tx>
          <c:spPr>
            <a:solidFill>
              <a:schemeClr val="accent4"/>
            </a:solidFill>
            <a:ln>
              <a:noFill/>
            </a:ln>
            <a:effectLst/>
          </c:spPr>
          <c:cat>
            <c:numRef>
              <c:f>Requirements!$A$3:$A$13</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Requirements!$F$3:$F$13</c:f>
              <c:numCache>
                <c:formatCode>0.0%</c:formatCode>
                <c:ptCount val="11"/>
                <c:pt idx="0">
                  <c:v>0</c:v>
                </c:pt>
                <c:pt idx="1">
                  <c:v>0</c:v>
                </c:pt>
                <c:pt idx="2">
                  <c:v>2.7558941900971794E-2</c:v>
                </c:pt>
                <c:pt idx="3">
                  <c:v>2.7558941900971794E-2</c:v>
                </c:pt>
                <c:pt idx="4">
                  <c:v>2.7558941900971794E-2</c:v>
                </c:pt>
                <c:pt idx="5">
                  <c:v>7.9826508926555614E-2</c:v>
                </c:pt>
                <c:pt idx="6">
                  <c:v>7.9826508926555614E-2</c:v>
                </c:pt>
                <c:pt idx="7">
                  <c:v>0.11427518630277035</c:v>
                </c:pt>
                <c:pt idx="8">
                  <c:v>0.11427518630277035</c:v>
                </c:pt>
                <c:pt idx="9">
                  <c:v>0.11427518630277035</c:v>
                </c:pt>
                <c:pt idx="10">
                  <c:v>0.15965301785311123</c:v>
                </c:pt>
              </c:numCache>
            </c:numRef>
          </c:val>
          <c:extLst>
            <c:ext xmlns:c16="http://schemas.microsoft.com/office/drawing/2014/chart" uri="{C3380CC4-5D6E-409C-BE32-E72D297353CC}">
              <c16:uniqueId val="{00000003-28F4-4E7B-810A-E450890BF614}"/>
            </c:ext>
          </c:extLst>
        </c:ser>
        <c:dLbls>
          <c:showLegendKey val="0"/>
          <c:showVal val="0"/>
          <c:showCatName val="0"/>
          <c:showSerName val="0"/>
          <c:showPercent val="0"/>
          <c:showBubbleSize val="0"/>
        </c:dLbls>
        <c:axId val="684950448"/>
        <c:axId val="684950808"/>
      </c:areaChart>
      <c:catAx>
        <c:axId val="68495044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4950808"/>
        <c:crosses val="autoZero"/>
        <c:auto val="1"/>
        <c:lblAlgn val="ctr"/>
        <c:lblOffset val="100"/>
        <c:noMultiLvlLbl val="0"/>
      </c:catAx>
      <c:valAx>
        <c:axId val="684950808"/>
        <c:scaling>
          <c:orientation val="minMax"/>
          <c:max val="1.1000000000000001"/>
          <c:min val="0"/>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495044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chemeClr val="tx1">
                    <a:lumMod val="65000"/>
                    <a:lumOff val="35000"/>
                  </a:schemeClr>
                </a:solidFill>
                <a:latin typeface="+mn-lt"/>
                <a:ea typeface="+mn-ea"/>
                <a:cs typeface="+mn-cs"/>
              </a:defRPr>
            </a:pPr>
            <a:r>
              <a:rPr lang="en-US" sz="1800" b="1"/>
              <a:t>Tier I REC Prices</a:t>
            </a:r>
          </a:p>
        </c:rich>
      </c:tx>
      <c:overlay val="0"/>
      <c:spPr>
        <a:noFill/>
        <a:ln>
          <a:noFill/>
        </a:ln>
        <a:effectLst/>
      </c:spPr>
      <c:txPr>
        <a:bodyPr rot="0" spcFirstLastPara="1" vertOverflow="ellipsis" vert="horz" wrap="square" anchor="ctr" anchorCtr="1"/>
        <a:lstStyle/>
        <a:p>
          <a:pPr>
            <a:defRPr sz="18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'REC prices'!$A$2:$A$12</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'REC prices'!$B$2:$B$12</c:f>
              <c:numCache>
                <c:formatCode>"$"#,##0.00</c:formatCode>
                <c:ptCount val="11"/>
                <c:pt idx="0">
                  <c:v>6</c:v>
                </c:pt>
                <c:pt idx="1">
                  <c:v>6</c:v>
                </c:pt>
                <c:pt idx="2">
                  <c:v>6</c:v>
                </c:pt>
                <c:pt idx="3">
                  <c:v>6</c:v>
                </c:pt>
                <c:pt idx="4">
                  <c:v>7.125</c:v>
                </c:pt>
                <c:pt idx="5">
                  <c:v>7.125</c:v>
                </c:pt>
                <c:pt idx="6">
                  <c:v>7.125</c:v>
                </c:pt>
                <c:pt idx="7">
                  <c:v>7.125</c:v>
                </c:pt>
                <c:pt idx="8">
                  <c:v>7.125</c:v>
                </c:pt>
                <c:pt idx="9">
                  <c:v>7.125</c:v>
                </c:pt>
                <c:pt idx="10">
                  <c:v>7.125</c:v>
                </c:pt>
              </c:numCache>
            </c:numRef>
          </c:val>
          <c:smooth val="0"/>
          <c:extLst>
            <c:ext xmlns:c16="http://schemas.microsoft.com/office/drawing/2014/chart" uri="{C3380CC4-5D6E-409C-BE32-E72D297353CC}">
              <c16:uniqueId val="{00000000-2389-43AC-858C-6E9A1F20B2B5}"/>
            </c:ext>
          </c:extLst>
        </c:ser>
        <c:dLbls>
          <c:showLegendKey val="0"/>
          <c:showVal val="0"/>
          <c:showCatName val="0"/>
          <c:showSerName val="0"/>
          <c:showPercent val="0"/>
          <c:showBubbleSize val="0"/>
        </c:dLbls>
        <c:smooth val="0"/>
        <c:axId val="987656752"/>
        <c:axId val="632585888"/>
      </c:lineChart>
      <c:catAx>
        <c:axId val="987656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632585888"/>
        <c:crosses val="autoZero"/>
        <c:auto val="1"/>
        <c:lblAlgn val="ctr"/>
        <c:lblOffset val="100"/>
        <c:noMultiLvlLbl val="0"/>
      </c:catAx>
      <c:valAx>
        <c:axId val="632585888"/>
        <c:scaling>
          <c:orientation val="minMax"/>
          <c:max val="10"/>
          <c:min val="0"/>
        </c:scaling>
        <c:delete val="0"/>
        <c:axPos val="l"/>
        <c:majorGridlines>
          <c:spPr>
            <a:ln w="9525" cap="flat" cmpd="sng" algn="ctr">
              <a:solidFill>
                <a:schemeClr val="tx1">
                  <a:lumMod val="15000"/>
                  <a:lumOff val="85000"/>
                </a:schemeClr>
              </a:solidFill>
              <a:round/>
            </a:ln>
            <a:effectLst/>
          </c:spPr>
        </c:majorGridlines>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9876567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chemeClr val="tx1">
                    <a:lumMod val="65000"/>
                    <a:lumOff val="35000"/>
                  </a:schemeClr>
                </a:solidFill>
                <a:latin typeface="+mn-lt"/>
                <a:ea typeface="+mn-ea"/>
                <a:cs typeface="+mn-cs"/>
              </a:defRPr>
            </a:pPr>
            <a:r>
              <a:rPr lang="en-US" sz="1800" b="1"/>
              <a:t>Tier II REC Prices</a:t>
            </a:r>
          </a:p>
        </c:rich>
      </c:tx>
      <c:overlay val="0"/>
      <c:spPr>
        <a:noFill/>
        <a:ln>
          <a:noFill/>
        </a:ln>
        <a:effectLst/>
      </c:spPr>
      <c:txPr>
        <a:bodyPr rot="0" spcFirstLastPara="1" vertOverflow="ellipsis" vert="horz" wrap="square" anchor="ctr" anchorCtr="1"/>
        <a:lstStyle/>
        <a:p>
          <a:pPr>
            <a:defRPr sz="18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'REC prices'!$A$2:$A$12</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'REC prices'!$C$2:$C$12</c:f>
              <c:numCache>
                <c:formatCode>"$"#,##0.00</c:formatCode>
                <c:ptCount val="11"/>
                <c:pt idx="0">
                  <c:v>45.884421229755311</c:v>
                </c:pt>
                <c:pt idx="1">
                  <c:v>45.884421229755311</c:v>
                </c:pt>
                <c:pt idx="2">
                  <c:v>44.601937406563394</c:v>
                </c:pt>
                <c:pt idx="3">
                  <c:v>44.174442798832757</c:v>
                </c:pt>
                <c:pt idx="4">
                  <c:v>42.464464367910196</c:v>
                </c:pt>
                <c:pt idx="5">
                  <c:v>41.609475152448915</c:v>
                </c:pt>
                <c:pt idx="6">
                  <c:v>39.899496721526361</c:v>
                </c:pt>
                <c:pt idx="7">
                  <c:v>43.502665558113179</c:v>
                </c:pt>
                <c:pt idx="8">
                  <c:v>43.502665558113179</c:v>
                </c:pt>
                <c:pt idx="9">
                  <c:v>43.502665558113179</c:v>
                </c:pt>
                <c:pt idx="10">
                  <c:v>43.502665558113179</c:v>
                </c:pt>
              </c:numCache>
            </c:numRef>
          </c:val>
          <c:smooth val="0"/>
          <c:extLst>
            <c:ext xmlns:c16="http://schemas.microsoft.com/office/drawing/2014/chart" uri="{C3380CC4-5D6E-409C-BE32-E72D297353CC}">
              <c16:uniqueId val="{00000000-BBFE-4ADB-92F4-B33735FB5480}"/>
            </c:ext>
          </c:extLst>
        </c:ser>
        <c:dLbls>
          <c:showLegendKey val="0"/>
          <c:showVal val="0"/>
          <c:showCatName val="0"/>
          <c:showSerName val="0"/>
          <c:showPercent val="0"/>
          <c:showBubbleSize val="0"/>
        </c:dLbls>
        <c:smooth val="0"/>
        <c:axId val="987656752"/>
        <c:axId val="632585888"/>
      </c:lineChart>
      <c:catAx>
        <c:axId val="987656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632585888"/>
        <c:crosses val="autoZero"/>
        <c:auto val="1"/>
        <c:lblAlgn val="ctr"/>
        <c:lblOffset val="100"/>
        <c:noMultiLvlLbl val="0"/>
      </c:catAx>
      <c:valAx>
        <c:axId val="632585888"/>
        <c:scaling>
          <c:orientation val="minMax"/>
          <c:max val="50"/>
          <c:min val="0"/>
        </c:scaling>
        <c:delete val="0"/>
        <c:axPos val="l"/>
        <c:majorGridlines>
          <c:spPr>
            <a:ln w="9525" cap="flat" cmpd="sng" algn="ctr">
              <a:solidFill>
                <a:schemeClr val="tx1">
                  <a:lumMod val="15000"/>
                  <a:lumOff val="85000"/>
                </a:schemeClr>
              </a:solidFill>
              <a:round/>
            </a:ln>
            <a:effectLst/>
          </c:spPr>
        </c:majorGridlines>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9876567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chemeClr val="tx1">
                    <a:lumMod val="65000"/>
                    <a:lumOff val="35000"/>
                  </a:schemeClr>
                </a:solidFill>
                <a:latin typeface="+mn-lt"/>
                <a:ea typeface="+mn-ea"/>
                <a:cs typeface="+mn-cs"/>
              </a:defRPr>
            </a:pPr>
            <a:r>
              <a:rPr lang="en-US" sz="1800" b="1"/>
              <a:t>Tier IV REC Prices</a:t>
            </a:r>
          </a:p>
        </c:rich>
      </c:tx>
      <c:overlay val="0"/>
      <c:spPr>
        <a:noFill/>
        <a:ln>
          <a:noFill/>
        </a:ln>
        <a:effectLst/>
      </c:spPr>
      <c:txPr>
        <a:bodyPr rot="0" spcFirstLastPara="1" vertOverflow="ellipsis" vert="horz" wrap="square" anchor="ctr" anchorCtr="1"/>
        <a:lstStyle/>
        <a:p>
          <a:pPr>
            <a:defRPr sz="18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2647681539807523"/>
          <c:y val="0.1909213141566509"/>
          <c:w val="0.84296762904636924"/>
          <c:h val="0.68499723350356156"/>
        </c:manualLayout>
      </c:layout>
      <c:lineChart>
        <c:grouping val="standard"/>
        <c:varyColors val="0"/>
        <c:ser>
          <c:idx val="0"/>
          <c:order val="0"/>
          <c:spPr>
            <a:ln w="28575" cap="rnd">
              <a:solidFill>
                <a:schemeClr val="accent1"/>
              </a:solidFill>
              <a:round/>
            </a:ln>
            <a:effectLst/>
          </c:spPr>
          <c:marker>
            <c:symbol val="none"/>
          </c:marker>
          <c:cat>
            <c:numRef>
              <c:f>'REC prices'!$A$2:$A$12</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'REC prices'!$D$2:$D$12</c:f>
              <c:numCache>
                <c:formatCode>"$"#,##0.00</c:formatCode>
                <c:ptCount val="11"/>
                <c:pt idx="0">
                  <c:v>40.25</c:v>
                </c:pt>
                <c:pt idx="1">
                  <c:v>40.25</c:v>
                </c:pt>
                <c:pt idx="2">
                  <c:v>39.125</c:v>
                </c:pt>
                <c:pt idx="3">
                  <c:v>38.75</c:v>
                </c:pt>
                <c:pt idx="4">
                  <c:v>37.25</c:v>
                </c:pt>
                <c:pt idx="5">
                  <c:v>36.5</c:v>
                </c:pt>
                <c:pt idx="6">
                  <c:v>35</c:v>
                </c:pt>
                <c:pt idx="7">
                  <c:v>38.160714285714285</c:v>
                </c:pt>
                <c:pt idx="8">
                  <c:v>38.160714285714285</c:v>
                </c:pt>
                <c:pt idx="9">
                  <c:v>38.160714285714285</c:v>
                </c:pt>
                <c:pt idx="10">
                  <c:v>38.160714285714285</c:v>
                </c:pt>
              </c:numCache>
            </c:numRef>
          </c:val>
          <c:smooth val="0"/>
          <c:extLst>
            <c:ext xmlns:c16="http://schemas.microsoft.com/office/drawing/2014/chart" uri="{C3380CC4-5D6E-409C-BE32-E72D297353CC}">
              <c16:uniqueId val="{00000000-018F-44B0-9D74-289AA4E67B9E}"/>
            </c:ext>
          </c:extLst>
        </c:ser>
        <c:dLbls>
          <c:showLegendKey val="0"/>
          <c:showVal val="0"/>
          <c:showCatName val="0"/>
          <c:showSerName val="0"/>
          <c:showPercent val="0"/>
          <c:showBubbleSize val="0"/>
        </c:dLbls>
        <c:smooth val="0"/>
        <c:axId val="987656752"/>
        <c:axId val="632585888"/>
      </c:lineChart>
      <c:catAx>
        <c:axId val="987656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632585888"/>
        <c:crosses val="autoZero"/>
        <c:auto val="1"/>
        <c:lblAlgn val="ctr"/>
        <c:lblOffset val="100"/>
        <c:noMultiLvlLbl val="0"/>
      </c:catAx>
      <c:valAx>
        <c:axId val="632585888"/>
        <c:scaling>
          <c:orientation val="minMax"/>
          <c:max val="50"/>
          <c:min val="0"/>
        </c:scaling>
        <c:delete val="0"/>
        <c:axPos val="l"/>
        <c:majorGridlines>
          <c:spPr>
            <a:ln w="9525" cap="flat" cmpd="sng" algn="ctr">
              <a:solidFill>
                <a:schemeClr val="tx1">
                  <a:lumMod val="15000"/>
                  <a:lumOff val="85000"/>
                </a:schemeClr>
              </a:solidFill>
              <a:round/>
            </a:ln>
            <a:effectLst/>
          </c:spPr>
        </c:majorGridlines>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9876567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chemeClr val="tx1">
                    <a:lumMod val="65000"/>
                    <a:lumOff val="35000"/>
                  </a:schemeClr>
                </a:solidFill>
                <a:latin typeface="+mn-lt"/>
                <a:ea typeface="+mn-ea"/>
                <a:cs typeface="+mn-cs"/>
              </a:defRPr>
            </a:pPr>
            <a:r>
              <a:rPr lang="en-US" sz="1800" b="1"/>
              <a:t>Tier V</a:t>
            </a:r>
            <a:r>
              <a:rPr lang="en-US" sz="1800" b="1" baseline="0"/>
              <a:t> </a:t>
            </a:r>
            <a:r>
              <a:rPr lang="en-US" sz="1800" b="1"/>
              <a:t>REC Prices</a:t>
            </a:r>
          </a:p>
        </c:rich>
      </c:tx>
      <c:overlay val="0"/>
      <c:spPr>
        <a:noFill/>
        <a:ln>
          <a:noFill/>
        </a:ln>
        <a:effectLst/>
      </c:spPr>
      <c:txPr>
        <a:bodyPr rot="0" spcFirstLastPara="1" vertOverflow="ellipsis" vert="horz" wrap="square" anchor="ctr" anchorCtr="1"/>
        <a:lstStyle/>
        <a:p>
          <a:pPr>
            <a:defRPr sz="18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'REC prices'!$A$2:$A$12</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'REC prices'!$E$2:$E$12</c:f>
              <c:numCache>
                <c:formatCode>"$"#,##0.00</c:formatCode>
                <c:ptCount val="11"/>
                <c:pt idx="0">
                  <c:v>40.25</c:v>
                </c:pt>
                <c:pt idx="1">
                  <c:v>40.25</c:v>
                </c:pt>
                <c:pt idx="2">
                  <c:v>39.125</c:v>
                </c:pt>
                <c:pt idx="3">
                  <c:v>38.75</c:v>
                </c:pt>
                <c:pt idx="4">
                  <c:v>37.25</c:v>
                </c:pt>
                <c:pt idx="5">
                  <c:v>36.5</c:v>
                </c:pt>
                <c:pt idx="6">
                  <c:v>35</c:v>
                </c:pt>
                <c:pt idx="7">
                  <c:v>38.160714285714285</c:v>
                </c:pt>
                <c:pt idx="8">
                  <c:v>38.160714285714285</c:v>
                </c:pt>
                <c:pt idx="9">
                  <c:v>38.160714285714285</c:v>
                </c:pt>
                <c:pt idx="10">
                  <c:v>38.160714285714285</c:v>
                </c:pt>
              </c:numCache>
            </c:numRef>
          </c:val>
          <c:smooth val="0"/>
          <c:extLst>
            <c:ext xmlns:c16="http://schemas.microsoft.com/office/drawing/2014/chart" uri="{C3380CC4-5D6E-409C-BE32-E72D297353CC}">
              <c16:uniqueId val="{00000000-1BB1-4D45-87E4-EB37D9B1E36C}"/>
            </c:ext>
          </c:extLst>
        </c:ser>
        <c:dLbls>
          <c:showLegendKey val="0"/>
          <c:showVal val="0"/>
          <c:showCatName val="0"/>
          <c:showSerName val="0"/>
          <c:showPercent val="0"/>
          <c:showBubbleSize val="0"/>
        </c:dLbls>
        <c:smooth val="0"/>
        <c:axId val="987656752"/>
        <c:axId val="632585888"/>
      </c:lineChart>
      <c:catAx>
        <c:axId val="987656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632585888"/>
        <c:crosses val="autoZero"/>
        <c:auto val="1"/>
        <c:lblAlgn val="ctr"/>
        <c:lblOffset val="100"/>
        <c:noMultiLvlLbl val="0"/>
      </c:catAx>
      <c:valAx>
        <c:axId val="632585888"/>
        <c:scaling>
          <c:orientation val="minMax"/>
          <c:max val="50"/>
          <c:min val="0"/>
        </c:scaling>
        <c:delete val="0"/>
        <c:axPos val="l"/>
        <c:majorGridlines>
          <c:spPr>
            <a:ln w="9525" cap="flat" cmpd="sng" algn="ctr">
              <a:solidFill>
                <a:schemeClr val="tx1">
                  <a:lumMod val="15000"/>
                  <a:lumOff val="85000"/>
                </a:schemeClr>
              </a:solidFill>
              <a:round/>
            </a:ln>
            <a:effectLst/>
          </c:spPr>
        </c:majorGridlines>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9876567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Annual RES Costs - BAU</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'Rate Impact'!$B$2</c:f>
              <c:strCache>
                <c:ptCount val="1"/>
                <c:pt idx="0">
                  <c:v>Net Tier I</c:v>
                </c:pt>
              </c:strCache>
            </c:strRef>
          </c:tx>
          <c:spPr>
            <a:solidFill>
              <a:schemeClr val="accent1"/>
            </a:solidFill>
            <a:ln>
              <a:noFill/>
            </a:ln>
            <a:effectLst/>
          </c:spPr>
          <c:invertIfNegative val="0"/>
          <c:cat>
            <c:numRef>
              <c:f>'Rate Impact'!$A$3:$A$13</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'Rate Impact'!$B$3:$B$13</c:f>
              <c:numCache>
                <c:formatCode>"$"#,##0</c:formatCode>
                <c:ptCount val="11"/>
                <c:pt idx="0">
                  <c:v>13597563.936342297</c:v>
                </c:pt>
                <c:pt idx="1">
                  <c:v>13093149.879816234</c:v>
                </c:pt>
                <c:pt idx="2">
                  <c:v>11576565.344787147</c:v>
                </c:pt>
                <c:pt idx="3">
                  <c:v>12452878.795287648</c:v>
                </c:pt>
                <c:pt idx="4">
                  <c:v>14171366.918608714</c:v>
                </c:pt>
                <c:pt idx="5">
                  <c:v>22773834.038724903</c:v>
                </c:pt>
                <c:pt idx="6">
                  <c:v>22558375.310004205</c:v>
                </c:pt>
                <c:pt idx="7">
                  <c:v>20528932.47745746</c:v>
                </c:pt>
                <c:pt idx="8">
                  <c:v>20807416.449110139</c:v>
                </c:pt>
                <c:pt idx="9">
                  <c:v>21391351.271243308</c:v>
                </c:pt>
                <c:pt idx="10">
                  <c:v>21191087.289367057</c:v>
                </c:pt>
              </c:numCache>
            </c:numRef>
          </c:val>
          <c:extLst>
            <c:ext xmlns:c16="http://schemas.microsoft.com/office/drawing/2014/chart" uri="{C3380CC4-5D6E-409C-BE32-E72D297353CC}">
              <c16:uniqueId val="{00000000-31CB-490B-96F0-88740810FC8E}"/>
            </c:ext>
          </c:extLst>
        </c:ser>
        <c:ser>
          <c:idx val="1"/>
          <c:order val="1"/>
          <c:tx>
            <c:strRef>
              <c:f>'Rate Impact'!$C$2</c:f>
              <c:strCache>
                <c:ptCount val="1"/>
                <c:pt idx="0">
                  <c:v>Tier II</c:v>
                </c:pt>
              </c:strCache>
            </c:strRef>
          </c:tx>
          <c:spPr>
            <a:solidFill>
              <a:schemeClr val="accent2"/>
            </a:solidFill>
            <a:ln>
              <a:noFill/>
            </a:ln>
            <a:effectLst/>
          </c:spPr>
          <c:invertIfNegative val="0"/>
          <c:cat>
            <c:numRef>
              <c:f>'Rate Impact'!$A$3:$A$13</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'Rate Impact'!$C$3:$C$13</c:f>
              <c:numCache>
                <c:formatCode>"$"#,##0</c:formatCode>
                <c:ptCount val="11"/>
                <c:pt idx="0">
                  <c:v>14664836.028007418</c:v>
                </c:pt>
                <c:pt idx="1">
                  <c:v>19676141.7408888</c:v>
                </c:pt>
                <c:pt idx="2">
                  <c:v>24086164.006837498</c:v>
                </c:pt>
                <c:pt idx="3">
                  <c:v>28904994.995377447</c:v>
                </c:pt>
                <c:pt idx="4">
                  <c:v>32658487.679333974</c:v>
                </c:pt>
                <c:pt idx="5">
                  <c:v>36928925.927821487</c:v>
                </c:pt>
                <c:pt idx="6">
                  <c:v>40292558.300542779</c:v>
                </c:pt>
                <c:pt idx="7">
                  <c:v>49997014.727410033</c:v>
                </c:pt>
                <c:pt idx="8">
                  <c:v>51250550.094722539</c:v>
                </c:pt>
                <c:pt idx="9">
                  <c:v>52622900.47206974</c:v>
                </c:pt>
                <c:pt idx="10">
                  <c:v>53715700.911622837</c:v>
                </c:pt>
              </c:numCache>
            </c:numRef>
          </c:val>
          <c:extLst>
            <c:ext xmlns:c16="http://schemas.microsoft.com/office/drawing/2014/chart" uri="{C3380CC4-5D6E-409C-BE32-E72D297353CC}">
              <c16:uniqueId val="{00000001-31CB-490B-96F0-88740810FC8E}"/>
            </c:ext>
          </c:extLst>
        </c:ser>
        <c:ser>
          <c:idx val="2"/>
          <c:order val="2"/>
          <c:tx>
            <c:strRef>
              <c:f>'Rate Impact'!$D$2</c:f>
              <c:strCache>
                <c:ptCount val="1"/>
                <c:pt idx="0">
                  <c:v>Net Tier III</c:v>
                </c:pt>
              </c:strCache>
            </c:strRef>
          </c:tx>
          <c:spPr>
            <a:solidFill>
              <a:schemeClr val="accent3"/>
            </a:solidFill>
            <a:ln>
              <a:noFill/>
            </a:ln>
            <a:effectLst/>
          </c:spPr>
          <c:invertIfNegative val="0"/>
          <c:cat>
            <c:numRef>
              <c:f>'Rate Impact'!$A$3:$A$13</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'Rate Impact'!$D$3:$D$13</c:f>
              <c:numCache>
                <c:formatCode>"$"#,##0</c:formatCode>
                <c:ptCount val="11"/>
                <c:pt idx="0">
                  <c:v>12361790.4081997</c:v>
                </c:pt>
                <c:pt idx="1">
                  <c:v>8677919.6150277834</c:v>
                </c:pt>
                <c:pt idx="2">
                  <c:v>4374630.3796231821</c:v>
                </c:pt>
                <c:pt idx="3">
                  <c:v>-532992.38150086626</c:v>
                </c:pt>
                <c:pt idx="4">
                  <c:v>-6101884.1924880557</c:v>
                </c:pt>
                <c:pt idx="5">
                  <c:v>-12038634.623013634</c:v>
                </c:pt>
                <c:pt idx="6">
                  <c:v>-19069856.923294909</c:v>
                </c:pt>
                <c:pt idx="7">
                  <c:v>-25449235.111318357</c:v>
                </c:pt>
                <c:pt idx="8">
                  <c:v>-35054555.079107732</c:v>
                </c:pt>
                <c:pt idx="9">
                  <c:v>-44426532.019591197</c:v>
                </c:pt>
                <c:pt idx="10">
                  <c:v>-54084814.705189206</c:v>
                </c:pt>
              </c:numCache>
            </c:numRef>
          </c:val>
          <c:extLst>
            <c:ext xmlns:c16="http://schemas.microsoft.com/office/drawing/2014/chart" uri="{C3380CC4-5D6E-409C-BE32-E72D297353CC}">
              <c16:uniqueId val="{00000002-31CB-490B-96F0-88740810FC8E}"/>
            </c:ext>
          </c:extLst>
        </c:ser>
        <c:ser>
          <c:idx val="3"/>
          <c:order val="3"/>
          <c:tx>
            <c:strRef>
              <c:f>'Rate Impact'!$E$2</c:f>
              <c:strCache>
                <c:ptCount val="1"/>
                <c:pt idx="0">
                  <c:v>Tier IV</c:v>
                </c:pt>
              </c:strCache>
            </c:strRef>
          </c:tx>
          <c:spPr>
            <a:solidFill>
              <a:schemeClr val="accent4"/>
            </a:solidFill>
            <a:ln>
              <a:noFill/>
            </a:ln>
            <a:effectLst/>
          </c:spPr>
          <c:invertIfNegative val="0"/>
          <c:cat>
            <c:numRef>
              <c:f>'Rate Impact'!$A$3:$A$13</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'Rate Impact'!$E$3:$E$13</c:f>
              <c:numCache>
                <c:formatCode>"$"#,##0</c:formatCode>
                <c:ptCount val="11"/>
                <c:pt idx="0">
                  <c:v>0</c:v>
                </c:pt>
                <c:pt idx="1">
                  <c:v>0</c:v>
                </c:pt>
                <c:pt idx="2">
                  <c:v>6645939.7527425122</c:v>
                </c:pt>
                <c:pt idx="3">
                  <c:v>6648513.436142101</c:v>
                </c:pt>
                <c:pt idx="4">
                  <c:v>6440267.6609963002</c:v>
                </c:pt>
                <c:pt idx="5">
                  <c:v>18460541.189508904</c:v>
                </c:pt>
                <c:pt idx="6">
                  <c:v>17906477.820240527</c:v>
                </c:pt>
                <c:pt idx="7">
                  <c:v>28378973.985198457</c:v>
                </c:pt>
                <c:pt idx="8">
                  <c:v>28766425.388837487</c:v>
                </c:pt>
                <c:pt idx="9">
                  <c:v>29211294.319247425</c:v>
                </c:pt>
                <c:pt idx="10">
                  <c:v>41445298.890594706</c:v>
                </c:pt>
              </c:numCache>
            </c:numRef>
          </c:val>
          <c:extLst>
            <c:ext xmlns:c16="http://schemas.microsoft.com/office/drawing/2014/chart" uri="{C3380CC4-5D6E-409C-BE32-E72D297353CC}">
              <c16:uniqueId val="{00000003-31CB-490B-96F0-88740810FC8E}"/>
            </c:ext>
          </c:extLst>
        </c:ser>
        <c:ser>
          <c:idx val="4"/>
          <c:order val="4"/>
          <c:tx>
            <c:strRef>
              <c:f>'Rate Impact'!$F$2</c:f>
              <c:strCache>
                <c:ptCount val="1"/>
                <c:pt idx="0">
                  <c:v>Tier V</c:v>
                </c:pt>
              </c:strCache>
            </c:strRef>
          </c:tx>
          <c:spPr>
            <a:solidFill>
              <a:schemeClr val="accent5"/>
            </a:solidFill>
            <a:ln>
              <a:noFill/>
            </a:ln>
            <a:effectLst/>
          </c:spPr>
          <c:invertIfNegative val="0"/>
          <c:cat>
            <c:numRef>
              <c:f>'Rate Impact'!$A$3:$A$13</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'Rate Impact'!$F$3:$F$13</c:f>
              <c:numCache>
                <c:formatCode>"$"#,##0_);\("$"#,##0\)</c:formatCode>
                <c:ptCount val="11"/>
                <c:pt idx="0">
                  <c:v>604082.80812616367</c:v>
                </c:pt>
                <c:pt idx="1">
                  <c:v>941596.10221973003</c:v>
                </c:pt>
                <c:pt idx="2">
                  <c:v>1208990.6134855943</c:v>
                </c:pt>
                <c:pt idx="3">
                  <c:v>1507822.010160658</c:v>
                </c:pt>
                <c:pt idx="4">
                  <c:v>1597429.9978332806</c:v>
                </c:pt>
                <c:pt idx="5">
                  <c:v>1753973.8207241716</c:v>
                </c:pt>
                <c:pt idx="6">
                  <c:v>1894688.7737888349</c:v>
                </c:pt>
                <c:pt idx="7">
                  <c:v>2378329.6480810819</c:v>
                </c:pt>
                <c:pt idx="8">
                  <c:v>2659839.5922717364</c:v>
                </c:pt>
                <c:pt idx="9">
                  <c:v>2983067.2966899439</c:v>
                </c:pt>
                <c:pt idx="10">
                  <c:v>3312999.8347576554</c:v>
                </c:pt>
              </c:numCache>
            </c:numRef>
          </c:val>
          <c:extLst>
            <c:ext xmlns:c16="http://schemas.microsoft.com/office/drawing/2014/chart" uri="{C3380CC4-5D6E-409C-BE32-E72D297353CC}">
              <c16:uniqueId val="{00000004-31CB-490B-96F0-88740810FC8E}"/>
            </c:ext>
          </c:extLst>
        </c:ser>
        <c:dLbls>
          <c:showLegendKey val="0"/>
          <c:showVal val="0"/>
          <c:showCatName val="0"/>
          <c:showSerName val="0"/>
          <c:showPercent val="0"/>
          <c:showBubbleSize val="0"/>
        </c:dLbls>
        <c:gapWidth val="150"/>
        <c:overlap val="100"/>
        <c:axId val="322240240"/>
        <c:axId val="322240600"/>
      </c:barChart>
      <c:lineChart>
        <c:grouping val="standard"/>
        <c:varyColors val="0"/>
        <c:ser>
          <c:idx val="5"/>
          <c:order val="5"/>
          <c:tx>
            <c:strRef>
              <c:f>'Rate Impact'!$G$2</c:f>
              <c:strCache>
                <c:ptCount val="1"/>
                <c:pt idx="0">
                  <c:v>Total</c:v>
                </c:pt>
              </c:strCache>
            </c:strRef>
          </c:tx>
          <c:spPr>
            <a:ln w="28575" cap="rnd">
              <a:solidFill>
                <a:sysClr val="windowText" lastClr="000000"/>
              </a:solidFill>
              <a:round/>
            </a:ln>
            <a:effectLst/>
          </c:spPr>
          <c:marker>
            <c:symbol val="none"/>
          </c:marker>
          <c:cat>
            <c:numRef>
              <c:f>'Rate Impact'!$A$3:$A$13</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'Rate Impact'!$G$3:$G$13</c:f>
              <c:numCache>
                <c:formatCode>"$"#,##0</c:formatCode>
                <c:ptCount val="11"/>
                <c:pt idx="0">
                  <c:v>41228273.180675581</c:v>
                </c:pt>
                <c:pt idx="1">
                  <c:v>42388807.337952547</c:v>
                </c:pt>
                <c:pt idx="2">
                  <c:v>47892290.097475938</c:v>
                </c:pt>
                <c:pt idx="3">
                  <c:v>48981216.855466992</c:v>
                </c:pt>
                <c:pt idx="4">
                  <c:v>48765668.06428422</c:v>
                </c:pt>
                <c:pt idx="5">
                  <c:v>67878640.35376583</c:v>
                </c:pt>
                <c:pt idx="6">
                  <c:v>63582243.281281434</c:v>
                </c:pt>
                <c:pt idx="7">
                  <c:v>75834015.726828679</c:v>
                </c:pt>
                <c:pt idx="8">
                  <c:v>68429676.44583416</c:v>
                </c:pt>
                <c:pt idx="9">
                  <c:v>61782081.339659214</c:v>
                </c:pt>
                <c:pt idx="10">
                  <c:v>65580272.221153058</c:v>
                </c:pt>
              </c:numCache>
            </c:numRef>
          </c:val>
          <c:smooth val="0"/>
          <c:extLst>
            <c:ext xmlns:c16="http://schemas.microsoft.com/office/drawing/2014/chart" uri="{C3380CC4-5D6E-409C-BE32-E72D297353CC}">
              <c16:uniqueId val="{00000000-3939-4052-B82E-8362AC58A81B}"/>
            </c:ext>
          </c:extLst>
        </c:ser>
        <c:dLbls>
          <c:showLegendKey val="0"/>
          <c:showVal val="0"/>
          <c:showCatName val="0"/>
          <c:showSerName val="0"/>
          <c:showPercent val="0"/>
          <c:showBubbleSize val="0"/>
        </c:dLbls>
        <c:marker val="1"/>
        <c:smooth val="0"/>
        <c:axId val="322240240"/>
        <c:axId val="322240600"/>
      </c:lineChart>
      <c:catAx>
        <c:axId val="322240240"/>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322240600"/>
        <c:crosses val="autoZero"/>
        <c:auto val="1"/>
        <c:lblAlgn val="ctr"/>
        <c:lblOffset val="100"/>
        <c:noMultiLvlLbl val="0"/>
      </c:catAx>
      <c:valAx>
        <c:axId val="322240600"/>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3222402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RES Cost - VT Roadmap</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'Rate Impact'!$J$2</c:f>
              <c:strCache>
                <c:ptCount val="1"/>
                <c:pt idx="0">
                  <c:v>Net Tier I</c:v>
                </c:pt>
              </c:strCache>
            </c:strRef>
          </c:tx>
          <c:spPr>
            <a:solidFill>
              <a:schemeClr val="accent1"/>
            </a:solidFill>
            <a:ln>
              <a:noFill/>
            </a:ln>
            <a:effectLst/>
          </c:spPr>
          <c:invertIfNegative val="0"/>
          <c:cat>
            <c:numRef>
              <c:f>'Rate Impact'!$A$3:$A$13</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'Rate Impact'!$J$3:$J$13</c:f>
              <c:numCache>
                <c:formatCode>"$"#,##0</c:formatCode>
                <c:ptCount val="11"/>
                <c:pt idx="0">
                  <c:v>22402702.238055505</c:v>
                </c:pt>
                <c:pt idx="1">
                  <c:v>22091613.081383623</c:v>
                </c:pt>
                <c:pt idx="2">
                  <c:v>20754828.462953534</c:v>
                </c:pt>
                <c:pt idx="3">
                  <c:v>21891008.352419406</c:v>
                </c:pt>
                <c:pt idx="4">
                  <c:v>25654291.010362141</c:v>
                </c:pt>
                <c:pt idx="5">
                  <c:v>35208623.20555459</c:v>
                </c:pt>
                <c:pt idx="6">
                  <c:v>35317401.989535496</c:v>
                </c:pt>
                <c:pt idx="7">
                  <c:v>33344135.504904609</c:v>
                </c:pt>
                <c:pt idx="8">
                  <c:v>33823134.665448397</c:v>
                </c:pt>
                <c:pt idx="9">
                  <c:v>34619653.333938412</c:v>
                </c:pt>
                <c:pt idx="10">
                  <c:v>34446478.283194892</c:v>
                </c:pt>
              </c:numCache>
            </c:numRef>
          </c:val>
          <c:extLst>
            <c:ext xmlns:c16="http://schemas.microsoft.com/office/drawing/2014/chart" uri="{C3380CC4-5D6E-409C-BE32-E72D297353CC}">
              <c16:uniqueId val="{00000000-F601-4545-8D4D-E76FE1EBDE2E}"/>
            </c:ext>
          </c:extLst>
        </c:ser>
        <c:ser>
          <c:idx val="1"/>
          <c:order val="1"/>
          <c:tx>
            <c:strRef>
              <c:f>'Rate Impact'!$K$2</c:f>
              <c:strCache>
                <c:ptCount val="1"/>
                <c:pt idx="0">
                  <c:v>Tier II</c:v>
                </c:pt>
              </c:strCache>
            </c:strRef>
          </c:tx>
          <c:spPr>
            <a:solidFill>
              <a:schemeClr val="accent2"/>
            </a:solidFill>
            <a:ln>
              <a:noFill/>
            </a:ln>
            <a:effectLst/>
          </c:spPr>
          <c:invertIfNegative val="0"/>
          <c:cat>
            <c:numRef>
              <c:f>'Rate Impact'!$A$3:$A$13</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'Rate Impact'!$K$3:$K$13</c:f>
              <c:numCache>
                <c:formatCode>"$"#,##0</c:formatCode>
                <c:ptCount val="11"/>
                <c:pt idx="0">
                  <c:v>14878074.074830798</c:v>
                </c:pt>
                <c:pt idx="1">
                  <c:v>20172815.65616161</c:v>
                </c:pt>
                <c:pt idx="2">
                  <c:v>24998953.605895575</c:v>
                </c:pt>
                <c:pt idx="3">
                  <c:v>30362165.076965213</c:v>
                </c:pt>
                <c:pt idx="4">
                  <c:v>34783629.954930596</c:v>
                </c:pt>
                <c:pt idx="5">
                  <c:v>39822918.016025148</c:v>
                </c:pt>
                <c:pt idx="6">
                  <c:v>43919629.473354474</c:v>
                </c:pt>
                <c:pt idx="7">
                  <c:v>54935972.607883848</c:v>
                </c:pt>
                <c:pt idx="8">
                  <c:v>56635464.621439725</c:v>
                </c:pt>
                <c:pt idx="9">
                  <c:v>58435123.428335167</c:v>
                </c:pt>
                <c:pt idx="10">
                  <c:v>59743334.013411842</c:v>
                </c:pt>
              </c:numCache>
            </c:numRef>
          </c:val>
          <c:extLst>
            <c:ext xmlns:c16="http://schemas.microsoft.com/office/drawing/2014/chart" uri="{C3380CC4-5D6E-409C-BE32-E72D297353CC}">
              <c16:uniqueId val="{00000001-F601-4545-8D4D-E76FE1EBDE2E}"/>
            </c:ext>
          </c:extLst>
        </c:ser>
        <c:ser>
          <c:idx val="2"/>
          <c:order val="2"/>
          <c:tx>
            <c:strRef>
              <c:f>'Rate Impact'!$L$2</c:f>
              <c:strCache>
                <c:ptCount val="1"/>
                <c:pt idx="0">
                  <c:v>Net Tier III</c:v>
                </c:pt>
              </c:strCache>
            </c:strRef>
          </c:tx>
          <c:spPr>
            <a:solidFill>
              <a:schemeClr val="accent3"/>
            </a:solidFill>
            <a:ln>
              <a:noFill/>
            </a:ln>
            <a:effectLst/>
          </c:spPr>
          <c:invertIfNegative val="0"/>
          <c:cat>
            <c:numRef>
              <c:f>'Rate Impact'!$A$3:$A$13</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'Rate Impact'!$L$3:$L$13</c:f>
              <c:numCache>
                <c:formatCode>"$"#,##0</c:formatCode>
                <c:ptCount val="11"/>
                <c:pt idx="0">
                  <c:v>12541540.392232945</c:v>
                </c:pt>
                <c:pt idx="1">
                  <c:v>8955461.5521725826</c:v>
                </c:pt>
                <c:pt idx="2">
                  <c:v>4745458.8958785571</c:v>
                </c:pt>
                <c:pt idx="3">
                  <c:v>-122792.48821920529</c:v>
                </c:pt>
                <c:pt idx="4">
                  <c:v>-5678137.5091358311</c:v>
                </c:pt>
                <c:pt idx="5">
                  <c:v>-11705500.789348356</c:v>
                </c:pt>
                <c:pt idx="6">
                  <c:v>-18986712.003676437</c:v>
                </c:pt>
                <c:pt idx="7">
                  <c:v>-25714322.584523633</c:v>
                </c:pt>
                <c:pt idx="8">
                  <c:v>-36069557.953210257</c:v>
                </c:pt>
                <c:pt idx="9">
                  <c:v>-46258194.899906337</c:v>
                </c:pt>
                <c:pt idx="10">
                  <c:v>-56914275.527027853</c:v>
                </c:pt>
              </c:numCache>
            </c:numRef>
          </c:val>
          <c:extLst>
            <c:ext xmlns:c16="http://schemas.microsoft.com/office/drawing/2014/chart" uri="{C3380CC4-5D6E-409C-BE32-E72D297353CC}">
              <c16:uniqueId val="{00000002-F601-4545-8D4D-E76FE1EBDE2E}"/>
            </c:ext>
          </c:extLst>
        </c:ser>
        <c:ser>
          <c:idx val="3"/>
          <c:order val="3"/>
          <c:tx>
            <c:strRef>
              <c:f>'Rate Impact'!$M$2</c:f>
              <c:strCache>
                <c:ptCount val="1"/>
                <c:pt idx="0">
                  <c:v>Tier IV</c:v>
                </c:pt>
              </c:strCache>
            </c:strRef>
          </c:tx>
          <c:spPr>
            <a:solidFill>
              <a:schemeClr val="accent4"/>
            </a:solidFill>
            <a:ln>
              <a:noFill/>
            </a:ln>
            <a:effectLst/>
          </c:spPr>
          <c:invertIfNegative val="0"/>
          <c:cat>
            <c:numRef>
              <c:f>'Rate Impact'!$A$3:$A$13</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'Rate Impact'!$M$3:$M$13</c:f>
              <c:numCache>
                <c:formatCode>"$"#,##0</c:formatCode>
                <c:ptCount val="11"/>
                <c:pt idx="0">
                  <c:v>0</c:v>
                </c:pt>
                <c:pt idx="1">
                  <c:v>0</c:v>
                </c:pt>
                <c:pt idx="2">
                  <c:v>6897799.8945462415</c:v>
                </c:pt>
                <c:pt idx="3">
                  <c:v>6983680.934622203</c:v>
                </c:pt>
                <c:pt idx="4">
                  <c:v>6859346.621630528</c:v>
                </c:pt>
                <c:pt idx="5">
                  <c:v>19907229.89772686</c:v>
                </c:pt>
                <c:pt idx="6">
                  <c:v>19518390.100020275</c:v>
                </c:pt>
                <c:pt idx="7">
                  <c:v>31182392.508647125</c:v>
                </c:pt>
                <c:pt idx="8">
                  <c:v>31788924.497076876</c:v>
                </c:pt>
                <c:pt idx="9">
                  <c:v>32437694.876827288</c:v>
                </c:pt>
                <c:pt idx="10">
                  <c:v>46096025.796634816</c:v>
                </c:pt>
              </c:numCache>
            </c:numRef>
          </c:val>
          <c:extLst>
            <c:ext xmlns:c16="http://schemas.microsoft.com/office/drawing/2014/chart" uri="{C3380CC4-5D6E-409C-BE32-E72D297353CC}">
              <c16:uniqueId val="{00000003-F601-4545-8D4D-E76FE1EBDE2E}"/>
            </c:ext>
          </c:extLst>
        </c:ser>
        <c:ser>
          <c:idx val="4"/>
          <c:order val="4"/>
          <c:tx>
            <c:strRef>
              <c:f>'Rate Impact'!$N$2</c:f>
              <c:strCache>
                <c:ptCount val="1"/>
                <c:pt idx="0">
                  <c:v>Tier V</c:v>
                </c:pt>
              </c:strCache>
            </c:strRef>
          </c:tx>
          <c:spPr>
            <a:solidFill>
              <a:schemeClr val="accent5"/>
            </a:solidFill>
            <a:ln>
              <a:noFill/>
            </a:ln>
            <a:effectLst/>
          </c:spPr>
          <c:invertIfNegative val="0"/>
          <c:cat>
            <c:numRef>
              <c:f>'Rate Impact'!$A$3:$A$13</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'Rate Impact'!$N$3:$N$13</c:f>
              <c:numCache>
                <c:formatCode>"$"#,##0</c:formatCode>
                <c:ptCount val="11"/>
                <c:pt idx="0">
                  <c:v>773597.71349845524</c:v>
                </c:pt>
                <c:pt idx="1">
                  <c:v>1347704.5296190358</c:v>
                </c:pt>
                <c:pt idx="2">
                  <c:v>1903543.9999529365</c:v>
                </c:pt>
                <c:pt idx="3">
                  <c:v>2517604.4148441697</c:v>
                </c:pt>
                <c:pt idx="4">
                  <c:v>2860018.2933586561</c:v>
                </c:pt>
                <c:pt idx="5">
                  <c:v>3258696.2522328426</c:v>
                </c:pt>
                <c:pt idx="6">
                  <c:v>3571262.6982487803</c:v>
                </c:pt>
                <c:pt idx="7">
                  <c:v>4415204.9430647204</c:v>
                </c:pt>
                <c:pt idx="8">
                  <c:v>4855891.9159574015</c:v>
                </c:pt>
                <c:pt idx="9">
                  <c:v>5327267.9690075023</c:v>
                </c:pt>
                <c:pt idx="10">
                  <c:v>5731644.9304810241</c:v>
                </c:pt>
              </c:numCache>
            </c:numRef>
          </c:val>
          <c:extLst>
            <c:ext xmlns:c16="http://schemas.microsoft.com/office/drawing/2014/chart" uri="{C3380CC4-5D6E-409C-BE32-E72D297353CC}">
              <c16:uniqueId val="{00000004-F601-4545-8D4D-E76FE1EBDE2E}"/>
            </c:ext>
          </c:extLst>
        </c:ser>
        <c:dLbls>
          <c:showLegendKey val="0"/>
          <c:showVal val="0"/>
          <c:showCatName val="0"/>
          <c:showSerName val="0"/>
          <c:showPercent val="0"/>
          <c:showBubbleSize val="0"/>
        </c:dLbls>
        <c:gapWidth val="150"/>
        <c:overlap val="100"/>
        <c:axId val="322240240"/>
        <c:axId val="322240600"/>
      </c:barChart>
      <c:lineChart>
        <c:grouping val="standard"/>
        <c:varyColors val="0"/>
        <c:ser>
          <c:idx val="5"/>
          <c:order val="5"/>
          <c:tx>
            <c:strRef>
              <c:f>'Rate Impact'!$O$2</c:f>
              <c:strCache>
                <c:ptCount val="1"/>
                <c:pt idx="0">
                  <c:v>Total</c:v>
                </c:pt>
              </c:strCache>
            </c:strRef>
          </c:tx>
          <c:spPr>
            <a:ln w="28575" cap="rnd">
              <a:solidFill>
                <a:sysClr val="windowText" lastClr="000000"/>
              </a:solidFill>
              <a:round/>
            </a:ln>
            <a:effectLst/>
          </c:spPr>
          <c:marker>
            <c:symbol val="none"/>
          </c:marker>
          <c:cat>
            <c:numRef>
              <c:f>'Rate Impact'!$A$3:$A$13</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'Rate Impact'!$O$3:$O$13</c:f>
              <c:numCache>
                <c:formatCode>"$"#,##0</c:formatCode>
                <c:ptCount val="11"/>
                <c:pt idx="0">
                  <c:v>50595914.41861771</c:v>
                </c:pt>
                <c:pt idx="1">
                  <c:v>52567594.819336861</c:v>
                </c:pt>
                <c:pt idx="2">
                  <c:v>59300584.859226845</c:v>
                </c:pt>
                <c:pt idx="3">
                  <c:v>61631666.290631793</c:v>
                </c:pt>
                <c:pt idx="4">
                  <c:v>64479148.37114609</c:v>
                </c:pt>
                <c:pt idx="5">
                  <c:v>86491966.58219108</c:v>
                </c:pt>
                <c:pt idx="6">
                  <c:v>83339972.257482588</c:v>
                </c:pt>
                <c:pt idx="7">
                  <c:v>98163382.979976669</c:v>
                </c:pt>
                <c:pt idx="8">
                  <c:v>91033857.746712148</c:v>
                </c:pt>
                <c:pt idx="9">
                  <c:v>84561544.708202034</c:v>
                </c:pt>
                <c:pt idx="10">
                  <c:v>89103207.496694714</c:v>
                </c:pt>
              </c:numCache>
            </c:numRef>
          </c:val>
          <c:smooth val="0"/>
          <c:extLst>
            <c:ext xmlns:c16="http://schemas.microsoft.com/office/drawing/2014/chart" uri="{C3380CC4-5D6E-409C-BE32-E72D297353CC}">
              <c16:uniqueId val="{00000005-F601-4545-8D4D-E76FE1EBDE2E}"/>
            </c:ext>
          </c:extLst>
        </c:ser>
        <c:dLbls>
          <c:showLegendKey val="0"/>
          <c:showVal val="0"/>
          <c:showCatName val="0"/>
          <c:showSerName val="0"/>
          <c:showPercent val="0"/>
          <c:showBubbleSize val="0"/>
        </c:dLbls>
        <c:marker val="1"/>
        <c:smooth val="0"/>
        <c:axId val="322240240"/>
        <c:axId val="322240600"/>
      </c:lineChart>
      <c:catAx>
        <c:axId val="322240240"/>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322240600"/>
        <c:crosses val="autoZero"/>
        <c:auto val="1"/>
        <c:lblAlgn val="ctr"/>
        <c:lblOffset val="100"/>
        <c:noMultiLvlLbl val="0"/>
      </c:catAx>
      <c:valAx>
        <c:axId val="322240600"/>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322240240"/>
        <c:crosses val="autoZero"/>
        <c:crossBetween val="between"/>
        <c:majorUnit val="20000000"/>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r>
              <a:rPr lang="en-US" sz="2000"/>
              <a:t>Energy Price Scenarios</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20433234416344173"/>
          <c:y val="0.11259086063220035"/>
          <c:w val="0.74194622724700099"/>
          <c:h val="0.71065655807009909"/>
        </c:manualLayout>
      </c:layout>
      <c:lineChart>
        <c:grouping val="standard"/>
        <c:varyColors val="0"/>
        <c:ser>
          <c:idx val="0"/>
          <c:order val="0"/>
          <c:tx>
            <c:strRef>
              <c:f>'Rate Impact'!$B$36</c:f>
              <c:strCache>
                <c:ptCount val="1"/>
                <c:pt idx="0">
                  <c:v>Low</c:v>
                </c:pt>
              </c:strCache>
            </c:strRef>
          </c:tx>
          <c:spPr>
            <a:ln w="28575" cap="rnd">
              <a:solidFill>
                <a:schemeClr val="accent1"/>
              </a:solidFill>
              <a:round/>
            </a:ln>
            <a:effectLst/>
          </c:spPr>
          <c:marker>
            <c:symbol val="none"/>
          </c:marker>
          <c:cat>
            <c:numRef>
              <c:f>'Rate Impact'!$A$39:$A$49</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'Rate Impact'!$B$39:$B$49</c:f>
              <c:numCache>
                <c:formatCode>"$"#,##0.00</c:formatCode>
                <c:ptCount val="11"/>
                <c:pt idx="0">
                  <c:v>58.639400133993696</c:v>
                </c:pt>
                <c:pt idx="1">
                  <c:v>46.463080669056637</c:v>
                </c:pt>
                <c:pt idx="2">
                  <c:v>44.606384544306408</c:v>
                </c:pt>
                <c:pt idx="3">
                  <c:v>44.433951684953065</c:v>
                </c:pt>
                <c:pt idx="4">
                  <c:v>43.856982925392487</c:v>
                </c:pt>
                <c:pt idx="5">
                  <c:v>43.160242917024362</c:v>
                </c:pt>
                <c:pt idx="6">
                  <c:v>44.201111912651932</c:v>
                </c:pt>
                <c:pt idx="7">
                  <c:v>42.602555303341205</c:v>
                </c:pt>
                <c:pt idx="8">
                  <c:v>43.36842422758636</c:v>
                </c:pt>
                <c:pt idx="9">
                  <c:v>43.597403398231549</c:v>
                </c:pt>
                <c:pt idx="10">
                  <c:v>43.869525883031301</c:v>
                </c:pt>
              </c:numCache>
            </c:numRef>
          </c:val>
          <c:smooth val="0"/>
          <c:extLst>
            <c:ext xmlns:c16="http://schemas.microsoft.com/office/drawing/2014/chart" uri="{C3380CC4-5D6E-409C-BE32-E72D297353CC}">
              <c16:uniqueId val="{00000000-5B2B-4DE0-BEB5-3755E55DFB2F}"/>
            </c:ext>
          </c:extLst>
        </c:ser>
        <c:ser>
          <c:idx val="1"/>
          <c:order val="1"/>
          <c:tx>
            <c:strRef>
              <c:f>'Rate Impact'!$C$36</c:f>
              <c:strCache>
                <c:ptCount val="1"/>
                <c:pt idx="0">
                  <c:v>Mid</c:v>
                </c:pt>
              </c:strCache>
            </c:strRef>
          </c:tx>
          <c:spPr>
            <a:ln w="28575" cap="rnd">
              <a:solidFill>
                <a:schemeClr val="accent2"/>
              </a:solidFill>
              <a:round/>
            </a:ln>
            <a:effectLst/>
          </c:spPr>
          <c:marker>
            <c:symbol val="none"/>
          </c:marker>
          <c:cat>
            <c:numRef>
              <c:f>'Rate Impact'!$A$39:$A$49</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'Rate Impact'!$C$39:$C$49</c:f>
              <c:numCache>
                <c:formatCode>"$"#,##0.00</c:formatCode>
                <c:ptCount val="11"/>
                <c:pt idx="0">
                  <c:v>65.154889037770772</c:v>
                </c:pt>
                <c:pt idx="1">
                  <c:v>51.625645187840703</c:v>
                </c:pt>
                <c:pt idx="2">
                  <c:v>49.562649493673788</c:v>
                </c:pt>
                <c:pt idx="3">
                  <c:v>49.371057427725624</c:v>
                </c:pt>
                <c:pt idx="4">
                  <c:v>48.729981028213871</c:v>
                </c:pt>
                <c:pt idx="5">
                  <c:v>47.955825463360398</c:v>
                </c:pt>
                <c:pt idx="6">
                  <c:v>49.112346569613258</c:v>
                </c:pt>
                <c:pt idx="7">
                  <c:v>47.336172559268007</c:v>
                </c:pt>
                <c:pt idx="8">
                  <c:v>48.187138030651511</c:v>
                </c:pt>
                <c:pt idx="9">
                  <c:v>48.441559331368389</c:v>
                </c:pt>
                <c:pt idx="10">
                  <c:v>48.743917647812552</c:v>
                </c:pt>
              </c:numCache>
            </c:numRef>
          </c:val>
          <c:smooth val="0"/>
          <c:extLst>
            <c:ext xmlns:c16="http://schemas.microsoft.com/office/drawing/2014/chart" uri="{C3380CC4-5D6E-409C-BE32-E72D297353CC}">
              <c16:uniqueId val="{00000001-5B2B-4DE0-BEB5-3755E55DFB2F}"/>
            </c:ext>
          </c:extLst>
        </c:ser>
        <c:ser>
          <c:idx val="2"/>
          <c:order val="2"/>
          <c:tx>
            <c:strRef>
              <c:f>'Rate Impact'!$D$36</c:f>
              <c:strCache>
                <c:ptCount val="1"/>
                <c:pt idx="0">
                  <c:v>High</c:v>
                </c:pt>
              </c:strCache>
            </c:strRef>
          </c:tx>
          <c:spPr>
            <a:ln w="28575" cap="rnd">
              <a:solidFill>
                <a:schemeClr val="accent3"/>
              </a:solidFill>
              <a:round/>
            </a:ln>
            <a:effectLst/>
          </c:spPr>
          <c:marker>
            <c:symbol val="none"/>
          </c:marker>
          <c:cat>
            <c:numRef>
              <c:f>'Rate Impact'!$A$39:$A$49</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'Rate Impact'!$D$39:$D$49</c:f>
              <c:numCache>
                <c:formatCode>"$"#,##0.00</c:formatCode>
                <c:ptCount val="11"/>
                <c:pt idx="0">
                  <c:v>63.151168195163407</c:v>
                </c:pt>
                <c:pt idx="1">
                  <c:v>63.791719058202219</c:v>
                </c:pt>
                <c:pt idx="2">
                  <c:v>61.455807212466418</c:v>
                </c:pt>
                <c:pt idx="3">
                  <c:v>61.850715148529773</c:v>
                </c:pt>
                <c:pt idx="4">
                  <c:v>61.345107040816814</c:v>
                </c:pt>
                <c:pt idx="5">
                  <c:v>59.968232034390184</c:v>
                </c:pt>
                <c:pt idx="6">
                  <c:v>61.621107704590727</c:v>
                </c:pt>
                <c:pt idx="7">
                  <c:v>59.805750972342921</c:v>
                </c:pt>
                <c:pt idx="8">
                  <c:v>60.842352905888475</c:v>
                </c:pt>
                <c:pt idx="9">
                  <c:v>60.617091015311807</c:v>
                </c:pt>
                <c:pt idx="10">
                  <c:v>60.933778029310105</c:v>
                </c:pt>
              </c:numCache>
            </c:numRef>
          </c:val>
          <c:smooth val="0"/>
          <c:extLst>
            <c:ext xmlns:c16="http://schemas.microsoft.com/office/drawing/2014/chart" uri="{C3380CC4-5D6E-409C-BE32-E72D297353CC}">
              <c16:uniqueId val="{00000002-5B2B-4DE0-BEB5-3755E55DFB2F}"/>
            </c:ext>
          </c:extLst>
        </c:ser>
        <c:dLbls>
          <c:showLegendKey val="0"/>
          <c:showVal val="0"/>
          <c:showCatName val="0"/>
          <c:showSerName val="0"/>
          <c:showPercent val="0"/>
          <c:showBubbleSize val="0"/>
        </c:dLbls>
        <c:smooth val="0"/>
        <c:axId val="1311703144"/>
        <c:axId val="1311706744"/>
      </c:lineChart>
      <c:catAx>
        <c:axId val="1311703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1311706744"/>
        <c:crosses val="autoZero"/>
        <c:auto val="1"/>
        <c:lblAlgn val="ctr"/>
        <c:lblOffset val="100"/>
        <c:noMultiLvlLbl val="0"/>
      </c:catAx>
      <c:valAx>
        <c:axId val="13117067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400"/>
                  <a:t>Average Annual Wholesale</a:t>
                </a:r>
                <a:r>
                  <a:rPr lang="en-US" sz="1400" baseline="0"/>
                  <a:t> Electricity Prices ($/MWh)</a:t>
                </a:r>
                <a:endParaRPr lang="en-US" sz="1400"/>
              </a:p>
            </c:rich>
          </c:tx>
          <c:layout>
            <c:manualLayout>
              <c:xMode val="edge"/>
              <c:yMode val="edge"/>
              <c:x val="4.4955952658590308E-2"/>
              <c:y val="0.1373259384539651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13117031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chart" Target="../charts/chart6.xml"/></Relationships>
</file>

<file path=xl/drawings/_rels/drawing5.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19547</xdr:rowOff>
    </xdr:from>
    <xdr:to>
      <xdr:col>16</xdr:col>
      <xdr:colOff>340600</xdr:colOff>
      <xdr:row>11</xdr:row>
      <xdr:rowOff>95746</xdr:rowOff>
    </xdr:to>
    <xdr:sp macro="" textlink="">
      <xdr:nvSpPr>
        <xdr:cNvPr id="2" name="TextBox 1">
          <a:extLst>
            <a:ext uri="{FF2B5EF4-FFF2-40B4-BE49-F238E27FC236}">
              <a16:creationId xmlns:a16="http://schemas.microsoft.com/office/drawing/2014/main" id="{E8C928A3-0BC6-4BBA-A719-A505A2C7DF59}"/>
            </a:ext>
          </a:extLst>
        </xdr:cNvPr>
        <xdr:cNvSpPr txBox="1"/>
      </xdr:nvSpPr>
      <xdr:spPr>
        <a:xfrm>
          <a:off x="0" y="19547"/>
          <a:ext cx="10094200" cy="2117034"/>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u="sng"/>
            <a:t>Statutory</a:t>
          </a:r>
          <a:r>
            <a:rPr lang="en-US" sz="1600" b="1" u="sng" baseline="0"/>
            <a:t> Requirement</a:t>
          </a:r>
          <a:endParaRPr lang="en-US" sz="1600" b="1" u="sng"/>
        </a:p>
        <a:p>
          <a:endParaRPr lang="en-US" sz="1100" b="1" u="sng"/>
        </a:p>
        <a:p>
          <a:r>
            <a:rPr lang="en-US" sz="1100" b="1" u="sng"/>
            <a:t>Sec. 7.  30 V.S.A. § 202b  STATE COMPREHENSIVE ENERGY PLAN  </a:t>
          </a:r>
        </a:p>
        <a:p>
          <a:r>
            <a:rPr lang="en-US" sz="1100" b="1" u="none">
              <a:solidFill>
                <a:sysClr val="windowText" lastClr="000000"/>
              </a:solidFill>
              <a:effectLst/>
              <a:latin typeface="+mn-lt"/>
              <a:ea typeface="+mn-ea"/>
              <a:cs typeface="+mn-cs"/>
            </a:rPr>
            <a:t>Sec. 7.  30 V.S.A. § 202b </a:t>
          </a:r>
          <a:r>
            <a:rPr lang="en-US" sz="1100" b="1" u="none" baseline="0">
              <a:solidFill>
                <a:sysClr val="windowText" lastClr="000000"/>
              </a:solidFill>
            </a:rPr>
            <a:t>(e)(7)(B)</a:t>
          </a:r>
        </a:p>
        <a:p>
          <a:endParaRPr lang="en-US" sz="1100" b="0" u="none" baseline="0"/>
        </a:p>
        <a:p>
          <a:r>
            <a:rPr lang="en-US" sz="1100" b="0" u="none" baseline="0">
              <a:solidFill>
                <a:sysClr val="windowText" lastClr="000000"/>
              </a:solidFill>
            </a:rPr>
            <a:t>(B)  Projections, looking at least 10 years ahead, of the impacts of the RES</a:t>
          </a:r>
        </a:p>
        <a:p>
          <a:r>
            <a:rPr lang="en-US" sz="1100" b="0" u="none" baseline="0">
              <a:solidFill>
                <a:sysClr val="windowText" lastClr="000000"/>
              </a:solidFill>
            </a:rPr>
            <a:t>(i)  The Department shall consider at least three scenarios based on high, mid-range, and low energy price forecasts. </a:t>
          </a:r>
        </a:p>
        <a:p>
          <a:r>
            <a:rPr lang="en-US" sz="1100" b="0" u="none" baseline="0">
              <a:solidFill>
                <a:sysClr val="windowText" lastClr="000000"/>
              </a:solidFill>
            </a:rPr>
            <a:t>(ii)  The Department shall provide an opportunity for public comment on the model during its development and make the model and associated documents available on the Department’s website.</a:t>
          </a:r>
        </a:p>
        <a:p>
          <a:r>
            <a:rPr lang="en-US" sz="1100" b="0" u="none" baseline="0">
              <a:solidFill>
                <a:sysClr val="windowText" lastClr="000000"/>
              </a:solidFill>
            </a:rPr>
            <a:t>(iii)  The Department shall project, for the State, the impact of the RES in each of the following areas:  electric utility rates, total energy consumption, electric energy consumption, fossil fuel consumption, and greenhouse gas emissions.  The report shall compare the amount or level in each of these areas with and without the program.</a:t>
          </a:r>
          <a:endParaRPr lang="en-US" sz="1100" b="0" u="none">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451139</xdr:colOff>
      <xdr:row>2</xdr:row>
      <xdr:rowOff>167986</xdr:rowOff>
    </xdr:from>
    <xdr:to>
      <xdr:col>30</xdr:col>
      <xdr:colOff>275879</xdr:colOff>
      <xdr:row>27</xdr:row>
      <xdr:rowOff>41217</xdr:rowOff>
    </xdr:to>
    <xdr:graphicFrame macro="">
      <xdr:nvGraphicFramePr>
        <xdr:cNvPr id="2" name="Chart 1">
          <a:extLst>
            <a:ext uri="{FF2B5EF4-FFF2-40B4-BE49-F238E27FC236}">
              <a16:creationId xmlns:a16="http://schemas.microsoft.com/office/drawing/2014/main" id="{78595C39-3C81-3AF8-12A3-E7EDC532A5E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16</xdr:col>
      <xdr:colOff>472713</xdr:colOff>
      <xdr:row>0</xdr:row>
      <xdr:rowOff>0</xdr:rowOff>
    </xdr:from>
    <xdr:to>
      <xdr:col>20</xdr:col>
      <xdr:colOff>1065985</xdr:colOff>
      <xdr:row>15</xdr:row>
      <xdr:rowOff>26670</xdr:rowOff>
    </xdr:to>
    <xdr:graphicFrame macro="">
      <xdr:nvGraphicFramePr>
        <xdr:cNvPr id="2" name="Chart 1">
          <a:extLst>
            <a:ext uri="{FF2B5EF4-FFF2-40B4-BE49-F238E27FC236}">
              <a16:creationId xmlns:a16="http://schemas.microsoft.com/office/drawing/2014/main" id="{9E78E27C-9601-7B00-B767-F8371ABA475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352425</xdr:colOff>
      <xdr:row>35</xdr:row>
      <xdr:rowOff>35755</xdr:rowOff>
    </xdr:from>
    <xdr:to>
      <xdr:col>4</xdr:col>
      <xdr:colOff>333375</xdr:colOff>
      <xdr:row>54</xdr:row>
      <xdr:rowOff>123825</xdr:rowOff>
    </xdr:to>
    <xdr:graphicFrame macro="">
      <xdr:nvGraphicFramePr>
        <xdr:cNvPr id="3" name="Chart 2">
          <a:extLst>
            <a:ext uri="{FF2B5EF4-FFF2-40B4-BE49-F238E27FC236}">
              <a16:creationId xmlns:a16="http://schemas.microsoft.com/office/drawing/2014/main" id="{CC8EA954-7688-98F5-1116-48F5A51C7D6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443865</xdr:colOff>
      <xdr:row>35</xdr:row>
      <xdr:rowOff>34290</xdr:rowOff>
    </xdr:from>
    <xdr:to>
      <xdr:col>8</xdr:col>
      <xdr:colOff>1400175</xdr:colOff>
      <xdr:row>54</xdr:row>
      <xdr:rowOff>121920</xdr:rowOff>
    </xdr:to>
    <xdr:graphicFrame macro="">
      <xdr:nvGraphicFramePr>
        <xdr:cNvPr id="4" name="Chart 3">
          <a:extLst>
            <a:ext uri="{FF2B5EF4-FFF2-40B4-BE49-F238E27FC236}">
              <a16:creationId xmlns:a16="http://schemas.microsoft.com/office/drawing/2014/main" id="{29E74796-9B26-4113-B5CB-A238FFAF15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401955</xdr:colOff>
      <xdr:row>56</xdr:row>
      <xdr:rowOff>9525</xdr:rowOff>
    </xdr:from>
    <xdr:to>
      <xdr:col>4</xdr:col>
      <xdr:colOff>369570</xdr:colOff>
      <xdr:row>75</xdr:row>
      <xdr:rowOff>102870</xdr:rowOff>
    </xdr:to>
    <xdr:graphicFrame macro="">
      <xdr:nvGraphicFramePr>
        <xdr:cNvPr id="7" name="Chart 6">
          <a:extLst>
            <a:ext uri="{FF2B5EF4-FFF2-40B4-BE49-F238E27FC236}">
              <a16:creationId xmlns:a16="http://schemas.microsoft.com/office/drawing/2014/main" id="{2AA9DC9A-5740-49FD-8144-02DFDF9C2C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504825</xdr:colOff>
      <xdr:row>56</xdr:row>
      <xdr:rowOff>36195</xdr:rowOff>
    </xdr:from>
    <xdr:to>
      <xdr:col>8</xdr:col>
      <xdr:colOff>1476375</xdr:colOff>
      <xdr:row>75</xdr:row>
      <xdr:rowOff>148590</xdr:rowOff>
    </xdr:to>
    <xdr:graphicFrame macro="">
      <xdr:nvGraphicFramePr>
        <xdr:cNvPr id="8" name="Chart 7">
          <a:extLst>
            <a:ext uri="{FF2B5EF4-FFF2-40B4-BE49-F238E27FC236}">
              <a16:creationId xmlns:a16="http://schemas.microsoft.com/office/drawing/2014/main" id="{D7ABDCE1-F61C-4869-9D0C-4EFBD617DB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140521</xdr:colOff>
      <xdr:row>13</xdr:row>
      <xdr:rowOff>123041</xdr:rowOff>
    </xdr:from>
    <xdr:to>
      <xdr:col>6</xdr:col>
      <xdr:colOff>885824</xdr:colOff>
      <xdr:row>34</xdr:row>
      <xdr:rowOff>95250</xdr:rowOff>
    </xdr:to>
    <xdr:graphicFrame macro="">
      <xdr:nvGraphicFramePr>
        <xdr:cNvPr id="4" name="Chart 3">
          <a:extLst>
            <a:ext uri="{FF2B5EF4-FFF2-40B4-BE49-F238E27FC236}">
              <a16:creationId xmlns:a16="http://schemas.microsoft.com/office/drawing/2014/main" id="{F069C94B-71A6-8CA9-B994-90CD008D904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236220</xdr:colOff>
      <xdr:row>13</xdr:row>
      <xdr:rowOff>129540</xdr:rowOff>
    </xdr:from>
    <xdr:to>
      <xdr:col>14</xdr:col>
      <xdr:colOff>1092013</xdr:colOff>
      <xdr:row>34</xdr:row>
      <xdr:rowOff>94129</xdr:rowOff>
    </xdr:to>
    <xdr:graphicFrame macro="">
      <xdr:nvGraphicFramePr>
        <xdr:cNvPr id="2" name="Chart 1">
          <a:extLst>
            <a:ext uri="{FF2B5EF4-FFF2-40B4-BE49-F238E27FC236}">
              <a16:creationId xmlns:a16="http://schemas.microsoft.com/office/drawing/2014/main" id="{D6102D1D-ED6C-4FF5-85B8-A130DF751A3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161405</xdr:colOff>
      <xdr:row>38</xdr:row>
      <xdr:rowOff>152746</xdr:rowOff>
    </xdr:from>
    <xdr:to>
      <xdr:col>20</xdr:col>
      <xdr:colOff>83127</xdr:colOff>
      <xdr:row>61</xdr:row>
      <xdr:rowOff>46413</xdr:rowOff>
    </xdr:to>
    <xdr:graphicFrame macro="">
      <xdr:nvGraphicFramePr>
        <xdr:cNvPr id="3" name="Chart 2">
          <a:extLst>
            <a:ext uri="{FF2B5EF4-FFF2-40B4-BE49-F238E27FC236}">
              <a16:creationId xmlns:a16="http://schemas.microsoft.com/office/drawing/2014/main" id="{E8480BB8-2133-F6DB-85CE-3C461C238F2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590823</xdr:colOff>
      <xdr:row>22</xdr:row>
      <xdr:rowOff>59327</xdr:rowOff>
    </xdr:to>
    <xdr:pic>
      <xdr:nvPicPr>
        <xdr:cNvPr id="4" name="Picture 3">
          <a:extLst>
            <a:ext uri="{FF2B5EF4-FFF2-40B4-BE49-F238E27FC236}">
              <a16:creationId xmlns:a16="http://schemas.microsoft.com/office/drawing/2014/main" id="{5900ACC6-F3DF-F453-E44F-4FEC7C89BC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3426441" cy="41583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1073059</xdr:colOff>
      <xdr:row>19</xdr:row>
      <xdr:rowOff>39190</xdr:rowOff>
    </xdr:from>
    <xdr:to>
      <xdr:col>4</xdr:col>
      <xdr:colOff>984885</xdr:colOff>
      <xdr:row>21</xdr:row>
      <xdr:rowOff>81914</xdr:rowOff>
    </xdr:to>
    <xdr:sp macro="" textlink="">
      <xdr:nvSpPr>
        <xdr:cNvPr id="5" name="Circle: Hollow 4">
          <a:extLst>
            <a:ext uri="{FF2B5EF4-FFF2-40B4-BE49-F238E27FC236}">
              <a16:creationId xmlns:a16="http://schemas.microsoft.com/office/drawing/2014/main" id="{E2D86DA6-568F-F444-11AA-5CDA66485E3F}"/>
            </a:ext>
          </a:extLst>
        </xdr:cNvPr>
        <xdr:cNvSpPr/>
      </xdr:nvSpPr>
      <xdr:spPr>
        <a:xfrm>
          <a:off x="5835559" y="3645083"/>
          <a:ext cx="1258933" cy="396510"/>
        </a:xfrm>
        <a:prstGeom prst="donut">
          <a:avLst>
            <a:gd name="adj" fmla="val 6886"/>
          </a:avLst>
        </a:prstGeom>
      </xdr:spPr>
      <xdr:style>
        <a:lnRef idx="2">
          <a:schemeClr val="accent2">
            <a:shade val="15000"/>
          </a:schemeClr>
        </a:lnRef>
        <a:fillRef idx="1">
          <a:schemeClr val="accent2"/>
        </a:fillRef>
        <a:effectRef idx="0">
          <a:schemeClr val="accent2"/>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dam.Jacobs\Desktop\Local%20work-product\RES\2024%20Consolidated%20RES%20Model%20(FINAL).xlsx" TargetMode="External"/><Relationship Id="rId1" Type="http://schemas.openxmlformats.org/officeDocument/2006/relationships/externalLinkPath" Target="file:///C:\Users\Adam.Jacobs\Desktop\Local%20work-product\RES\2024%20Consolidated%20RES%20Model%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PSD\PSD%20-%20UserSwap\JWoodward\Analysis\RE%20Policy\Rates%20&amp;%20Bills\btm_gen_av_costs.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PSD\PSD%20-%20UserSwap\MFischer\Legislative%20Reports\Section%208005b(b)%20Annual%20Report\2018_jwoodward\Consolidated%20RES%20Model%20201801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otes"/>
      <sheetName val="Core Assumptions"/>
      <sheetName val="Current Run &amp; Summary Results"/>
      <sheetName val="requirements"/>
      <sheetName val="loads"/>
      <sheetName val="impact"/>
      <sheetName val="Tier I"/>
      <sheetName val="Tier II"/>
      <sheetName val="Tier III"/>
      <sheetName val="price forecasts"/>
      <sheetName val="emissions"/>
      <sheetName val="AEO- reference"/>
      <sheetName val="Savings Calculator 2022"/>
      <sheetName val="annual RES req"/>
      <sheetName val="Tier III incentives"/>
      <sheetName val="Tier III PT"/>
      <sheetName val="Savings Calculator_2020"/>
      <sheetName val="Savings Calculator_2019"/>
    </sheetNames>
    <sheetDataSet>
      <sheetData sheetId="0" refreshError="1"/>
      <sheetData sheetId="1">
        <row r="1">
          <cell r="D1" t="str">
            <v>CURRENT SCENARIO</v>
          </cell>
        </row>
        <row r="5">
          <cell r="D5">
            <v>2021</v>
          </cell>
        </row>
        <row r="6">
          <cell r="D6">
            <v>3.3000000000000002E-2</v>
          </cell>
        </row>
        <row r="7">
          <cell r="D7">
            <v>0.06</v>
          </cell>
        </row>
        <row r="8">
          <cell r="D8">
            <v>-0.01</v>
          </cell>
        </row>
        <row r="10">
          <cell r="D10" t="str">
            <v>base</v>
          </cell>
        </row>
        <row r="11">
          <cell r="D11" t="str">
            <v>mid</v>
          </cell>
        </row>
        <row r="12">
          <cell r="D12" t="str">
            <v>mid</v>
          </cell>
        </row>
        <row r="14">
          <cell r="D14">
            <v>180.35000000000002</v>
          </cell>
        </row>
        <row r="15">
          <cell r="D15">
            <v>150.18699999999998</v>
          </cell>
        </row>
        <row r="16">
          <cell r="D16">
            <v>2.1999999999999999E-2</v>
          </cell>
        </row>
        <row r="18">
          <cell r="D18" t="str">
            <v>mid</v>
          </cell>
        </row>
        <row r="19">
          <cell r="D19">
            <v>-0.01</v>
          </cell>
        </row>
        <row r="20">
          <cell r="D20">
            <v>1.6E-2</v>
          </cell>
        </row>
        <row r="21">
          <cell r="D21">
            <v>0.05</v>
          </cell>
        </row>
        <row r="38">
          <cell r="D38">
            <v>0</v>
          </cell>
        </row>
        <row r="39">
          <cell r="D39">
            <v>-0.02</v>
          </cell>
        </row>
        <row r="40">
          <cell r="D40">
            <v>0</v>
          </cell>
        </row>
        <row r="41">
          <cell r="D41">
            <v>0.15</v>
          </cell>
        </row>
        <row r="44">
          <cell r="D44">
            <v>1.1000000000000001</v>
          </cell>
        </row>
        <row r="45">
          <cell r="D45">
            <v>0.83275298031605194</v>
          </cell>
        </row>
        <row r="47">
          <cell r="D47">
            <v>1</v>
          </cell>
        </row>
        <row r="48">
          <cell r="D48">
            <v>0.25</v>
          </cell>
        </row>
        <row r="49">
          <cell r="D49">
            <v>0.25</v>
          </cell>
        </row>
        <row r="51">
          <cell r="D51">
            <v>1000000</v>
          </cell>
        </row>
        <row r="52">
          <cell r="D52">
            <v>0.03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3">
          <cell r="B3">
            <v>85</v>
          </cell>
        </row>
        <row r="4">
          <cell r="B4">
            <v>15</v>
          </cell>
        </row>
        <row r="5">
          <cell r="C5">
            <v>3000</v>
          </cell>
        </row>
        <row r="7">
          <cell r="C7">
            <v>0.01</v>
          </cell>
        </row>
        <row r="10">
          <cell r="C10">
            <v>42.5</v>
          </cell>
        </row>
        <row r="12">
          <cell r="C12">
            <v>42.5</v>
          </cell>
        </row>
        <row r="16">
          <cell r="B16">
            <v>0</v>
          </cell>
        </row>
      </sheetData>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user_inputs"/>
      <sheetName val="outputs"/>
      <sheetName val="avd_costs"/>
      <sheetName val="baseline"/>
      <sheetName val="op&amp;prog_cap"/>
      <sheetName val=" avd_lmp&amp;rec"/>
      <sheetName val="avd_cap"/>
      <sheetName val="lmp_hist"/>
      <sheetName val="gen_profile"/>
      <sheetName val="rns"/>
    </sheetNames>
    <sheetDataSet>
      <sheetData sheetId="0"/>
      <sheetData sheetId="1">
        <row r="2">
          <cell r="A2">
            <v>0.14000000000000001</v>
          </cell>
        </row>
        <row r="50">
          <cell r="A50">
            <v>0.09</v>
          </cell>
        </row>
      </sheetData>
      <sheetData sheetId="2"/>
      <sheetData sheetId="3"/>
      <sheetData sheetId="4"/>
      <sheetData sheetId="5"/>
      <sheetData sheetId="6"/>
      <sheetData sheetId="7"/>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energy$"/>
      <sheetName val="rates"/>
      <sheetName val="CCHP"/>
      <sheetName val="EV"/>
      <sheetName val="ELC WS"/>
      <sheetName val="T1&amp;2"/>
      <sheetName val="RE gen"/>
      <sheetName val="COS"/>
      <sheetName val="load"/>
      <sheetName val="LRTP"/>
      <sheetName val="SO"/>
      <sheetName val="NM"/>
      <sheetName val="obl"/>
      <sheetName val="ACP"/>
      <sheetName val="AEO"/>
      <sheetName val="report1"/>
      <sheetName val="report2"/>
      <sheetName val="report3"/>
      <sheetName val="report4"/>
      <sheetName val="report5"/>
      <sheetName val="report6"/>
    </sheetNames>
    <sheetDataSet>
      <sheetData sheetId="0"/>
      <sheetData sheetId="1">
        <row r="1">
          <cell r="A1">
            <v>1.9E-2</v>
          </cell>
        </row>
        <row r="2">
          <cell r="A2">
            <v>0.06</v>
          </cell>
        </row>
        <row r="3">
          <cell r="A3">
            <v>180</v>
          </cell>
        </row>
        <row r="4">
          <cell r="A4">
            <v>0.02</v>
          </cell>
        </row>
        <row r="5">
          <cell r="A5">
            <v>18</v>
          </cell>
        </row>
        <row r="6">
          <cell r="A6">
            <v>20</v>
          </cell>
        </row>
        <row r="7">
          <cell r="A7">
            <v>5.0000000000000001E-3</v>
          </cell>
        </row>
        <row r="8">
          <cell r="A8">
            <v>5.0000000000000001E-3</v>
          </cell>
        </row>
        <row r="10">
          <cell r="A10">
            <v>-0.2</v>
          </cell>
        </row>
        <row r="11">
          <cell r="A11">
            <v>0.2</v>
          </cell>
        </row>
        <row r="13">
          <cell r="A13" t="str">
            <v>high</v>
          </cell>
          <cell r="C13">
            <v>21.707999999999995</v>
          </cell>
        </row>
        <row r="14">
          <cell r="C14">
            <v>24.119999999999997</v>
          </cell>
        </row>
      </sheetData>
      <sheetData sheetId="2"/>
      <sheetData sheetId="3">
        <row r="13">
          <cell r="C13">
            <v>2</v>
          </cell>
        </row>
        <row r="15">
          <cell r="C15">
            <v>0.2</v>
          </cell>
        </row>
        <row r="17">
          <cell r="C17">
            <v>24.429104785921233</v>
          </cell>
        </row>
        <row r="20">
          <cell r="C20">
            <v>1.1000000000000001</v>
          </cell>
        </row>
        <row r="21">
          <cell r="C21">
            <v>1.05</v>
          </cell>
        </row>
        <row r="22">
          <cell r="C22">
            <v>3</v>
          </cell>
        </row>
        <row r="23">
          <cell r="C23">
            <v>3</v>
          </cell>
        </row>
      </sheetData>
      <sheetData sheetId="4">
        <row r="3">
          <cell r="B3">
            <v>25000</v>
          </cell>
          <cell r="C3">
            <v>35000</v>
          </cell>
        </row>
        <row r="4">
          <cell r="B4">
            <v>0</v>
          </cell>
          <cell r="C4">
            <v>-0.03</v>
          </cell>
        </row>
        <row r="6">
          <cell r="B6">
            <v>47.889328063241109</v>
          </cell>
        </row>
        <row r="8">
          <cell r="B8">
            <v>173.73333333333335</v>
          </cell>
          <cell r="C8">
            <v>35.266666666666666</v>
          </cell>
        </row>
        <row r="9">
          <cell r="C9">
            <v>3.3333333333333335</v>
          </cell>
        </row>
        <row r="10">
          <cell r="C10">
            <v>36.921693553194785</v>
          </cell>
        </row>
        <row r="12">
          <cell r="C12">
            <v>1.1000000000000001</v>
          </cell>
        </row>
        <row r="13">
          <cell r="C13">
            <v>3</v>
          </cell>
        </row>
        <row r="14">
          <cell r="C14">
            <v>3</v>
          </cell>
        </row>
      </sheetData>
      <sheetData sheetId="5">
        <row r="1">
          <cell r="A1">
            <v>5.0000000000000001E-3</v>
          </cell>
          <cell r="K1">
            <v>0.09</v>
          </cell>
        </row>
        <row r="2">
          <cell r="A2">
            <v>1.9E-2</v>
          </cell>
        </row>
        <row r="3">
          <cell r="A3">
            <v>1.3</v>
          </cell>
        </row>
        <row r="4">
          <cell r="A4">
            <v>0</v>
          </cell>
        </row>
        <row r="20">
          <cell r="H20">
            <v>-1.2076999606314143E-4</v>
          </cell>
        </row>
      </sheetData>
      <sheetData sheetId="6">
        <row r="1">
          <cell r="M1" t="str">
            <v>low</v>
          </cell>
        </row>
      </sheetData>
      <sheetData sheetId="7">
        <row r="1">
          <cell r="B1">
            <v>1</v>
          </cell>
          <cell r="I1">
            <v>0.02</v>
          </cell>
        </row>
        <row r="2">
          <cell r="I2">
            <v>0.02</v>
          </cell>
        </row>
        <row r="3">
          <cell r="B3">
            <v>111.5</v>
          </cell>
        </row>
        <row r="6">
          <cell r="J6">
            <v>1</v>
          </cell>
          <cell r="K6">
            <v>111.5</v>
          </cell>
        </row>
        <row r="7">
          <cell r="J7">
            <v>1.02</v>
          </cell>
          <cell r="K7">
            <v>113.73</v>
          </cell>
        </row>
        <row r="8">
          <cell r="J8">
            <v>1.0404</v>
          </cell>
          <cell r="K8">
            <v>116.00460000000001</v>
          </cell>
        </row>
        <row r="9">
          <cell r="J9">
            <v>1.0612079999999999</v>
          </cell>
          <cell r="K9">
            <v>118.32469200000001</v>
          </cell>
        </row>
        <row r="10">
          <cell r="J10">
            <v>1.08243216</v>
          </cell>
          <cell r="K10">
            <v>120.69118584000002</v>
          </cell>
        </row>
        <row r="11">
          <cell r="J11">
            <v>1.1040808032</v>
          </cell>
          <cell r="K11">
            <v>123.10500955680001</v>
          </cell>
        </row>
        <row r="12">
          <cell r="J12">
            <v>1.1261624192640001</v>
          </cell>
          <cell r="K12">
            <v>125.56710974793602</v>
          </cell>
        </row>
        <row r="13">
          <cell r="J13">
            <v>1.14868566764928</v>
          </cell>
          <cell r="K13">
            <v>128.07845194289473</v>
          </cell>
        </row>
        <row r="14">
          <cell r="J14">
            <v>1.1716593810022657</v>
          </cell>
          <cell r="K14">
            <v>130.64002098175263</v>
          </cell>
        </row>
        <row r="15">
          <cell r="J15">
            <v>1.1950925686223111</v>
          </cell>
          <cell r="K15">
            <v>133.25282140138768</v>
          </cell>
        </row>
      </sheetData>
      <sheetData sheetId="8">
        <row r="3">
          <cell r="J3">
            <v>0.5</v>
          </cell>
          <cell r="K3">
            <v>0.5</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hyperlink" Target="https://www.iso-ne.com/static-assets/documents/100006/final_2022_air_emissions_report.pdf" TargetMode="External"/><Relationship Id="rId1" Type="http://schemas.openxmlformats.org/officeDocument/2006/relationships/hyperlink" Target="https://www.iso-ne.com/static-assets/documents/100006/final_2022_air_emissions_report_appendix.xlsx"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hyperlink" Target="https://www.velco.com/sites/default/files/2024-04/2024%20VLRTP_publicreview_clean.pdf" TargetMode="Externa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2.bin"/><Relationship Id="rId1" Type="http://schemas.openxmlformats.org/officeDocument/2006/relationships/hyperlink" Target="https://www.bls.gov/charts/consumer-price-index/consumer-price-index-by-category-line-chart.htm"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5CDB3-12F6-466D-8F1B-ACEF9B442ADD}">
  <sheetPr>
    <tabColor theme="1"/>
  </sheetPr>
  <dimension ref="A13:R13"/>
  <sheetViews>
    <sheetView tabSelected="1" zoomScale="115" zoomScaleNormal="115" workbookViewId="0"/>
  </sheetViews>
  <sheetFormatPr defaultRowHeight="14.4" x14ac:dyDescent="0.3"/>
  <sheetData>
    <row r="13" spans="1:18" ht="18" x14ac:dyDescent="0.35">
      <c r="A13" s="43" t="s">
        <v>186</v>
      </c>
      <c r="B13" s="9"/>
      <c r="C13" s="9"/>
      <c r="D13" s="9"/>
      <c r="E13" s="9"/>
      <c r="F13" s="9"/>
      <c r="G13" s="9"/>
      <c r="H13" s="9"/>
      <c r="I13" s="9"/>
      <c r="R13" s="257"/>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AA99F-11E6-4D7D-BFF2-7E287C8B1063}">
  <sheetPr>
    <tabColor theme="9"/>
  </sheetPr>
  <dimension ref="A2:R69"/>
  <sheetViews>
    <sheetView zoomScale="70" zoomScaleNormal="70" workbookViewId="0"/>
  </sheetViews>
  <sheetFormatPr defaultRowHeight="14.4" x14ac:dyDescent="0.3"/>
  <cols>
    <col min="1" max="1" width="30.109375" bestFit="1" customWidth="1"/>
    <col min="2" max="9" width="19.5546875" customWidth="1"/>
    <col min="10" max="10" width="19.5546875" style="31" customWidth="1"/>
    <col min="11" max="15" width="19.5546875" customWidth="1"/>
    <col min="16" max="16" width="19.5546875" style="11" customWidth="1"/>
    <col min="17" max="18" width="19.5546875" customWidth="1"/>
  </cols>
  <sheetData>
    <row r="2" spans="11:15" ht="15" thickBot="1" x14ac:dyDescent="0.35"/>
    <row r="3" spans="11:15" ht="15" thickBot="1" x14ac:dyDescent="0.35">
      <c r="K3" s="279" t="s">
        <v>157</v>
      </c>
      <c r="L3" s="280"/>
      <c r="M3" s="280"/>
      <c r="N3" s="280"/>
      <c r="O3" s="280"/>
    </row>
    <row r="4" spans="11:15" ht="15" thickBot="1" x14ac:dyDescent="0.35">
      <c r="K4" s="87"/>
      <c r="L4" s="278" t="s">
        <v>158</v>
      </c>
      <c r="M4" s="278"/>
      <c r="N4" s="278" t="s">
        <v>159</v>
      </c>
      <c r="O4" s="278"/>
    </row>
    <row r="5" spans="11:15" ht="28.8" x14ac:dyDescent="0.3">
      <c r="K5" s="92" t="s">
        <v>21</v>
      </c>
      <c r="L5" s="94" t="s">
        <v>160</v>
      </c>
      <c r="M5" s="108" t="s">
        <v>161</v>
      </c>
      <c r="N5" s="93" t="s">
        <v>160</v>
      </c>
      <c r="O5" s="95" t="s">
        <v>161</v>
      </c>
    </row>
    <row r="6" spans="11:15" x14ac:dyDescent="0.3">
      <c r="K6" s="91">
        <v>2013</v>
      </c>
      <c r="L6" s="96">
        <v>6.8410000000000002</v>
      </c>
      <c r="M6" s="97">
        <v>8.2710000000000008</v>
      </c>
      <c r="N6" s="98"/>
      <c r="O6" s="99"/>
    </row>
    <row r="7" spans="11:15" x14ac:dyDescent="0.3">
      <c r="K7" s="88">
        <v>2014</v>
      </c>
      <c r="L7" s="100">
        <v>7.6920657408106274</v>
      </c>
      <c r="M7" s="101">
        <v>9.0335622169615721</v>
      </c>
      <c r="N7" s="98"/>
      <c r="O7" s="99"/>
    </row>
    <row r="8" spans="11:15" x14ac:dyDescent="0.3">
      <c r="K8" s="89">
        <v>2015</v>
      </c>
      <c r="L8" s="102">
        <v>6.7065658581312562</v>
      </c>
      <c r="M8" s="103">
        <v>8.0956891113431144</v>
      </c>
      <c r="N8" s="98"/>
      <c r="O8" s="99"/>
    </row>
    <row r="9" spans="11:15" x14ac:dyDescent="0.3">
      <c r="K9" s="88">
        <v>2016</v>
      </c>
      <c r="L9" s="100">
        <v>6.6250217422835123</v>
      </c>
      <c r="M9" s="101">
        <v>7.9249682127065189</v>
      </c>
      <c r="N9" s="98"/>
      <c r="O9" s="99"/>
    </row>
    <row r="10" spans="11:15" x14ac:dyDescent="0.3">
      <c r="K10" s="89">
        <v>2017</v>
      </c>
      <c r="L10" s="102">
        <v>5.4277715734817855</v>
      </c>
      <c r="M10" s="103">
        <v>8.0431102724976373</v>
      </c>
      <c r="N10" s="98"/>
      <c r="O10" s="99"/>
    </row>
    <row r="11" spans="11:15" x14ac:dyDescent="0.3">
      <c r="K11" s="88">
        <v>2018</v>
      </c>
      <c r="L11" s="100">
        <v>5.1532177165977799</v>
      </c>
      <c r="M11" s="101">
        <v>7.8549978043947641</v>
      </c>
      <c r="N11" s="109">
        <v>5.9619999999999997</v>
      </c>
      <c r="O11" s="105">
        <v>7.7439999999999998</v>
      </c>
    </row>
    <row r="12" spans="11:15" x14ac:dyDescent="0.3">
      <c r="K12" s="89">
        <v>2019</v>
      </c>
      <c r="L12" s="102">
        <v>5.2229998568296763</v>
      </c>
      <c r="M12" s="103">
        <v>7.814889259799382</v>
      </c>
      <c r="N12" s="102">
        <v>5.9183109149658248</v>
      </c>
      <c r="O12" s="104">
        <v>7.7156438747500617</v>
      </c>
    </row>
    <row r="13" spans="11:15" x14ac:dyDescent="0.3">
      <c r="K13" s="88">
        <v>2020</v>
      </c>
      <c r="L13" s="100">
        <v>5.6638560675196947</v>
      </c>
      <c r="M13" s="101">
        <v>7.7275188989950401</v>
      </c>
      <c r="N13" s="100">
        <v>6.1777832646674415</v>
      </c>
      <c r="O13" s="105">
        <v>7.4914345897846921</v>
      </c>
    </row>
    <row r="14" spans="11:15" x14ac:dyDescent="0.3">
      <c r="K14" s="89">
        <v>2021</v>
      </c>
      <c r="L14" s="102">
        <v>5.6755421673824671</v>
      </c>
      <c r="M14" s="103">
        <v>7.901963661197029</v>
      </c>
      <c r="N14" s="102">
        <v>6.3134630543613195</v>
      </c>
      <c r="O14" s="104">
        <v>7.5569411136557862</v>
      </c>
    </row>
    <row r="15" spans="11:15" ht="15" thickBot="1" x14ac:dyDescent="0.35">
      <c r="K15" s="90">
        <v>2022</v>
      </c>
      <c r="L15" s="106">
        <v>5.739352585055598</v>
      </c>
      <c r="M15" s="250">
        <v>7.6720274366341066</v>
      </c>
      <c r="N15" s="106">
        <v>6.3328185818826208</v>
      </c>
      <c r="O15" s="107">
        <v>7.6650412537426398</v>
      </c>
    </row>
    <row r="18" spans="1:18" x14ac:dyDescent="0.3">
      <c r="L18" s="15" t="s">
        <v>162</v>
      </c>
    </row>
    <row r="19" spans="1:18" x14ac:dyDescent="0.3">
      <c r="K19" t="s">
        <v>163</v>
      </c>
      <c r="L19" s="17" t="s">
        <v>164</v>
      </c>
    </row>
    <row r="20" spans="1:18" x14ac:dyDescent="0.3">
      <c r="K20" t="s">
        <v>165</v>
      </c>
      <c r="L20" s="17" t="s">
        <v>166</v>
      </c>
    </row>
    <row r="25" spans="1:18" ht="28.8" x14ac:dyDescent="0.3">
      <c r="A25" s="251" t="s">
        <v>167</v>
      </c>
      <c r="B25" s="254">
        <v>880.7</v>
      </c>
    </row>
    <row r="26" spans="1:18" ht="28.8" x14ac:dyDescent="0.3">
      <c r="A26" s="252" t="s">
        <v>168</v>
      </c>
      <c r="B26" s="255">
        <f>M15</f>
        <v>7.6720274366341066</v>
      </c>
      <c r="C26" s="30"/>
    </row>
    <row r="27" spans="1:18" x14ac:dyDescent="0.3">
      <c r="A27" s="253" t="s">
        <v>169</v>
      </c>
      <c r="B27" s="256">
        <v>0.51900000000000002</v>
      </c>
    </row>
    <row r="28" spans="1:18" ht="15" thickBot="1" x14ac:dyDescent="0.35"/>
    <row r="29" spans="1:18" x14ac:dyDescent="0.3">
      <c r="A29" s="132" t="s">
        <v>43</v>
      </c>
      <c r="B29" s="169"/>
      <c r="C29" s="163"/>
      <c r="D29" s="163"/>
      <c r="E29" s="163"/>
      <c r="F29" s="163"/>
      <c r="G29" s="163"/>
      <c r="H29" s="163"/>
      <c r="I29" s="164"/>
      <c r="J29" s="132" t="s">
        <v>44</v>
      </c>
      <c r="K29" s="169"/>
      <c r="L29" s="163"/>
      <c r="M29" s="163"/>
      <c r="N29" s="163"/>
      <c r="O29" s="163"/>
      <c r="P29" s="233"/>
      <c r="Q29" s="163"/>
      <c r="R29" s="164"/>
    </row>
    <row r="30" spans="1:18" s="21" customFormat="1" ht="28.95" customHeight="1" x14ac:dyDescent="0.3">
      <c r="A30" s="223" t="s">
        <v>170</v>
      </c>
      <c r="B30" s="224" t="s">
        <v>171</v>
      </c>
      <c r="C30" s="224" t="s">
        <v>37</v>
      </c>
      <c r="D30" s="224" t="s">
        <v>172</v>
      </c>
      <c r="E30" s="21" t="s">
        <v>173</v>
      </c>
      <c r="F30" s="224" t="s">
        <v>174</v>
      </c>
      <c r="G30" s="224" t="s">
        <v>175</v>
      </c>
      <c r="H30" s="224" t="s">
        <v>176</v>
      </c>
      <c r="I30" s="225" t="s">
        <v>177</v>
      </c>
      <c r="J30" s="223" t="s">
        <v>170</v>
      </c>
      <c r="K30" s="224" t="s">
        <v>178</v>
      </c>
      <c r="L30" s="224" t="s">
        <v>37</v>
      </c>
      <c r="M30" s="224" t="s">
        <v>172</v>
      </c>
      <c r="N30" s="21" t="s">
        <v>173</v>
      </c>
      <c r="O30" s="224" t="s">
        <v>174</v>
      </c>
      <c r="P30" s="234" t="s">
        <v>175</v>
      </c>
      <c r="Q30" s="224" t="s">
        <v>176</v>
      </c>
      <c r="R30" s="225" t="s">
        <v>177</v>
      </c>
    </row>
    <row r="31" spans="1:18" x14ac:dyDescent="0.3">
      <c r="A31" s="135">
        <v>2025</v>
      </c>
      <c r="B31" s="19">
        <f>'Load Forecast'!G6</f>
        <v>6071698.8867315007</v>
      </c>
      <c r="C31" s="226">
        <f>Requirements!B18</f>
        <v>4032846.9698634432</v>
      </c>
      <c r="D31" s="227">
        <f>Requirements!B3</f>
        <v>0.66420404652747755</v>
      </c>
      <c r="E31" s="1">
        <f>1-D31</f>
        <v>0.33579595347252245</v>
      </c>
      <c r="F31" s="12">
        <f t="shared" ref="F31:F41" si="0">C31*E31*$B$25</f>
        <v>1192655999.8249977</v>
      </c>
      <c r="G31" s="12">
        <f t="shared" ref="G31:G41" si="1">B31*$B$25*$B$27</f>
        <v>2775272163.7535605</v>
      </c>
      <c r="H31" s="12">
        <f>G31-F31</f>
        <v>1582616163.9285629</v>
      </c>
      <c r="I31" s="228">
        <f t="shared" ref="I31:I41" si="2">($B$27-E31)*B31*$B$26</f>
        <v>8534054.9460203536</v>
      </c>
      <c r="J31" s="135">
        <v>2025</v>
      </c>
      <c r="K31" s="19">
        <f>'Load Forecast'!O6</f>
        <v>6159986.0799216339</v>
      </c>
      <c r="L31" s="226">
        <f>Requirements!J18</f>
        <v>4091487.6808368829</v>
      </c>
      <c r="M31" s="227">
        <f>D31</f>
        <v>0.66420404652747755</v>
      </c>
      <c r="N31" s="1">
        <f>1-M31</f>
        <v>0.33579595347252245</v>
      </c>
      <c r="O31" s="12">
        <f t="shared" ref="O31:O41" si="3">N31*L31*$B$25</f>
        <v>1209998139.5836122</v>
      </c>
      <c r="P31" s="226">
        <f t="shared" ref="P31:P41" si="4">K31*$B$25*$B$27</f>
        <v>2815626765.3646445</v>
      </c>
      <c r="Q31" s="12">
        <f>P31-O31</f>
        <v>1605628625.7810323</v>
      </c>
      <c r="R31" s="228">
        <f t="shared" ref="R31:R41" si="5">($B$27-N31)*K31*$B$26</f>
        <v>8658146.6988839582</v>
      </c>
    </row>
    <row r="32" spans="1:18" x14ac:dyDescent="0.3">
      <c r="A32" s="135">
        <v>2026</v>
      </c>
      <c r="B32" s="19">
        <f>'Load Forecast'!G7</f>
        <v>6114967.8152850615</v>
      </c>
      <c r="C32" s="226">
        <f>Requirements!B19</f>
        <v>4061586.3672976266</v>
      </c>
      <c r="D32" s="227">
        <f>Requirements!B4</f>
        <v>0.66420404652747755</v>
      </c>
      <c r="E32" s="1">
        <f t="shared" ref="E32:E41" si="6">1-D32</f>
        <v>0.33579595347252245</v>
      </c>
      <c r="F32" s="12">
        <f t="shared" si="0"/>
        <v>1201155259.7863531</v>
      </c>
      <c r="G32" s="12">
        <f t="shared" si="1"/>
        <v>2795049668.4042864</v>
      </c>
      <c r="H32" s="12">
        <f t="shared" ref="H32:H41" si="7">G32-F32</f>
        <v>1593894408.6179333</v>
      </c>
      <c r="I32" s="228">
        <f t="shared" si="2"/>
        <v>8594871.4358727168</v>
      </c>
      <c r="J32" s="135">
        <v>2026</v>
      </c>
      <c r="K32" s="19">
        <f>'Load Forecast'!O7</f>
        <v>6269324.550796546</v>
      </c>
      <c r="L32" s="226">
        <f>Requirements!J19</f>
        <v>4164110.7356331265</v>
      </c>
      <c r="M32" s="227">
        <f t="shared" ref="M32:M41" si="8">D32</f>
        <v>0.66420404652747755</v>
      </c>
      <c r="N32" s="1">
        <f t="shared" ref="N32:N41" si="9">1-M32</f>
        <v>0.33579595347252245</v>
      </c>
      <c r="O32" s="12">
        <f t="shared" si="3"/>
        <v>1231475354.7310274</v>
      </c>
      <c r="P32" s="226">
        <f t="shared" si="4"/>
        <v>2865603554.4491034</v>
      </c>
      <c r="Q32" s="12">
        <f t="shared" ref="Q32:Q41" si="10">P32-O32</f>
        <v>1634128199.718076</v>
      </c>
      <c r="R32" s="228">
        <f t="shared" si="5"/>
        <v>8811827.0008171536</v>
      </c>
    </row>
    <row r="33" spans="1:18" x14ac:dyDescent="0.3">
      <c r="A33" s="135">
        <v>2027</v>
      </c>
      <c r="B33" s="19">
        <f>'Load Forecast'!G8</f>
        <v>6163671.8652282413</v>
      </c>
      <c r="C33" s="226">
        <f>Requirements!B20</f>
        <v>4093935.7943521631</v>
      </c>
      <c r="D33" s="227">
        <f>Requirements!B5</f>
        <v>0.66420404652747755</v>
      </c>
      <c r="E33" s="1">
        <f t="shared" si="6"/>
        <v>0.33579595347252245</v>
      </c>
      <c r="F33" s="12">
        <f t="shared" si="0"/>
        <v>1210722133.6488643</v>
      </c>
      <c r="G33" s="12">
        <f t="shared" si="1"/>
        <v>2817311476.2756801</v>
      </c>
      <c r="H33" s="12">
        <f t="shared" si="7"/>
        <v>1606589342.6268158</v>
      </c>
      <c r="I33" s="228">
        <f t="shared" si="2"/>
        <v>8663327.2414162233</v>
      </c>
      <c r="J33" s="135">
        <v>2027</v>
      </c>
      <c r="K33" s="19">
        <f>'Load Forecast'!O8</f>
        <v>6397255.576150001</v>
      </c>
      <c r="L33" s="226">
        <f>Requirements!J20</f>
        <v>4249083.040349301</v>
      </c>
      <c r="M33" s="227">
        <f t="shared" si="8"/>
        <v>0.66420404652747755</v>
      </c>
      <c r="N33" s="1">
        <f t="shared" si="9"/>
        <v>0.33579595347252245</v>
      </c>
      <c r="O33" s="12">
        <f t="shared" si="3"/>
        <v>1256604681.4314985</v>
      </c>
      <c r="P33" s="226">
        <f t="shared" si="4"/>
        <v>2924078689.6900439</v>
      </c>
      <c r="Q33" s="12">
        <f t="shared" si="10"/>
        <v>1667474008.2585454</v>
      </c>
      <c r="R33" s="228">
        <f t="shared" si="5"/>
        <v>8991640.0020931158</v>
      </c>
    </row>
    <row r="34" spans="1:18" x14ac:dyDescent="0.3">
      <c r="A34" s="135">
        <v>2028</v>
      </c>
      <c r="B34" s="19">
        <f>'Load Forecast'!G9</f>
        <v>6225730.3239021655</v>
      </c>
      <c r="C34" s="226">
        <f>Requirements!B21</f>
        <v>4361163.3872573478</v>
      </c>
      <c r="D34" s="227">
        <f>Requirements!B6</f>
        <v>0.70050631176775036</v>
      </c>
      <c r="E34" s="1">
        <f t="shared" si="6"/>
        <v>0.29949368823224964</v>
      </c>
      <c r="F34" s="12">
        <f t="shared" si="0"/>
        <v>1150318297.5286586</v>
      </c>
      <c r="G34" s="12">
        <f t="shared" si="1"/>
        <v>2845677361.359271</v>
      </c>
      <c r="H34" s="12">
        <f t="shared" si="7"/>
        <v>1695359063.8306124</v>
      </c>
      <c r="I34" s="228">
        <f t="shared" si="2"/>
        <v>10484493.736954514</v>
      </c>
      <c r="J34" s="135">
        <v>2028</v>
      </c>
      <c r="K34" s="19">
        <f>'Load Forecast'!O9</f>
        <v>6539584.3123036427</v>
      </c>
      <c r="L34" s="226">
        <f>Requirements!J21</f>
        <v>4581020.0871060649</v>
      </c>
      <c r="M34" s="227">
        <f t="shared" si="8"/>
        <v>0.70050631176775036</v>
      </c>
      <c r="N34" s="1">
        <f t="shared" si="9"/>
        <v>0.29949368823224964</v>
      </c>
      <c r="O34" s="12">
        <f t="shared" si="3"/>
        <v>1208308600.1642344</v>
      </c>
      <c r="P34" s="226">
        <f t="shared" si="4"/>
        <v>2989134778.0959797</v>
      </c>
      <c r="Q34" s="12">
        <f t="shared" si="10"/>
        <v>1780826177.9317453</v>
      </c>
      <c r="R34" s="228">
        <f t="shared" si="5"/>
        <v>11013042.197057266</v>
      </c>
    </row>
    <row r="35" spans="1:18" x14ac:dyDescent="0.3">
      <c r="A35" s="135">
        <v>2029</v>
      </c>
      <c r="B35" s="19">
        <f>'Load Forecast'!G10</f>
        <v>6273575.0955762872</v>
      </c>
      <c r="C35" s="226">
        <f>Requirements!B22</f>
        <v>4394678.9518001573</v>
      </c>
      <c r="D35" s="227">
        <f>Requirements!B7</f>
        <v>0.70050631176775036</v>
      </c>
      <c r="E35" s="1">
        <f t="shared" si="6"/>
        <v>0.29949368823224964</v>
      </c>
      <c r="F35" s="12">
        <f t="shared" si="0"/>
        <v>1159158499.952224</v>
      </c>
      <c r="G35" s="12">
        <f t="shared" si="1"/>
        <v>2867546407.4838247</v>
      </c>
      <c r="H35" s="12">
        <f t="shared" si="7"/>
        <v>1708387907.5316007</v>
      </c>
      <c r="I35" s="228">
        <f t="shared" si="2"/>
        <v>10565067.128808232</v>
      </c>
      <c r="J35" s="135">
        <v>2029</v>
      </c>
      <c r="K35" s="19">
        <f>'Load Forecast'!O10</f>
        <v>6681807.0928948838</v>
      </c>
      <c r="L35" s="226">
        <f>Requirements!J22</f>
        <v>4680648.0425873892</v>
      </c>
      <c r="M35" s="227">
        <f t="shared" si="8"/>
        <v>0.70050631176775036</v>
      </c>
      <c r="N35" s="1">
        <f t="shared" si="9"/>
        <v>0.29949368823224964</v>
      </c>
      <c r="O35" s="12">
        <f t="shared" si="3"/>
        <v>1234586877.3024845</v>
      </c>
      <c r="P35" s="226">
        <f t="shared" si="4"/>
        <v>3054142435.9838004</v>
      </c>
      <c r="Q35" s="12">
        <f t="shared" si="10"/>
        <v>1819555558.6813159</v>
      </c>
      <c r="R35" s="228">
        <f t="shared" si="5"/>
        <v>11252553.671981946</v>
      </c>
    </row>
    <row r="36" spans="1:18" x14ac:dyDescent="0.3">
      <c r="A36" s="135">
        <v>2030</v>
      </c>
      <c r="B36" s="19">
        <f>'Load Forecast'!G11</f>
        <v>6335843.3002838604</v>
      </c>
      <c r="C36" s="226">
        <f>Requirements!B23</f>
        <v>6058522.3319961568</v>
      </c>
      <c r="D36" s="227">
        <f>Requirements!B8</f>
        <v>0.95622982527435951</v>
      </c>
      <c r="E36" s="1">
        <f t="shared" si="6"/>
        <v>4.3770174725640487E-2</v>
      </c>
      <c r="F36" s="12">
        <f t="shared" si="0"/>
        <v>233546299.13132212</v>
      </c>
      <c r="G36" s="12">
        <f t="shared" si="1"/>
        <v>2896008163.9766383</v>
      </c>
      <c r="H36" s="12">
        <f t="shared" si="7"/>
        <v>2662461864.8453164</v>
      </c>
      <c r="I36" s="228">
        <f t="shared" si="2"/>
        <v>23100334.248584736</v>
      </c>
      <c r="J36" s="135">
        <v>2030</v>
      </c>
      <c r="K36" s="19">
        <f>'Load Forecast'!O11</f>
        <v>6832361.4069560561</v>
      </c>
      <c r="L36" s="226">
        <f>Requirements!J23</f>
        <v>6533307.7543848669</v>
      </c>
      <c r="M36" s="227">
        <f t="shared" si="8"/>
        <v>0.95622982527435951</v>
      </c>
      <c r="N36" s="1">
        <f t="shared" si="9"/>
        <v>4.3770174725640487E-2</v>
      </c>
      <c r="O36" s="12">
        <f t="shared" si="3"/>
        <v>251848514.12767267</v>
      </c>
      <c r="P36" s="226">
        <f t="shared" si="4"/>
        <v>3122958298.6841173</v>
      </c>
      <c r="Q36" s="12">
        <f t="shared" si="10"/>
        <v>2871109784.5564446</v>
      </c>
      <c r="R36" s="228">
        <f t="shared" si="5"/>
        <v>24910627.477283794</v>
      </c>
    </row>
    <row r="37" spans="1:18" x14ac:dyDescent="0.3">
      <c r="A37" s="135">
        <v>2031</v>
      </c>
      <c r="B37" s="19">
        <f>'Load Forecast'!G12</f>
        <v>6409069.6046545431</v>
      </c>
      <c r="C37" s="226">
        <f>Requirements!B24</f>
        <v>6162546.6714329943</v>
      </c>
      <c r="D37" s="227">
        <f>Requirements!B9</f>
        <v>0.96153530099867957</v>
      </c>
      <c r="E37" s="1">
        <f t="shared" si="6"/>
        <v>3.8464699001320435E-2</v>
      </c>
      <c r="F37" s="12">
        <f t="shared" si="0"/>
        <v>208761570.81442693</v>
      </c>
      <c r="G37" s="12">
        <f t="shared" si="1"/>
        <v>2929478684.8251944</v>
      </c>
      <c r="H37" s="12">
        <f t="shared" si="7"/>
        <v>2720717114.0107675</v>
      </c>
      <c r="I37" s="228">
        <f t="shared" si="2"/>
        <v>23628188.81682238</v>
      </c>
      <c r="J37" s="135">
        <v>2031</v>
      </c>
      <c r="K37" s="19">
        <f>'Load Forecast'!O12</f>
        <v>6986003.7232129313</v>
      </c>
      <c r="L37" s="226">
        <f>Requirements!J24</f>
        <v>6717289.1927774418</v>
      </c>
      <c r="M37" s="227">
        <f t="shared" si="8"/>
        <v>0.96153530099867957</v>
      </c>
      <c r="N37" s="1">
        <f t="shared" si="9"/>
        <v>3.8464699001320435E-2</v>
      </c>
      <c r="O37" s="12">
        <f t="shared" si="3"/>
        <v>227553951.03123972</v>
      </c>
      <c r="P37" s="226">
        <f t="shared" si="4"/>
        <v>3193185635.6184535</v>
      </c>
      <c r="Q37" s="12">
        <f t="shared" si="10"/>
        <v>2965631684.587214</v>
      </c>
      <c r="R37" s="228">
        <f t="shared" si="5"/>
        <v>25755160.300836928</v>
      </c>
    </row>
    <row r="38" spans="1:18" x14ac:dyDescent="0.3">
      <c r="A38" s="135">
        <v>2032</v>
      </c>
      <c r="B38" s="19">
        <f>'Load Forecast'!G13</f>
        <v>6507710.9787170896</v>
      </c>
      <c r="C38" s="226">
        <f>Requirements!B25</f>
        <v>6257393.8347331481</v>
      </c>
      <c r="D38" s="227">
        <f>Requirements!B10</f>
        <v>0.96153530099867957</v>
      </c>
      <c r="E38" s="1">
        <f t="shared" si="6"/>
        <v>3.8464699001320435E-2</v>
      </c>
      <c r="F38" s="12">
        <f t="shared" si="0"/>
        <v>211974600.07871133</v>
      </c>
      <c r="G38" s="12">
        <f t="shared" si="1"/>
        <v>2974566009.5982375</v>
      </c>
      <c r="H38" s="12">
        <f t="shared" si="7"/>
        <v>2762591409.519526</v>
      </c>
      <c r="I38" s="228">
        <f t="shared" si="2"/>
        <v>23991847.999086212</v>
      </c>
      <c r="J38" s="135">
        <v>2032</v>
      </c>
      <c r="K38" s="19">
        <f>'Load Forecast'!O13</f>
        <v>7150575.5696815532</v>
      </c>
      <c r="L38" s="226">
        <f>Requirements!J25</f>
        <v>6875530.8327075569</v>
      </c>
      <c r="M38" s="227">
        <f t="shared" si="8"/>
        <v>0.96153530099867957</v>
      </c>
      <c r="N38" s="1">
        <f t="shared" si="9"/>
        <v>3.8464699001320435E-2</v>
      </c>
      <c r="O38" s="12">
        <f t="shared" si="3"/>
        <v>232914522.736635</v>
      </c>
      <c r="P38" s="226">
        <f t="shared" si="4"/>
        <v>3268408678.2894244</v>
      </c>
      <c r="Q38" s="12">
        <f t="shared" si="10"/>
        <v>3035494155.5527892</v>
      </c>
      <c r="R38" s="228">
        <f t="shared" si="5"/>
        <v>26361884.038003031</v>
      </c>
    </row>
    <row r="39" spans="1:18" x14ac:dyDescent="0.3">
      <c r="A39" s="135">
        <v>2033</v>
      </c>
      <c r="B39" s="19">
        <f>'Load Forecast'!G14</f>
        <v>6596559.2138399016</v>
      </c>
      <c r="C39" s="226">
        <f>Requirements!B26</f>
        <v>6342824.5492351633</v>
      </c>
      <c r="D39" s="227">
        <f>Requirements!B11</f>
        <v>0.96153530099867957</v>
      </c>
      <c r="E39" s="1">
        <f t="shared" si="6"/>
        <v>3.8464699001320435E-2</v>
      </c>
      <c r="F39" s="12">
        <f t="shared" si="0"/>
        <v>214868639.03794771</v>
      </c>
      <c r="G39" s="12">
        <f t="shared" si="1"/>
        <v>3015177054.107348</v>
      </c>
      <c r="H39" s="12">
        <f t="shared" si="7"/>
        <v>2800308415.0694003</v>
      </c>
      <c r="I39" s="228">
        <f t="shared" si="2"/>
        <v>24319403.011751175</v>
      </c>
      <c r="J39" s="135">
        <v>2033</v>
      </c>
      <c r="K39" s="19">
        <f>'Load Forecast'!O14</f>
        <v>7289662.1653458681</v>
      </c>
      <c r="L39" s="226">
        <f>Requirements!J26</f>
        <v>7009267.5043345252</v>
      </c>
      <c r="M39" s="227">
        <f t="shared" si="8"/>
        <v>0.96153530099867957</v>
      </c>
      <c r="N39" s="1">
        <f t="shared" si="9"/>
        <v>3.8464699001320435E-2</v>
      </c>
      <c r="O39" s="12">
        <f t="shared" si="3"/>
        <v>237444967.5564301</v>
      </c>
      <c r="P39" s="226">
        <f t="shared" si="4"/>
        <v>3331982838.4214354</v>
      </c>
      <c r="Q39" s="12">
        <f t="shared" si="10"/>
        <v>3094537870.8650055</v>
      </c>
      <c r="R39" s="228">
        <f t="shared" si="5"/>
        <v>26874651.810389023</v>
      </c>
    </row>
    <row r="40" spans="1:18" x14ac:dyDescent="0.3">
      <c r="A40" s="135">
        <v>2034</v>
      </c>
      <c r="B40" s="19">
        <f>'Load Forecast'!G15</f>
        <v>6698574.1219204003</v>
      </c>
      <c r="C40" s="226">
        <f>Requirements!B27</f>
        <v>6476454.6069741054</v>
      </c>
      <c r="D40" s="227">
        <f>Requirements!B12</f>
        <v>0.96684077672299962</v>
      </c>
      <c r="E40" s="1">
        <f t="shared" si="6"/>
        <v>3.3159223277000383E-2</v>
      </c>
      <c r="F40" s="12">
        <f t="shared" si="0"/>
        <v>189134027.77633989</v>
      </c>
      <c r="G40" s="12">
        <f t="shared" si="1"/>
        <v>3061806364.9419789</v>
      </c>
      <c r="H40" s="12">
        <f t="shared" si="7"/>
        <v>2872672337.1656389</v>
      </c>
      <c r="I40" s="228">
        <f t="shared" si="2"/>
        <v>24968156.456514739</v>
      </c>
      <c r="J40" s="135">
        <v>2034</v>
      </c>
      <c r="K40" s="19">
        <f>'Load Forecast'!O15</f>
        <v>7438434.637711158</v>
      </c>
      <c r="L40" s="226">
        <f>Requirements!J27</f>
        <v>7191781.9227279201</v>
      </c>
      <c r="M40" s="227">
        <f t="shared" si="8"/>
        <v>0.96684077672299962</v>
      </c>
      <c r="N40" s="1">
        <f t="shared" si="9"/>
        <v>3.3159223277000383E-2</v>
      </c>
      <c r="O40" s="12">
        <f t="shared" si="3"/>
        <v>210023965.96277726</v>
      </c>
      <c r="P40" s="226">
        <f t="shared" si="4"/>
        <v>3399984251.0393209</v>
      </c>
      <c r="Q40" s="12">
        <f t="shared" si="10"/>
        <v>3189960285.0765438</v>
      </c>
      <c r="R40" s="228">
        <f t="shared" si="5"/>
        <v>27725900.534289509</v>
      </c>
    </row>
    <row r="41" spans="1:18" x14ac:dyDescent="0.3">
      <c r="A41" s="135">
        <v>2035</v>
      </c>
      <c r="B41" s="19">
        <f>'Load Forecast'!G16</f>
        <v>6802705.16354731</v>
      </c>
      <c r="C41" s="226">
        <f>Requirements!B28</f>
        <v>6802705.16354731</v>
      </c>
      <c r="D41" s="227">
        <f>Requirements!B13</f>
        <v>1</v>
      </c>
      <c r="E41" s="1">
        <f t="shared" si="6"/>
        <v>0</v>
      </c>
      <c r="F41" s="12">
        <f t="shared" si="0"/>
        <v>0</v>
      </c>
      <c r="G41" s="12">
        <f t="shared" si="1"/>
        <v>3109402925.0812445</v>
      </c>
      <c r="H41" s="12">
        <f t="shared" si="7"/>
        <v>3109402925.0812445</v>
      </c>
      <c r="I41" s="228">
        <f t="shared" si="2"/>
        <v>27086890.601537019</v>
      </c>
      <c r="J41" s="135">
        <v>2035</v>
      </c>
      <c r="K41" s="19">
        <f>'Load Forecast'!O16</f>
        <v>7566061.3169552684</v>
      </c>
      <c r="L41" s="226">
        <f>Requirements!J28</f>
        <v>7566061.3169552684</v>
      </c>
      <c r="M41" s="227">
        <f t="shared" si="8"/>
        <v>1</v>
      </c>
      <c r="N41" s="1">
        <f t="shared" si="9"/>
        <v>0</v>
      </c>
      <c r="O41" s="12">
        <f t="shared" si="3"/>
        <v>0</v>
      </c>
      <c r="P41" s="226">
        <f t="shared" si="4"/>
        <v>3458320274.7562604</v>
      </c>
      <c r="Q41" s="12">
        <f t="shared" si="10"/>
        <v>3458320274.7562604</v>
      </c>
      <c r="R41" s="228">
        <f t="shared" si="5"/>
        <v>30126408.575676199</v>
      </c>
    </row>
    <row r="42" spans="1:18" ht="15" thickBot="1" x14ac:dyDescent="0.35">
      <c r="A42" s="141"/>
      <c r="B42" s="110"/>
      <c r="C42" s="110"/>
      <c r="D42" s="110"/>
      <c r="E42" s="110"/>
      <c r="F42" s="110"/>
      <c r="G42" s="110"/>
      <c r="H42" s="110"/>
      <c r="I42" s="148"/>
      <c r="J42" s="141"/>
      <c r="K42" s="110"/>
      <c r="L42" s="110"/>
      <c r="M42" s="110"/>
      <c r="N42" s="110"/>
      <c r="O42" s="235"/>
      <c r="P42" s="111"/>
      <c r="Q42" s="110"/>
      <c r="R42" s="148"/>
    </row>
    <row r="43" spans="1:18" x14ac:dyDescent="0.3">
      <c r="A43" s="132" t="s">
        <v>13</v>
      </c>
      <c r="B43" s="163"/>
      <c r="C43" s="163"/>
      <c r="D43" s="163"/>
      <c r="E43" s="163"/>
      <c r="F43" s="163"/>
      <c r="G43" s="163"/>
      <c r="H43" s="229" t="s">
        <v>176</v>
      </c>
      <c r="I43" s="230" t="s">
        <v>177</v>
      </c>
      <c r="J43" s="132" t="s">
        <v>13</v>
      </c>
      <c r="K43" s="163"/>
      <c r="L43" s="163"/>
      <c r="M43" s="163"/>
      <c r="N43" s="163"/>
      <c r="O43" s="163"/>
      <c r="P43" s="233"/>
      <c r="Q43" s="229" t="s">
        <v>176</v>
      </c>
      <c r="R43" s="230" t="s">
        <v>177</v>
      </c>
    </row>
    <row r="44" spans="1:18" x14ac:dyDescent="0.3">
      <c r="A44" s="135">
        <v>2025</v>
      </c>
      <c r="H44" s="19">
        <f>('Tier III'!B75*'Tier III Planning Tool'!$F$40)+('Tier III'!C75*'Tier III Planning Tool'!$F$41)+('Tier III'!D75*'Tier III Planning Tool'!$F$47)</f>
        <v>59056202.411916837</v>
      </c>
      <c r="I44" s="149">
        <f>'Tier III'!B103+'Tier III'!C103+'Tier III'!D103</f>
        <v>382578.11064341449</v>
      </c>
      <c r="J44" s="135">
        <v>2025</v>
      </c>
      <c r="P44" s="226"/>
      <c r="Q44" s="19">
        <f>('Tier III'!I75*'Tier III Planning Tool'!$F$40)+('Tier III'!J75*'Tier III Planning Tool'!$F$41)+('Tier III'!K75*'Tier III Planning Tool'!$F$47)</f>
        <v>59914925.225528449</v>
      </c>
      <c r="R44" s="149">
        <f>'Tier III'!I103+'Tier III'!J103+'Tier III'!K103</f>
        <v>388141.09197611921</v>
      </c>
    </row>
    <row r="45" spans="1:18" x14ac:dyDescent="0.3">
      <c r="A45" s="135">
        <v>2026</v>
      </c>
      <c r="H45" s="19">
        <f>('Tier III'!B76*'Tier III Planning Tool'!$F$40)+('Tier III'!C76*'Tier III Planning Tool'!$F$41)+('Tier III'!D76*'Tier III Planning Tool'!$F$47)</f>
        <v>123940263.92335781</v>
      </c>
      <c r="I45" s="149">
        <f>'Tier III'!B104+'Tier III'!C104+'Tier III'!D104</f>
        <v>802910.27983330376</v>
      </c>
      <c r="J45" s="135">
        <v>2026</v>
      </c>
      <c r="P45" s="226"/>
      <c r="Q45" s="19">
        <f>('Tier III'!I76*'Tier III Planning Tool'!$F$40)+('Tier III'!J76*'Tier III Planning Tool'!$F$41)+('Tier III'!K76*'Tier III Planning Tool'!$F$47)</f>
        <v>126436819.05664213</v>
      </c>
      <c r="R45" s="149">
        <f>'Tier III'!I104+'Tier III'!J104+'Tier III'!K104</f>
        <v>819083.47260562296</v>
      </c>
    </row>
    <row r="46" spans="1:18" x14ac:dyDescent="0.3">
      <c r="A46" s="135">
        <v>2027</v>
      </c>
      <c r="H46" s="19">
        <f>('Tier III'!B77*'Tier III Planning Tool'!$F$40)+('Tier III'!C77*'Tier III Planning Tool'!$F$41)+('Tier III'!D77*'Tier III Planning Tool'!$F$47)</f>
        <v>194791179.72488186</v>
      </c>
      <c r="I46" s="149">
        <f>'Tier III'!B105+'Tier III'!C105+'Tier III'!D105</f>
        <v>1261896.9467313609</v>
      </c>
      <c r="J46" s="135">
        <v>2027</v>
      </c>
      <c r="P46" s="226"/>
      <c r="Q46" s="19">
        <f>('Tier III'!I77*'Tier III Planning Tool'!$F$40)+('Tier III'!J77*'Tier III Planning Tool'!$F$41)+('Tier III'!K77*'Tier III Planning Tool'!$F$47)</f>
        <v>199972760.95900193</v>
      </c>
      <c r="R46" s="149">
        <f>'Tier III'!I105+'Tier III'!J105+'Tier III'!K105</f>
        <v>1295464.2856006653</v>
      </c>
    </row>
    <row r="47" spans="1:18" x14ac:dyDescent="0.3">
      <c r="A47" s="135">
        <v>2028</v>
      </c>
      <c r="H47" s="19">
        <f>('Tier III'!B78*'Tier III Planning Tool'!$F$40)+('Tier III'!C78*'Tier III Planning Tool'!$F$41)+('Tier III'!D78*'Tier III Planning Tool'!$F$47)</f>
        <v>271860396.61593223</v>
      </c>
      <c r="I47" s="149">
        <f>'Tier III'!B106+'Tier III'!C106+'Tier III'!D106</f>
        <v>1761167.034931205</v>
      </c>
      <c r="J47" s="135">
        <v>2028</v>
      </c>
      <c r="P47" s="226"/>
      <c r="Q47" s="19">
        <f>('Tier III'!I78*'Tier III Planning Tool'!$F$40)+('Tier III'!J78*'Tier III Planning Tool'!$F$41)+('Tier III'!K78*'Tier III Planning Tool'!$F$47)</f>
        <v>280927221.80470437</v>
      </c>
      <c r="R47" s="149">
        <f>'Tier III'!I106+'Tier III'!J106+'Tier III'!K106</f>
        <v>1819903.7756728446</v>
      </c>
    </row>
    <row r="48" spans="1:18" x14ac:dyDescent="0.3">
      <c r="A48" s="135">
        <v>2029</v>
      </c>
      <c r="H48" s="19">
        <f>('Tier III'!B79*'Tier III Planning Tool'!$F$40)+('Tier III'!C79*'Tier III Planning Tool'!$F$41)+('Tier III'!D79*'Tier III Planning Tool'!$F$47)</f>
        <v>355069140.45031005</v>
      </c>
      <c r="I48" s="149">
        <f>'Tier III'!B107+'Tier III'!C107+'Tier III'!D107</f>
        <v>2300210.2294652383</v>
      </c>
      <c r="J48" s="135">
        <v>2029</v>
      </c>
      <c r="P48" s="226"/>
      <c r="Q48" s="19">
        <f>('Tier III'!I79*'Tier III Planning Tool'!$F$40)+('Tier III'!J79*'Tier III Planning Tool'!$F$41)+('Tier III'!K79*'Tier III Planning Tool'!$F$47)</f>
        <v>369550497.41281223</v>
      </c>
      <c r="R48" s="149">
        <f>'Tier III'!I107+'Tier III'!J107+'Tier III'!K107</f>
        <v>2394023.4101303909</v>
      </c>
    </row>
    <row r="49" spans="1:18" x14ac:dyDescent="0.3">
      <c r="A49" s="135">
        <v>2030</v>
      </c>
      <c r="H49" s="19">
        <f>('Tier III'!B80*'Tier III Planning Tool'!$F$40)+('Tier III'!C80*'Tier III Planning Tool'!$F$41)+('Tier III'!D80*'Tier III Planning Tool'!$F$47)</f>
        <v>444706079.15338105</v>
      </c>
      <c r="I49" s="149">
        <f>'Tier III'!B108+'Tier III'!C108+'Tier III'!D108</f>
        <v>2880896.5799638024</v>
      </c>
      <c r="J49" s="135">
        <v>2030</v>
      </c>
      <c r="P49" s="226"/>
      <c r="Q49" s="19">
        <f>('Tier III'!I80*'Tier III Planning Tool'!$F$40)+('Tier III'!J80*'Tier III Planning Tool'!$F$41)+('Tier III'!K80*'Tier III Planning Tool'!$F$47)</f>
        <v>466211972.70610267</v>
      </c>
      <c r="R49" s="149">
        <f>'Tier III'!I108+'Tier III'!J108+'Tier III'!K108</f>
        <v>3020216.1397572099</v>
      </c>
    </row>
    <row r="50" spans="1:18" x14ac:dyDescent="0.3">
      <c r="A50" s="135">
        <v>2031</v>
      </c>
      <c r="H50" s="19">
        <f>('Tier III'!B81*'Tier III Planning Tool'!$F$40)+('Tier III'!C81*'Tier III Planning Tool'!$F$41)+('Tier III'!D81*'Tier III Planning Tool'!$F$47)</f>
        <v>541046051.05180156</v>
      </c>
      <c r="I50" s="149">
        <f>'Tier III'!B109+'Tier III'!C109+'Tier III'!D109</f>
        <v>3505006.5450993176</v>
      </c>
      <c r="J50" s="135">
        <v>2031</v>
      </c>
      <c r="P50" s="226"/>
      <c r="Q50" s="19">
        <f>('Tier III'!I81*'Tier III Planning Tool'!$F$40)+('Tier III'!J81*'Tier III Planning Tool'!$F$41)+('Tier III'!K81*'Tier III Planning Tool'!$F$47)</f>
        <v>571224313.63743079</v>
      </c>
      <c r="R50" s="149">
        <f>'Tier III'!I109+'Tier III'!J109+'Tier III'!K109</f>
        <v>3700507.4782947968</v>
      </c>
    </row>
    <row r="51" spans="1:18" x14ac:dyDescent="0.3">
      <c r="A51" s="135">
        <v>2032</v>
      </c>
      <c r="H51" s="19">
        <f>('Tier III'!B82*'Tier III Planning Tool'!$F$40)+('Tier III'!C82*'Tier III Planning Tool'!$F$41)+('Tier III'!D82*'Tier III Planning Tool'!$F$47)</f>
        <v>644623060.49729002</v>
      </c>
      <c r="I51" s="149">
        <f>'Tier III'!B110+'Tier III'!C110+'Tier III'!D110</f>
        <v>4175999.5138540096</v>
      </c>
      <c r="J51" s="135">
        <v>2032</v>
      </c>
      <c r="P51" s="226"/>
      <c r="Q51" s="19">
        <f>('Tier III'!I82*'Tier III Planning Tool'!$F$40)+('Tier III'!J82*'Tier III Planning Tool'!$F$41)+('Tier III'!K82*'Tier III Planning Tool'!$F$47)</f>
        <v>685033183.72151554</v>
      </c>
      <c r="R51" s="149">
        <f>'Tier III'!I110+'Tier III'!J110+'Tier III'!K110</f>
        <v>4437784.5247857673</v>
      </c>
    </row>
    <row r="52" spans="1:18" x14ac:dyDescent="0.3">
      <c r="A52" s="135">
        <v>2033</v>
      </c>
      <c r="H52" s="19">
        <f>('Tier III'!B83*'Tier III Planning Tool'!$F$40)+('Tier III'!C83*'Tier III Planning Tool'!$F$41)+('Tier III'!D83*'Tier III Planning Tool'!$F$47)</f>
        <v>749614182.29635823</v>
      </c>
      <c r="I52" s="149">
        <f>'Tier III'!B111+'Tier III'!C111+'Tier III'!D111</f>
        <v>4856153.3905298794</v>
      </c>
      <c r="J52" s="135">
        <v>2033</v>
      </c>
      <c r="P52" s="226"/>
      <c r="Q52" s="19">
        <f>('Tier III'!I83*'Tier III Planning Tool'!$F$40)+('Tier III'!J83*'Tier III Planning Tool'!$F$41)+('Tier III'!K83*'Tier III Planning Tool'!$F$47)</f>
        <v>801055762.07875156</v>
      </c>
      <c r="R52" s="149">
        <f>'Tier III'!I111+'Tier III'!J111+'Tier III'!K111</f>
        <v>5189402.4244652083</v>
      </c>
    </row>
    <row r="53" spans="1:18" x14ac:dyDescent="0.3">
      <c r="A53" s="135">
        <v>2034</v>
      </c>
      <c r="H53" s="19">
        <f>('Tier III'!B84*'Tier III Planning Tool'!$F$40)+('Tier III'!C84*'Tier III Planning Tool'!$F$41)+('Tier III'!D84*'Tier III Planning Tool'!$F$47)</f>
        <v>856228977.7853601</v>
      </c>
      <c r="I53" s="149">
        <f>'Tier III'!B112+'Tier III'!C112+'Tier III'!D112</f>
        <v>5546825.756157401</v>
      </c>
      <c r="J53" s="135">
        <v>2034</v>
      </c>
      <c r="P53" s="226"/>
      <c r="Q53" s="19">
        <f>('Tier III'!I84*'Tier III Planning Tool'!$F$40)+('Tier III'!J84*'Tier III Planning Tool'!$F$41)+('Tier III'!K84*'Tier III Planning Tool'!$F$47)</f>
        <v>919446209.54169989</v>
      </c>
      <c r="R53" s="149">
        <f>'Tier III'!I112+'Tier III'!J112+'Tier III'!K112</f>
        <v>5956359.8626133725</v>
      </c>
    </row>
    <row r="54" spans="1:18" x14ac:dyDescent="0.3">
      <c r="A54" s="135">
        <v>2035</v>
      </c>
      <c r="H54" s="19">
        <f>('Tier III'!B85*'Tier III Planning Tool'!$F$40)+('Tier III'!C85*'Tier III Planning Tool'!$F$41)+('Tier III'!D85*'Tier III Planning Tool'!$F$47)</f>
        <v>964501127.43735898</v>
      </c>
      <c r="I54" s="149">
        <f>'Tier III'!B113+'Tier III'!C113+'Tier III'!D113</f>
        <v>6248234.7997027449</v>
      </c>
      <c r="J54" s="135">
        <v>2035</v>
      </c>
      <c r="P54" s="226"/>
      <c r="Q54" s="19">
        <f>('Tier III'!I85*'Tier III Planning Tool'!$F$40)+('Tier III'!J85*'Tier III Planning Tool'!$F$41)+('Tier III'!K85*'Tier III Planning Tool'!$F$47)</f>
        <v>1039867968.7523265</v>
      </c>
      <c r="R54" s="149">
        <f>'Tier III'!I113+'Tier III'!J113+'Tier III'!K113</f>
        <v>6736476.5520986626</v>
      </c>
    </row>
    <row r="55" spans="1:18" x14ac:dyDescent="0.3">
      <c r="A55" s="137"/>
      <c r="I55" s="146"/>
      <c r="J55" s="137"/>
      <c r="P55" s="226"/>
      <c r="R55" s="146"/>
    </row>
    <row r="56" spans="1:18" s="110" customFormat="1" ht="15" thickBot="1" x14ac:dyDescent="0.35">
      <c r="A56" s="141"/>
      <c r="I56" s="148"/>
      <c r="J56" s="141"/>
      <c r="P56" s="111"/>
      <c r="R56" s="148"/>
    </row>
    <row r="57" spans="1:18" x14ac:dyDescent="0.3">
      <c r="A57" s="132" t="s">
        <v>179</v>
      </c>
      <c r="B57" s="163"/>
      <c r="C57" s="163"/>
      <c r="D57" s="163"/>
      <c r="E57" s="163"/>
      <c r="F57" s="163"/>
      <c r="G57" s="163"/>
      <c r="H57" s="229" t="s">
        <v>176</v>
      </c>
      <c r="I57" s="230" t="s">
        <v>177</v>
      </c>
      <c r="J57" s="132" t="s">
        <v>180</v>
      </c>
      <c r="K57" s="163"/>
      <c r="L57" s="163"/>
      <c r="M57" s="163"/>
      <c r="N57" s="163"/>
      <c r="O57" s="163"/>
      <c r="P57" s="163"/>
      <c r="Q57" s="229" t="s">
        <v>176</v>
      </c>
      <c r="R57" s="230" t="s">
        <v>177</v>
      </c>
    </row>
    <row r="58" spans="1:18" x14ac:dyDescent="0.3">
      <c r="A58" s="135">
        <v>2025</v>
      </c>
      <c r="H58" s="12">
        <f>H31+H44</f>
        <v>1641672366.3404796</v>
      </c>
      <c r="I58" s="231">
        <f>I31+I44</f>
        <v>8916633.0566637684</v>
      </c>
      <c r="J58" s="135">
        <v>2025</v>
      </c>
      <c r="P58"/>
      <c r="Q58" s="12">
        <f>Q31+Q44</f>
        <v>1665543551.0065608</v>
      </c>
      <c r="R58" s="231">
        <f>R31+R44</f>
        <v>9046287.7908600774</v>
      </c>
    </row>
    <row r="59" spans="1:18" x14ac:dyDescent="0.3">
      <c r="A59" s="135">
        <v>2026</v>
      </c>
      <c r="H59" s="12">
        <f t="shared" ref="H59:I59" si="11">H32+H45</f>
        <v>1717834672.541291</v>
      </c>
      <c r="I59" s="231">
        <f t="shared" si="11"/>
        <v>9397781.7157060206</v>
      </c>
      <c r="J59" s="135">
        <v>2026</v>
      </c>
      <c r="P59"/>
      <c r="Q59" s="12">
        <f t="shared" ref="Q59:R59" si="12">Q32+Q45</f>
        <v>1760565018.774718</v>
      </c>
      <c r="R59" s="231">
        <f t="shared" si="12"/>
        <v>9630910.4734227769</v>
      </c>
    </row>
    <row r="60" spans="1:18" x14ac:dyDescent="0.3">
      <c r="A60" s="135">
        <v>2027</v>
      </c>
      <c r="C60" s="232"/>
      <c r="H60" s="12">
        <f t="shared" ref="H60:I60" si="13">H33+H46</f>
        <v>1801380522.3516977</v>
      </c>
      <c r="I60" s="231">
        <f t="shared" si="13"/>
        <v>9925224.188147584</v>
      </c>
      <c r="J60" s="135">
        <v>2027</v>
      </c>
      <c r="L60" s="232"/>
      <c r="P60"/>
      <c r="Q60" s="12">
        <f t="shared" ref="Q60:R60" si="14">Q33+Q46</f>
        <v>1867446769.2175474</v>
      </c>
      <c r="R60" s="231">
        <f t="shared" si="14"/>
        <v>10287104.287693782</v>
      </c>
    </row>
    <row r="61" spans="1:18" x14ac:dyDescent="0.3">
      <c r="A61" s="135">
        <v>2028</v>
      </c>
      <c r="H61" s="12">
        <f t="shared" ref="H61:I61" si="15">H34+H47</f>
        <v>1967219460.4465446</v>
      </c>
      <c r="I61" s="231">
        <f t="shared" si="15"/>
        <v>12245660.771885719</v>
      </c>
      <c r="J61" s="135">
        <v>2028</v>
      </c>
      <c r="P61"/>
      <c r="Q61" s="12">
        <f t="shared" ref="Q61:R61" si="16">Q34+Q47</f>
        <v>2061753399.7364497</v>
      </c>
      <c r="R61" s="231">
        <f t="shared" si="16"/>
        <v>12832945.972730111</v>
      </c>
    </row>
    <row r="62" spans="1:18" x14ac:dyDescent="0.3">
      <c r="A62" s="135">
        <v>2029</v>
      </c>
      <c r="H62" s="12">
        <f t="shared" ref="H62:I62" si="17">H35+H48</f>
        <v>2063457047.9819107</v>
      </c>
      <c r="I62" s="231">
        <f t="shared" si="17"/>
        <v>12865277.358273471</v>
      </c>
      <c r="J62" s="135">
        <v>2029</v>
      </c>
      <c r="P62"/>
      <c r="Q62" s="12">
        <f t="shared" ref="Q62:R62" si="18">Q35+Q48</f>
        <v>2189106056.0941281</v>
      </c>
      <c r="R62" s="231">
        <f t="shared" si="18"/>
        <v>13646577.082112337</v>
      </c>
    </row>
    <row r="63" spans="1:18" x14ac:dyDescent="0.3">
      <c r="A63" s="135">
        <v>2030</v>
      </c>
      <c r="H63" s="12">
        <f t="shared" ref="H63:I63" si="19">H36+H49</f>
        <v>3107167943.9986973</v>
      </c>
      <c r="I63" s="231">
        <f t="shared" si="19"/>
        <v>25981230.828548539</v>
      </c>
      <c r="J63" s="135">
        <v>2030</v>
      </c>
      <c r="P63"/>
      <c r="Q63" s="12">
        <f t="shared" ref="Q63:R63" si="20">Q36+Q49</f>
        <v>3337321757.2625475</v>
      </c>
      <c r="R63" s="231">
        <f t="shared" si="20"/>
        <v>27930843.617041003</v>
      </c>
    </row>
    <row r="64" spans="1:18" x14ac:dyDescent="0.3">
      <c r="A64" s="135">
        <v>2031</v>
      </c>
      <c r="H64" s="12">
        <f t="shared" ref="H64:I64" si="21">H37+H50</f>
        <v>3261763165.0625691</v>
      </c>
      <c r="I64" s="231">
        <f t="shared" si="21"/>
        <v>27133195.361921698</v>
      </c>
      <c r="J64" s="135">
        <v>2031</v>
      </c>
      <c r="P64"/>
      <c r="Q64" s="12">
        <f t="shared" ref="Q64:R64" si="22">Q37+Q50</f>
        <v>3536855998.2246447</v>
      </c>
      <c r="R64" s="231">
        <f t="shared" si="22"/>
        <v>29455667.779131725</v>
      </c>
    </row>
    <row r="65" spans="1:18" x14ac:dyDescent="0.3">
      <c r="A65" s="135">
        <v>2032</v>
      </c>
      <c r="H65" s="12">
        <f t="shared" ref="H65:I65" si="23">H38+H51</f>
        <v>3407214470.0168161</v>
      </c>
      <c r="I65" s="231">
        <f t="shared" si="23"/>
        <v>28167847.512940221</v>
      </c>
      <c r="J65" s="135">
        <v>2032</v>
      </c>
      <c r="P65"/>
      <c r="Q65" s="12">
        <f t="shared" ref="Q65:R65" si="24">Q38+Q51</f>
        <v>3720527339.2743049</v>
      </c>
      <c r="R65" s="231">
        <f t="shared" si="24"/>
        <v>30799668.562788799</v>
      </c>
    </row>
    <row r="66" spans="1:18" x14ac:dyDescent="0.3">
      <c r="A66" s="135">
        <v>2033</v>
      </c>
      <c r="H66" s="12">
        <f t="shared" ref="H66:I66" si="25">H39+H52</f>
        <v>3549922597.3657584</v>
      </c>
      <c r="I66" s="231">
        <f t="shared" si="25"/>
        <v>29175556.402281053</v>
      </c>
      <c r="J66" s="135">
        <v>2033</v>
      </c>
      <c r="P66"/>
      <c r="Q66" s="12">
        <f t="shared" ref="Q66:R66" si="26">Q39+Q52</f>
        <v>3895593632.9437571</v>
      </c>
      <c r="R66" s="231">
        <f t="shared" si="26"/>
        <v>32064054.234854233</v>
      </c>
    </row>
    <row r="67" spans="1:18" x14ac:dyDescent="0.3">
      <c r="A67" s="135">
        <v>2034</v>
      </c>
      <c r="H67" s="12">
        <f t="shared" ref="H67:I67" si="27">H40+H53</f>
        <v>3728901314.9509993</v>
      </c>
      <c r="I67" s="231">
        <f t="shared" si="27"/>
        <v>30514982.21267214</v>
      </c>
      <c r="J67" s="135">
        <v>2034</v>
      </c>
      <c r="P67"/>
      <c r="Q67" s="12">
        <f t="shared" ref="Q67:R67" si="28">Q40+Q53</f>
        <v>4109406494.6182437</v>
      </c>
      <c r="R67" s="231">
        <f t="shared" si="28"/>
        <v>33682260.396902882</v>
      </c>
    </row>
    <row r="68" spans="1:18" x14ac:dyDescent="0.3">
      <c r="A68" s="135">
        <v>2035</v>
      </c>
      <c r="H68" s="12">
        <f t="shared" ref="H68:I68" si="29">H41+H54</f>
        <v>4073904052.5186033</v>
      </c>
      <c r="I68" s="231">
        <f t="shared" si="29"/>
        <v>33335125.401239764</v>
      </c>
      <c r="J68" s="135">
        <v>2035</v>
      </c>
      <c r="P68"/>
      <c r="Q68" s="12">
        <f t="shared" ref="Q68:R68" si="30">Q41+Q54</f>
        <v>4498188243.5085869</v>
      </c>
      <c r="R68" s="231">
        <f t="shared" si="30"/>
        <v>36862885.127774864</v>
      </c>
    </row>
    <row r="69" spans="1:18" ht="15" thickBot="1" x14ac:dyDescent="0.35">
      <c r="A69" s="141"/>
      <c r="B69" s="110"/>
      <c r="C69" s="110"/>
      <c r="D69" s="110"/>
      <c r="E69" s="110"/>
      <c r="F69" s="110"/>
      <c r="G69" s="110"/>
      <c r="H69" s="110"/>
      <c r="I69" s="148"/>
      <c r="J69" s="141"/>
      <c r="K69" s="110"/>
      <c r="L69" s="110"/>
      <c r="M69" s="110"/>
      <c r="N69" s="110"/>
      <c r="O69" s="110"/>
      <c r="P69" s="111"/>
      <c r="Q69" s="110"/>
      <c r="R69" s="148"/>
    </row>
  </sheetData>
  <mergeCells count="3">
    <mergeCell ref="L4:M4"/>
    <mergeCell ref="N4:O4"/>
    <mergeCell ref="K3:O3"/>
  </mergeCells>
  <hyperlinks>
    <hyperlink ref="L20" r:id="rId1" xr:uid="{46C96FF2-8E87-4D62-BE91-6ECC449CF860}"/>
    <hyperlink ref="L19" r:id="rId2" xr:uid="{EB55DE51-C388-40D3-AAF3-DAC1C103857B}"/>
  </hyperlinks>
  <pageMargins left="0.7" right="0.7" top="0.75" bottom="0.75" header="0.3" footer="0.3"/>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77ABEC-77C2-46F7-8965-0C43A5C75C49}">
  <sheetPr>
    <tabColor theme="1"/>
  </sheetPr>
  <dimension ref="A1:D8"/>
  <sheetViews>
    <sheetView zoomScale="130" zoomScaleNormal="130" workbookViewId="0">
      <selection activeCell="A10" sqref="A10"/>
    </sheetView>
  </sheetViews>
  <sheetFormatPr defaultRowHeight="14.4" x14ac:dyDescent="0.3"/>
  <cols>
    <col min="1" max="1" width="30.33203125" bestFit="1" customWidth="1"/>
    <col min="2" max="2" width="63.33203125" bestFit="1" customWidth="1"/>
    <col min="3" max="3" width="24.109375" customWidth="1"/>
    <col min="4" max="4" width="29" customWidth="1"/>
  </cols>
  <sheetData>
    <row r="1" spans="1:4" x14ac:dyDescent="0.3">
      <c r="A1" s="253" t="s">
        <v>0</v>
      </c>
      <c r="B1" s="253" t="s">
        <v>1</v>
      </c>
      <c r="C1" s="253" t="s">
        <v>2</v>
      </c>
      <c r="D1" s="253" t="s">
        <v>3</v>
      </c>
    </row>
    <row r="2" spans="1:4" x14ac:dyDescent="0.3">
      <c r="A2" s="37" t="s">
        <v>188</v>
      </c>
      <c r="B2" s="37" t="s">
        <v>4</v>
      </c>
      <c r="C2" s="40" t="s">
        <v>5</v>
      </c>
      <c r="D2" s="37" t="s">
        <v>6</v>
      </c>
    </row>
    <row r="3" spans="1:4" x14ac:dyDescent="0.3">
      <c r="A3" s="37" t="s">
        <v>187</v>
      </c>
      <c r="B3" s="37" t="s">
        <v>7</v>
      </c>
      <c r="C3" s="40" t="s">
        <v>5</v>
      </c>
      <c r="D3" s="37" t="s">
        <v>8</v>
      </c>
    </row>
    <row r="4" spans="1:4" x14ac:dyDescent="0.3">
      <c r="A4" s="37" t="s">
        <v>9</v>
      </c>
      <c r="B4" s="37" t="s">
        <v>10</v>
      </c>
      <c r="C4" s="249" t="s">
        <v>9</v>
      </c>
      <c r="D4" s="37" t="s">
        <v>189</v>
      </c>
    </row>
    <row r="5" spans="1:4" x14ac:dyDescent="0.3">
      <c r="A5" s="37" t="s">
        <v>192</v>
      </c>
      <c r="B5" s="37" t="s">
        <v>14</v>
      </c>
      <c r="C5" s="249" t="s">
        <v>13</v>
      </c>
      <c r="D5" s="37" t="s">
        <v>190</v>
      </c>
    </row>
    <row r="6" spans="1:4" x14ac:dyDescent="0.3">
      <c r="A6" s="37" t="s">
        <v>11</v>
      </c>
      <c r="B6" s="37" t="s">
        <v>12</v>
      </c>
      <c r="C6" s="249" t="s">
        <v>13</v>
      </c>
      <c r="D6" s="37" t="s">
        <v>191</v>
      </c>
    </row>
    <row r="7" spans="1:4" x14ac:dyDescent="0.3">
      <c r="A7" s="37" t="s">
        <v>15</v>
      </c>
      <c r="B7" s="37" t="s">
        <v>16</v>
      </c>
      <c r="C7" s="39" t="s">
        <v>17</v>
      </c>
      <c r="D7" s="37" t="s">
        <v>193</v>
      </c>
    </row>
    <row r="8" spans="1:4" x14ac:dyDescent="0.3">
      <c r="A8" s="37" t="s">
        <v>18</v>
      </c>
      <c r="B8" s="37" t="s">
        <v>16</v>
      </c>
      <c r="C8" s="39" t="s">
        <v>17</v>
      </c>
      <c r="D8" s="37" t="s">
        <v>194</v>
      </c>
    </row>
  </sheetData>
  <phoneticPr fontId="1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2C3F5-2EC6-435C-8282-899E07D523C9}">
  <sheetPr>
    <tabColor theme="0" tint="-0.249977111117893"/>
  </sheetPr>
  <dimension ref="A1:R30"/>
  <sheetViews>
    <sheetView zoomScale="85" zoomScaleNormal="85" workbookViewId="0"/>
  </sheetViews>
  <sheetFormatPr defaultRowHeight="14.4" x14ac:dyDescent="0.3"/>
  <cols>
    <col min="1" max="1" width="11.33203125" customWidth="1"/>
    <col min="2" max="2" width="12.6640625" bestFit="1" customWidth="1"/>
    <col min="3" max="3" width="7.5546875" bestFit="1" customWidth="1"/>
    <col min="4" max="4" width="9.109375" bestFit="1" customWidth="1"/>
    <col min="5" max="5" width="11.109375" customWidth="1"/>
    <col min="6" max="6" width="9.109375" customWidth="1"/>
    <col min="7" max="7" width="29.44140625" bestFit="1" customWidth="1"/>
    <col min="8" max="8" width="19.6640625" style="29" customWidth="1"/>
    <col min="9" max="9" width="14.33203125" style="31" customWidth="1"/>
    <col min="10" max="10" width="12.6640625" bestFit="1" customWidth="1"/>
    <col min="11" max="11" width="7.5546875" bestFit="1" customWidth="1"/>
    <col min="12" max="12" width="9.109375" bestFit="1" customWidth="1"/>
    <col min="13" max="13" width="11.77734375" customWidth="1"/>
    <col min="14" max="14" width="9.109375" bestFit="1" customWidth="1"/>
    <col min="15" max="15" width="29.44140625" bestFit="1" customWidth="1"/>
    <col min="16" max="16" width="17.5546875" style="29" customWidth="1"/>
  </cols>
  <sheetData>
    <row r="1" spans="1:18" ht="15.6" x14ac:dyDescent="0.3">
      <c r="A1" s="258" t="s">
        <v>19</v>
      </c>
      <c r="B1" s="259"/>
      <c r="C1" s="259"/>
      <c r="D1" s="259"/>
      <c r="E1" s="259"/>
      <c r="F1" s="259"/>
      <c r="G1" s="163"/>
      <c r="H1" s="237"/>
      <c r="I1" s="258" t="s">
        <v>20</v>
      </c>
      <c r="J1" s="259"/>
      <c r="K1" s="259"/>
      <c r="L1" s="259"/>
      <c r="M1" s="259"/>
      <c r="N1" s="259"/>
      <c r="O1" s="236"/>
      <c r="P1" s="237"/>
    </row>
    <row r="2" spans="1:18" x14ac:dyDescent="0.3">
      <c r="A2" s="238" t="s">
        <v>21</v>
      </c>
      <c r="B2" s="10" t="s">
        <v>22</v>
      </c>
      <c r="C2" s="10" t="s">
        <v>23</v>
      </c>
      <c r="D2" s="10" t="s">
        <v>24</v>
      </c>
      <c r="E2" s="10" t="s">
        <v>25</v>
      </c>
      <c r="F2" s="10" t="s">
        <v>26</v>
      </c>
      <c r="G2" s="10" t="s">
        <v>27</v>
      </c>
      <c r="H2" s="239"/>
      <c r="I2" s="238" t="s">
        <v>21</v>
      </c>
      <c r="J2" s="10" t="s">
        <v>22</v>
      </c>
      <c r="K2" s="10" t="s">
        <v>23</v>
      </c>
      <c r="L2" s="10" t="s">
        <v>24</v>
      </c>
      <c r="M2" s="10" t="s">
        <v>25</v>
      </c>
      <c r="N2" s="10" t="s">
        <v>26</v>
      </c>
      <c r="O2" s="10" t="s">
        <v>27</v>
      </c>
      <c r="P2" s="239"/>
    </row>
    <row r="3" spans="1:18" s="34" customFormat="1" x14ac:dyDescent="0.3">
      <c r="A3" s="240" t="s">
        <v>28</v>
      </c>
      <c r="B3" s="33"/>
      <c r="C3" s="33"/>
      <c r="D3" s="33"/>
      <c r="E3" s="33"/>
      <c r="F3" s="33"/>
      <c r="G3" s="241">
        <f>O3</f>
        <v>5757078.9099999992</v>
      </c>
      <c r="H3" s="183" t="s">
        <v>29</v>
      </c>
      <c r="I3" s="240" t="s">
        <v>28</v>
      </c>
      <c r="J3" s="33"/>
      <c r="K3" s="33"/>
      <c r="L3" s="33"/>
      <c r="M3" s="33"/>
      <c r="N3" s="33"/>
      <c r="O3" s="241">
        <f>Requirements!F40</f>
        <v>5757078.9099999992</v>
      </c>
      <c r="P3" s="183" t="s">
        <v>29</v>
      </c>
    </row>
    <row r="4" spans="1:18" x14ac:dyDescent="0.3">
      <c r="A4" s="242">
        <v>2023</v>
      </c>
      <c r="B4" s="243">
        <v>5954597.4068693481</v>
      </c>
      <c r="C4" s="145">
        <v>21172.158185470929</v>
      </c>
      <c r="D4" s="145">
        <v>10072.81657776652</v>
      </c>
      <c r="E4" s="244">
        <v>-596921.12277100584</v>
      </c>
      <c r="F4" s="145">
        <v>5388921.258861579</v>
      </c>
      <c r="G4" s="245">
        <f>B4+C4+D4</f>
        <v>5985842.3816325851</v>
      </c>
      <c r="H4" s="246">
        <f>(G4-G3)/G3</f>
        <v>3.9736031971912972E-2</v>
      </c>
      <c r="I4" s="242">
        <v>2023</v>
      </c>
      <c r="J4" s="139">
        <v>5954597.4068693481</v>
      </c>
      <c r="K4" s="139">
        <v>23386.332893850904</v>
      </c>
      <c r="L4" s="139">
        <v>21233.890569105817</v>
      </c>
      <c r="M4" s="248">
        <v>-596921.12277100584</v>
      </c>
      <c r="N4" s="139">
        <v>5402296.507561299</v>
      </c>
      <c r="O4" s="245">
        <f>J4+K4+L4</f>
        <v>5999217.6303323051</v>
      </c>
      <c r="P4" s="246">
        <f>(O4-O3)/O3</f>
        <v>4.2059301968523116E-2</v>
      </c>
      <c r="R4" s="19"/>
    </row>
    <row r="5" spans="1:18" x14ac:dyDescent="0.3">
      <c r="A5" s="242">
        <v>2024</v>
      </c>
      <c r="B5" s="243">
        <v>5970466.3556139385</v>
      </c>
      <c r="C5" s="145">
        <v>43206.950582898258</v>
      </c>
      <c r="D5" s="145">
        <v>24032.620869452912</v>
      </c>
      <c r="E5" s="244">
        <v>-642369.01208644023</v>
      </c>
      <c r="F5" s="145">
        <v>5395336.9149798499</v>
      </c>
      <c r="G5" s="245">
        <f t="shared" ref="G5:G24" si="0">B5+C5+D5</f>
        <v>6037705.9270662898</v>
      </c>
      <c r="H5" s="246">
        <f t="shared" ref="H5:H24" si="1">(G5-G4)/G4</f>
        <v>8.6643687098823044E-3</v>
      </c>
      <c r="I5" s="242">
        <v>2024</v>
      </c>
      <c r="J5" s="139">
        <v>5970466.3556139385</v>
      </c>
      <c r="K5" s="139">
        <v>49890.829896036128</v>
      </c>
      <c r="L5" s="139">
        <v>56987.5901273415</v>
      </c>
      <c r="M5" s="248">
        <v>-642369.01208644023</v>
      </c>
      <c r="N5" s="139">
        <v>5434975.7635508766</v>
      </c>
      <c r="O5" s="245">
        <f t="shared" ref="O5:O24" si="2">J5+K5+L5</f>
        <v>6077344.7756373165</v>
      </c>
      <c r="P5" s="246">
        <f t="shared" ref="P5:P24" si="3">(O5-O4)/O4</f>
        <v>1.3022889003058861E-2</v>
      </c>
      <c r="R5" s="19"/>
    </row>
    <row r="6" spans="1:18" x14ac:dyDescent="0.3">
      <c r="A6" s="242">
        <v>2025</v>
      </c>
      <c r="B6" s="243">
        <v>5964406.9255380929</v>
      </c>
      <c r="C6" s="145">
        <v>65048.512813576439</v>
      </c>
      <c r="D6" s="145">
        <v>42243.448379831665</v>
      </c>
      <c r="E6" s="244">
        <v>-669466.67826760537</v>
      </c>
      <c r="F6" s="145">
        <v>5402232.2084638951</v>
      </c>
      <c r="G6" s="245">
        <f t="shared" si="0"/>
        <v>6071698.8867315007</v>
      </c>
      <c r="H6" s="246">
        <f t="shared" si="1"/>
        <v>5.630111846425756E-3</v>
      </c>
      <c r="I6" s="242">
        <v>2025</v>
      </c>
      <c r="J6" s="139">
        <v>5964406.9255380929</v>
      </c>
      <c r="K6" s="139">
        <v>78419.55291237311</v>
      </c>
      <c r="L6" s="139">
        <v>117159.6014711678</v>
      </c>
      <c r="M6" s="248">
        <v>-669466.67826760537</v>
      </c>
      <c r="N6" s="139">
        <v>5490519.4016540283</v>
      </c>
      <c r="O6" s="245">
        <f t="shared" si="2"/>
        <v>6159986.0799216339</v>
      </c>
      <c r="P6" s="246">
        <f t="shared" si="3"/>
        <v>1.359825834065026E-2</v>
      </c>
      <c r="R6" s="19"/>
    </row>
    <row r="7" spans="1:18" x14ac:dyDescent="0.3">
      <c r="A7" s="242">
        <v>2026</v>
      </c>
      <c r="B7" s="243">
        <v>5962286.1690164283</v>
      </c>
      <c r="C7" s="145">
        <v>86729.846803080931</v>
      </c>
      <c r="D7" s="145">
        <v>65951.799465551521</v>
      </c>
      <c r="E7" s="244">
        <v>-698411.30453136319</v>
      </c>
      <c r="F7" s="145">
        <v>5416556.5107536986</v>
      </c>
      <c r="G7" s="245">
        <f t="shared" si="0"/>
        <v>6114967.8152850615</v>
      </c>
      <c r="H7" s="246">
        <f t="shared" si="1"/>
        <v>7.1263297737172784E-3</v>
      </c>
      <c r="I7" s="242">
        <v>2026</v>
      </c>
      <c r="J7" s="139">
        <v>5962286.1690164283</v>
      </c>
      <c r="K7" s="139">
        <v>108975.34827182454</v>
      </c>
      <c r="L7" s="139">
        <v>198063.03350829304</v>
      </c>
      <c r="M7" s="248">
        <v>-698411.30453136319</v>
      </c>
      <c r="N7" s="139">
        <v>5570913.2462651832</v>
      </c>
      <c r="O7" s="245">
        <f t="shared" si="2"/>
        <v>6269324.550796546</v>
      </c>
      <c r="P7" s="246">
        <f t="shared" si="3"/>
        <v>1.7749791875552923E-2</v>
      </c>
      <c r="R7" s="19"/>
    </row>
    <row r="8" spans="1:18" x14ac:dyDescent="0.3">
      <c r="A8" s="242">
        <v>2027</v>
      </c>
      <c r="B8" s="243">
        <v>5959065.9344865326</v>
      </c>
      <c r="C8" s="145">
        <v>108308.06637757776</v>
      </c>
      <c r="D8" s="145">
        <v>96297.864364131543</v>
      </c>
      <c r="E8" s="244">
        <v>-735514.25648217113</v>
      </c>
      <c r="F8" s="145">
        <v>5428157.6087460704</v>
      </c>
      <c r="G8" s="245">
        <f t="shared" si="0"/>
        <v>6163671.8652282413</v>
      </c>
      <c r="H8" s="246">
        <f t="shared" si="1"/>
        <v>7.9647271113084984E-3</v>
      </c>
      <c r="I8" s="242">
        <v>2027</v>
      </c>
      <c r="J8" s="139">
        <v>5959065.9344865326</v>
      </c>
      <c r="K8" s="139">
        <v>141596.05650034774</v>
      </c>
      <c r="L8" s="139">
        <v>296593.58516312088</v>
      </c>
      <c r="M8" s="248">
        <v>-735514.25648217113</v>
      </c>
      <c r="N8" s="139">
        <v>5661741.3196678301</v>
      </c>
      <c r="O8" s="245">
        <f t="shared" si="2"/>
        <v>6397255.576150001</v>
      </c>
      <c r="P8" s="246">
        <f t="shared" si="3"/>
        <v>2.0405870571368133E-2</v>
      </c>
      <c r="R8" s="19"/>
    </row>
    <row r="9" spans="1:18" x14ac:dyDescent="0.3">
      <c r="A9" s="242">
        <v>2028</v>
      </c>
      <c r="B9" s="243">
        <v>5961310.9322849009</v>
      </c>
      <c r="C9" s="145">
        <v>129780.89760652761</v>
      </c>
      <c r="D9" s="145">
        <v>134638.49401073708</v>
      </c>
      <c r="E9" s="244">
        <v>-745213.59196190664</v>
      </c>
      <c r="F9" s="145">
        <v>5480516.7319402592</v>
      </c>
      <c r="G9" s="245">
        <f t="shared" si="0"/>
        <v>6225730.3239021655</v>
      </c>
      <c r="H9" s="246">
        <f t="shared" si="1"/>
        <v>1.0068423503207722E-2</v>
      </c>
      <c r="I9" s="242">
        <v>2028</v>
      </c>
      <c r="J9" s="139">
        <v>5961310.9322849009</v>
      </c>
      <c r="K9" s="139">
        <v>176259.58252415439</v>
      </c>
      <c r="L9" s="139">
        <v>402013.79749458737</v>
      </c>
      <c r="M9" s="248">
        <v>-745213.59196190664</v>
      </c>
      <c r="N9" s="139">
        <v>5794370.7203417365</v>
      </c>
      <c r="O9" s="245">
        <f t="shared" si="2"/>
        <v>6539584.3123036427</v>
      </c>
      <c r="P9" s="246">
        <f t="shared" si="3"/>
        <v>2.2248405501300614E-2</v>
      </c>
      <c r="R9" s="19"/>
    </row>
    <row r="10" spans="1:18" x14ac:dyDescent="0.3">
      <c r="A10" s="242">
        <v>2029</v>
      </c>
      <c r="B10" s="243">
        <v>5940030.3509661993</v>
      </c>
      <c r="C10" s="145">
        <v>151148.12384262358</v>
      </c>
      <c r="D10" s="145">
        <v>182396.6207674641</v>
      </c>
      <c r="E10" s="244">
        <v>-753575.12327906629</v>
      </c>
      <c r="F10" s="145">
        <v>5519999.9722972214</v>
      </c>
      <c r="G10" s="245">
        <f t="shared" si="0"/>
        <v>6273575.0955762872</v>
      </c>
      <c r="H10" s="246">
        <f t="shared" si="1"/>
        <v>7.6850054828802106E-3</v>
      </c>
      <c r="I10" s="242">
        <v>2029</v>
      </c>
      <c r="J10" s="139">
        <v>5940030.3509661993</v>
      </c>
      <c r="K10" s="139">
        <v>212947.33932956238</v>
      </c>
      <c r="L10" s="139">
        <v>528829.40259912284</v>
      </c>
      <c r="M10" s="248">
        <v>-753575.12327906629</v>
      </c>
      <c r="N10" s="139">
        <v>5928231.9696158171</v>
      </c>
      <c r="O10" s="245">
        <f t="shared" si="2"/>
        <v>6681807.0928948838</v>
      </c>
      <c r="P10" s="246">
        <f t="shared" si="3"/>
        <v>2.174798485641689E-2</v>
      </c>
      <c r="R10" s="19"/>
    </row>
    <row r="11" spans="1:18" x14ac:dyDescent="0.3">
      <c r="A11" s="242">
        <v>2030</v>
      </c>
      <c r="B11" s="243">
        <v>5923010.376221031</v>
      </c>
      <c r="C11" s="145">
        <v>172418.92546238861</v>
      </c>
      <c r="D11" s="145">
        <v>240413.9986004415</v>
      </c>
      <c r="E11" s="244">
        <v>-762897.1520514912</v>
      </c>
      <c r="F11" s="145">
        <v>5572946.1482323688</v>
      </c>
      <c r="G11" s="245">
        <f t="shared" si="0"/>
        <v>6335843.3002838604</v>
      </c>
      <c r="H11" s="246">
        <f t="shared" si="1"/>
        <v>9.9254737145779304E-3</v>
      </c>
      <c r="I11" s="242">
        <v>2030</v>
      </c>
      <c r="J11" s="139">
        <v>5923010.376221031</v>
      </c>
      <c r="K11" s="139">
        <v>248738.99477648537</v>
      </c>
      <c r="L11" s="139">
        <v>660612.03595853993</v>
      </c>
      <c r="M11" s="248">
        <v>-762897.1520514912</v>
      </c>
      <c r="N11" s="139">
        <v>6069464.2549045645</v>
      </c>
      <c r="O11" s="245">
        <f t="shared" si="2"/>
        <v>6832361.4069560561</v>
      </c>
      <c r="P11" s="246">
        <f t="shared" si="3"/>
        <v>2.2531975552132388E-2</v>
      </c>
      <c r="R11" s="19"/>
    </row>
    <row r="12" spans="1:18" x14ac:dyDescent="0.3">
      <c r="A12" s="242">
        <v>2031</v>
      </c>
      <c r="B12" s="243">
        <v>5906363.0299136173</v>
      </c>
      <c r="C12" s="145">
        <v>193578.570196402</v>
      </c>
      <c r="D12" s="145">
        <v>309128.0045445232</v>
      </c>
      <c r="E12" s="244">
        <v>-766118.05054915487</v>
      </c>
      <c r="F12" s="145">
        <v>5642951.554105388</v>
      </c>
      <c r="G12" s="245">
        <f t="shared" si="0"/>
        <v>6409069.6046545431</v>
      </c>
      <c r="H12" s="246">
        <f t="shared" si="1"/>
        <v>1.1557467711899059E-2</v>
      </c>
      <c r="I12" s="242">
        <v>2031</v>
      </c>
      <c r="J12" s="139">
        <v>5906363.0299136173</v>
      </c>
      <c r="K12" s="139">
        <v>281087.95912827295</v>
      </c>
      <c r="L12" s="139">
        <v>798552.73417104094</v>
      </c>
      <c r="M12" s="248">
        <v>-766118.05054915487</v>
      </c>
      <c r="N12" s="139">
        <v>6219885.6726637762</v>
      </c>
      <c r="O12" s="245">
        <f t="shared" si="2"/>
        <v>6986003.7232129313</v>
      </c>
      <c r="P12" s="246">
        <f t="shared" si="3"/>
        <v>2.2487439862366076E-2</v>
      </c>
      <c r="R12" s="19"/>
    </row>
    <row r="13" spans="1:18" x14ac:dyDescent="0.3">
      <c r="A13" s="242">
        <v>2032</v>
      </c>
      <c r="B13" s="243">
        <v>5900328.4703480098</v>
      </c>
      <c r="C13" s="145">
        <v>214656.51945051478</v>
      </c>
      <c r="D13" s="145">
        <v>392725.98891856533</v>
      </c>
      <c r="E13" s="244">
        <v>-774702.40601952141</v>
      </c>
      <c r="F13" s="145">
        <v>5733008.5726975687</v>
      </c>
      <c r="G13" s="245">
        <f t="shared" si="0"/>
        <v>6507710.9787170896</v>
      </c>
      <c r="H13" s="246">
        <f t="shared" si="1"/>
        <v>1.5390903851459017E-2</v>
      </c>
      <c r="I13" s="242">
        <v>2032</v>
      </c>
      <c r="J13" s="139">
        <v>5900328.4703480098</v>
      </c>
      <c r="K13" s="139">
        <v>311311.90333315346</v>
      </c>
      <c r="L13" s="139">
        <v>938935.19600038929</v>
      </c>
      <c r="M13" s="248">
        <v>-774702.40601952141</v>
      </c>
      <c r="N13" s="139">
        <v>6375873.1636620313</v>
      </c>
      <c r="O13" s="245">
        <f t="shared" si="2"/>
        <v>7150575.5696815532</v>
      </c>
      <c r="P13" s="246">
        <f t="shared" si="3"/>
        <v>2.3557365983328402E-2</v>
      </c>
      <c r="R13" s="19"/>
    </row>
    <row r="14" spans="1:18" x14ac:dyDescent="0.3">
      <c r="A14" s="242">
        <v>2033</v>
      </c>
      <c r="B14" s="243">
        <v>5877651.9144640751</v>
      </c>
      <c r="C14" s="145">
        <v>235659.46545594369</v>
      </c>
      <c r="D14" s="145">
        <v>483247.83391988231</v>
      </c>
      <c r="E14" s="244">
        <v>-776657.65471342427</v>
      </c>
      <c r="F14" s="145">
        <v>5819901.5591264777</v>
      </c>
      <c r="G14" s="245">
        <f t="shared" si="0"/>
        <v>6596559.2138399016</v>
      </c>
      <c r="H14" s="246">
        <f t="shared" si="1"/>
        <v>1.3652762916697208E-2</v>
      </c>
      <c r="I14" s="242">
        <v>2033</v>
      </c>
      <c r="J14" s="139">
        <v>5877651.9144640751</v>
      </c>
      <c r="K14" s="139">
        <v>339378.42604137462</v>
      </c>
      <c r="L14" s="139">
        <v>1072631.8248404176</v>
      </c>
      <c r="M14" s="248">
        <v>-776657.65471342427</v>
      </c>
      <c r="N14" s="139">
        <v>6513004.5106324442</v>
      </c>
      <c r="O14" s="245">
        <f t="shared" si="2"/>
        <v>7289662.1653458681</v>
      </c>
      <c r="P14" s="246">
        <f t="shared" si="3"/>
        <v>1.9451104922804007E-2</v>
      </c>
      <c r="R14" s="19"/>
    </row>
    <row r="15" spans="1:18" x14ac:dyDescent="0.3">
      <c r="A15" s="242">
        <v>2034</v>
      </c>
      <c r="B15" s="243">
        <v>5864572.7839553896</v>
      </c>
      <c r="C15" s="145">
        <v>256608.99506315013</v>
      </c>
      <c r="D15" s="145">
        <v>577392.34290186013</v>
      </c>
      <c r="E15" s="244">
        <v>-783840.33283372305</v>
      </c>
      <c r="F15" s="145">
        <v>5914733.7890866771</v>
      </c>
      <c r="G15" s="245">
        <f t="shared" si="0"/>
        <v>6698574.1219204003</v>
      </c>
      <c r="H15" s="246">
        <f t="shared" si="1"/>
        <v>1.5464866572631754E-2</v>
      </c>
      <c r="I15" s="242">
        <v>2034</v>
      </c>
      <c r="J15" s="139">
        <v>5864572.7839553896</v>
      </c>
      <c r="K15" s="139">
        <v>363561.66011474183</v>
      </c>
      <c r="L15" s="139">
        <v>1210300.193641026</v>
      </c>
      <c r="M15" s="248">
        <v>-783840.33283372305</v>
      </c>
      <c r="N15" s="139">
        <v>6654594.3048774349</v>
      </c>
      <c r="O15" s="245">
        <f t="shared" si="2"/>
        <v>7438434.637711158</v>
      </c>
      <c r="P15" s="246">
        <f t="shared" si="3"/>
        <v>2.0408692335913102E-2</v>
      </c>
      <c r="R15" s="19"/>
    </row>
    <row r="16" spans="1:18" x14ac:dyDescent="0.3">
      <c r="A16" s="242">
        <v>2035</v>
      </c>
      <c r="B16" s="243">
        <v>5858364.1000464354</v>
      </c>
      <c r="C16" s="145">
        <v>273464.08203147363</v>
      </c>
      <c r="D16" s="145">
        <v>670876.98146940104</v>
      </c>
      <c r="E16" s="244">
        <v>-786861.17810175184</v>
      </c>
      <c r="F16" s="145">
        <v>6015843.9854455581</v>
      </c>
      <c r="G16" s="245">
        <f t="shared" si="0"/>
        <v>6802705.16354731</v>
      </c>
      <c r="H16" s="246">
        <f t="shared" si="1"/>
        <v>1.5545254815670628E-2</v>
      </c>
      <c r="I16" s="242">
        <v>2035</v>
      </c>
      <c r="J16" s="139">
        <v>5858364.1000464354</v>
      </c>
      <c r="K16" s="139">
        <v>380125.42199254921</v>
      </c>
      <c r="L16" s="139">
        <v>1327571.7949162829</v>
      </c>
      <c r="M16" s="248">
        <v>-786861.17810175184</v>
      </c>
      <c r="N16" s="139">
        <v>6779200.1388535164</v>
      </c>
      <c r="O16" s="245">
        <f t="shared" si="2"/>
        <v>7566061.3169552684</v>
      </c>
      <c r="P16" s="246">
        <f t="shared" si="3"/>
        <v>1.7157733509826429E-2</v>
      </c>
      <c r="R16" s="19"/>
    </row>
    <row r="17" spans="1:18" x14ac:dyDescent="0.3">
      <c r="A17" s="242">
        <v>2036</v>
      </c>
      <c r="B17" s="243">
        <v>5862948.0186611842</v>
      </c>
      <c r="C17" s="145">
        <v>290720.70757077989</v>
      </c>
      <c r="D17" s="145">
        <v>759213.06511705706</v>
      </c>
      <c r="E17" s="244">
        <v>-794998.48860416154</v>
      </c>
      <c r="F17" s="145">
        <v>6117883.3027448598</v>
      </c>
      <c r="G17" s="245">
        <f t="shared" si="0"/>
        <v>6912881.7913490217</v>
      </c>
      <c r="H17" s="246">
        <f t="shared" si="1"/>
        <v>1.6196002201021371E-2</v>
      </c>
      <c r="I17" s="242">
        <v>2036</v>
      </c>
      <c r="J17" s="139">
        <v>5862948.0186611842</v>
      </c>
      <c r="K17" s="139">
        <v>397125.94810142013</v>
      </c>
      <c r="L17" s="139">
        <v>1424156.2873745789</v>
      </c>
      <c r="M17" s="248">
        <v>-794998.48860416154</v>
      </c>
      <c r="N17" s="139">
        <v>6889231.7655330207</v>
      </c>
      <c r="O17" s="245">
        <f t="shared" si="2"/>
        <v>7684230.2541371826</v>
      </c>
      <c r="P17" s="246">
        <f t="shared" si="3"/>
        <v>1.5618289653178191E-2</v>
      </c>
      <c r="R17" s="19"/>
    </row>
    <row r="18" spans="1:18" x14ac:dyDescent="0.3">
      <c r="A18" s="242">
        <v>2037</v>
      </c>
      <c r="B18" s="243">
        <v>5849351.8156013321</v>
      </c>
      <c r="C18" s="145">
        <v>305205.2126195351</v>
      </c>
      <c r="D18" s="145">
        <v>838668.24145785964</v>
      </c>
      <c r="E18" s="244">
        <v>-796713.98509840562</v>
      </c>
      <c r="F18" s="145">
        <v>6196511.2845803211</v>
      </c>
      <c r="G18" s="245">
        <f t="shared" si="0"/>
        <v>6993225.2696787268</v>
      </c>
      <c r="H18" s="246">
        <f t="shared" si="1"/>
        <v>1.1622284418380943E-2</v>
      </c>
      <c r="I18" s="242">
        <v>2037</v>
      </c>
      <c r="J18" s="139">
        <v>5849351.8156013321</v>
      </c>
      <c r="K18" s="139">
        <v>411392.63153833384</v>
      </c>
      <c r="L18" s="139">
        <v>1504059.7604403042</v>
      </c>
      <c r="M18" s="248">
        <v>-796713.98509840562</v>
      </c>
      <c r="N18" s="139">
        <v>6968090.2224815637</v>
      </c>
      <c r="O18" s="245">
        <f t="shared" si="2"/>
        <v>7764804.2075799694</v>
      </c>
      <c r="P18" s="246">
        <f t="shared" si="3"/>
        <v>1.0485624555485681E-2</v>
      </c>
      <c r="R18" s="19"/>
    </row>
    <row r="19" spans="1:18" x14ac:dyDescent="0.3">
      <c r="A19" s="242">
        <v>2038</v>
      </c>
      <c r="B19" s="243">
        <v>5845996.6592602003</v>
      </c>
      <c r="C19" s="145">
        <v>319629.45173889014</v>
      </c>
      <c r="D19" s="145">
        <v>907009.14666745416</v>
      </c>
      <c r="E19" s="244">
        <v>-803398.18691214814</v>
      </c>
      <c r="F19" s="145">
        <v>6269237.0707543967</v>
      </c>
      <c r="G19" s="245">
        <f t="shared" si="0"/>
        <v>7072635.257666545</v>
      </c>
      <c r="H19" s="246">
        <f t="shared" si="1"/>
        <v>1.1355273843690486E-2</v>
      </c>
      <c r="I19" s="242">
        <v>2038</v>
      </c>
      <c r="J19" s="139">
        <v>5845996.6592602003</v>
      </c>
      <c r="K19" s="139">
        <v>425620.48696529499</v>
      </c>
      <c r="L19" s="139">
        <v>1573340.3360504734</v>
      </c>
      <c r="M19" s="248">
        <v>-803398.18691214814</v>
      </c>
      <c r="N19" s="139">
        <v>7041559.2953638202</v>
      </c>
      <c r="O19" s="245">
        <f t="shared" si="2"/>
        <v>7844957.4822759684</v>
      </c>
      <c r="P19" s="246">
        <f t="shared" si="3"/>
        <v>1.0322639509410127E-2</v>
      </c>
      <c r="R19" s="19"/>
    </row>
    <row r="20" spans="1:18" x14ac:dyDescent="0.3">
      <c r="A20" s="242">
        <v>2039</v>
      </c>
      <c r="B20" s="243">
        <v>5846038.0995670063</v>
      </c>
      <c r="C20" s="145">
        <v>331939.99054086418</v>
      </c>
      <c r="D20" s="145">
        <v>963711.40456634481</v>
      </c>
      <c r="E20" s="244">
        <v>-806201.44004939392</v>
      </c>
      <c r="F20" s="145">
        <v>6335488.0546248211</v>
      </c>
      <c r="G20" s="245">
        <f t="shared" si="0"/>
        <v>7141689.4946742151</v>
      </c>
      <c r="H20" s="246">
        <f t="shared" si="1"/>
        <v>9.7635795558405451E-3</v>
      </c>
      <c r="I20" s="242">
        <v>2039</v>
      </c>
      <c r="J20" s="139">
        <v>5846038.0995670063</v>
      </c>
      <c r="K20" s="139">
        <v>437760.72049570072</v>
      </c>
      <c r="L20" s="139">
        <v>1633960.0222060028</v>
      </c>
      <c r="M20" s="248">
        <v>-806201.44004939392</v>
      </c>
      <c r="N20" s="139">
        <v>7111557.402219316</v>
      </c>
      <c r="O20" s="245">
        <f t="shared" si="2"/>
        <v>7917758.84226871</v>
      </c>
      <c r="P20" s="246">
        <f t="shared" si="3"/>
        <v>9.2800197014733313E-3</v>
      </c>
      <c r="R20" s="19"/>
    </row>
    <row r="21" spans="1:18" x14ac:dyDescent="0.3">
      <c r="A21" s="242">
        <v>2040</v>
      </c>
      <c r="B21" s="243">
        <v>5854317.0314649986</v>
      </c>
      <c r="C21" s="145">
        <v>342158.61557990918</v>
      </c>
      <c r="D21" s="145">
        <v>1009636.2893452004</v>
      </c>
      <c r="E21" s="244">
        <v>-813848.53557558474</v>
      </c>
      <c r="F21" s="145">
        <v>6392263.4008145239</v>
      </c>
      <c r="G21" s="245">
        <f t="shared" si="0"/>
        <v>7206111.9363901084</v>
      </c>
      <c r="H21" s="246">
        <f t="shared" si="1"/>
        <v>9.0206164471215381E-3</v>
      </c>
      <c r="I21" s="242">
        <v>2040</v>
      </c>
      <c r="J21" s="139">
        <v>5854317.0314649986</v>
      </c>
      <c r="K21" s="139">
        <v>447835.51707800792</v>
      </c>
      <c r="L21" s="139">
        <v>1694780.6751739357</v>
      </c>
      <c r="M21" s="248">
        <v>-813848.53557558474</v>
      </c>
      <c r="N21" s="139">
        <v>7183084.6881413572</v>
      </c>
      <c r="O21" s="245">
        <f t="shared" si="2"/>
        <v>7996933.2237169417</v>
      </c>
      <c r="P21" s="246">
        <f t="shared" si="3"/>
        <v>9.999594964368157E-3</v>
      </c>
      <c r="R21" s="19"/>
    </row>
    <row r="22" spans="1:18" x14ac:dyDescent="0.3">
      <c r="A22" s="242">
        <v>2041</v>
      </c>
      <c r="B22" s="243">
        <v>5844746.7220760472</v>
      </c>
      <c r="C22" s="145">
        <v>350288.80535942083</v>
      </c>
      <c r="D22" s="145">
        <v>1046439.6002225548</v>
      </c>
      <c r="E22" s="244">
        <v>-813989.67286206444</v>
      </c>
      <c r="F22" s="145">
        <v>6427485.4547959594</v>
      </c>
      <c r="G22" s="245">
        <f t="shared" si="0"/>
        <v>7241475.1276580235</v>
      </c>
      <c r="H22" s="246">
        <f t="shared" si="1"/>
        <v>4.9073885585005509E-3</v>
      </c>
      <c r="I22" s="242">
        <v>2041</v>
      </c>
      <c r="J22" s="139">
        <v>5844746.7220760472</v>
      </c>
      <c r="K22" s="139">
        <v>455845.27034991852</v>
      </c>
      <c r="L22" s="139">
        <v>1744512.6137738829</v>
      </c>
      <c r="M22" s="248">
        <v>-813989.67286206444</v>
      </c>
      <c r="N22" s="139">
        <v>7231114.9333377853</v>
      </c>
      <c r="O22" s="245">
        <f t="shared" si="2"/>
        <v>8045104.6061998494</v>
      </c>
      <c r="P22" s="246">
        <f t="shared" si="3"/>
        <v>6.0237319901638338E-3</v>
      </c>
      <c r="R22" s="19"/>
    </row>
    <row r="23" spans="1:18" x14ac:dyDescent="0.3">
      <c r="A23" s="242">
        <v>2042</v>
      </c>
      <c r="B23" s="243">
        <v>5847849.2727833344</v>
      </c>
      <c r="C23" s="145">
        <v>356340.5946646654</v>
      </c>
      <c r="D23" s="145">
        <v>1076011.8642348167</v>
      </c>
      <c r="E23" s="244">
        <v>-813989.67286206433</v>
      </c>
      <c r="F23" s="145">
        <v>6466212.0588207524</v>
      </c>
      <c r="G23" s="245">
        <f t="shared" si="0"/>
        <v>7280201.7316828165</v>
      </c>
      <c r="H23" s="246">
        <f t="shared" si="1"/>
        <v>5.3478888406149443E-3</v>
      </c>
      <c r="I23" s="242">
        <v>2042</v>
      </c>
      <c r="J23" s="139">
        <v>5847849.2727833344</v>
      </c>
      <c r="K23" s="139">
        <v>461799.31307491579</v>
      </c>
      <c r="L23" s="139">
        <v>1750933.1158096143</v>
      </c>
      <c r="M23" s="248">
        <v>-813989.67286206433</v>
      </c>
      <c r="N23" s="139">
        <v>7246592.0288057998</v>
      </c>
      <c r="O23" s="245">
        <f t="shared" si="2"/>
        <v>8060581.7016678639</v>
      </c>
      <c r="P23" s="246">
        <f t="shared" si="3"/>
        <v>1.9237904571293291E-3</v>
      </c>
      <c r="R23" s="19"/>
    </row>
    <row r="24" spans="1:18" x14ac:dyDescent="0.3">
      <c r="A24" s="242">
        <v>2043</v>
      </c>
      <c r="B24" s="243">
        <v>5852069.6311358511</v>
      </c>
      <c r="C24" s="145">
        <v>360324.38766633172</v>
      </c>
      <c r="D24" s="145">
        <v>1100109.0250137378</v>
      </c>
      <c r="E24" s="244">
        <v>-813989.67286206444</v>
      </c>
      <c r="F24" s="145">
        <v>6498513.370953856</v>
      </c>
      <c r="G24" s="245">
        <f t="shared" si="0"/>
        <v>7312503.0438159201</v>
      </c>
      <c r="H24" s="246">
        <f t="shared" si="1"/>
        <v>4.4368704774389771E-3</v>
      </c>
      <c r="I24" s="242">
        <v>2043</v>
      </c>
      <c r="J24" s="139">
        <v>5852069.6311358511</v>
      </c>
      <c r="K24" s="139">
        <v>465708.09780836327</v>
      </c>
      <c r="L24" s="139">
        <v>1755413.1277664078</v>
      </c>
      <c r="M24" s="248">
        <v>-813989.67286206444</v>
      </c>
      <c r="N24" s="139">
        <v>7259201.183848558</v>
      </c>
      <c r="O24" s="245">
        <f t="shared" si="2"/>
        <v>8073190.8567106221</v>
      </c>
      <c r="P24" s="246">
        <f t="shared" si="3"/>
        <v>1.5642983979864847E-3</v>
      </c>
      <c r="R24" s="19"/>
    </row>
    <row r="25" spans="1:18" ht="15" thickBot="1" x14ac:dyDescent="0.35">
      <c r="A25" s="141"/>
      <c r="B25" s="110"/>
      <c r="C25" s="110"/>
      <c r="D25" s="110"/>
      <c r="E25" s="110"/>
      <c r="F25" s="110"/>
      <c r="G25" s="110"/>
      <c r="H25" s="247"/>
      <c r="I25" s="141"/>
      <c r="J25" s="110"/>
      <c r="K25" s="110"/>
      <c r="L25" s="110"/>
      <c r="M25" s="110"/>
      <c r="N25" s="110"/>
      <c r="O25" s="110"/>
      <c r="P25" s="247"/>
    </row>
    <row r="26" spans="1:18" x14ac:dyDescent="0.3">
      <c r="G26" t="s">
        <v>30</v>
      </c>
      <c r="H26" s="32">
        <f>AVERAGE(H4:H24)</f>
        <v>1.1479125348803795E-2</v>
      </c>
      <c r="O26" t="s">
        <v>30</v>
      </c>
      <c r="P26" s="32">
        <f>AVERAGE(P4:P24)</f>
        <v>1.626880016725887E-2</v>
      </c>
    </row>
    <row r="27" spans="1:18" x14ac:dyDescent="0.3">
      <c r="A27" s="15" t="s">
        <v>31</v>
      </c>
    </row>
    <row r="28" spans="1:18" x14ac:dyDescent="0.3">
      <c r="A28" t="s">
        <v>32</v>
      </c>
    </row>
    <row r="29" spans="1:18" x14ac:dyDescent="0.3">
      <c r="A29" s="17" t="s">
        <v>33</v>
      </c>
    </row>
    <row r="30" spans="1:18" x14ac:dyDescent="0.3">
      <c r="A30" t="s">
        <v>34</v>
      </c>
    </row>
  </sheetData>
  <hyperlinks>
    <hyperlink ref="A29" r:id="rId1" xr:uid="{6B868EF4-F8C3-48DC-869B-C78A4C488748}"/>
  </hyperlinks>
  <pageMargins left="0.7" right="0.7" top="0.75" bottom="0.75" header="0.3" footer="0.3"/>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85BA4-ECBA-4F15-820E-297C5E7A0410}">
  <sheetPr>
    <tabColor theme="2" tint="-0.249977111117893"/>
  </sheetPr>
  <dimension ref="A1:O139"/>
  <sheetViews>
    <sheetView zoomScale="85" zoomScaleNormal="85" workbookViewId="0"/>
  </sheetViews>
  <sheetFormatPr defaultRowHeight="14.4" x14ac:dyDescent="0.3"/>
  <cols>
    <col min="1" max="1" width="25" bestFit="1" customWidth="1"/>
    <col min="2" max="15" width="16.44140625" customWidth="1"/>
    <col min="16" max="16" width="25.5546875" bestFit="1" customWidth="1"/>
    <col min="17" max="17" width="16" bestFit="1" customWidth="1"/>
    <col min="20" max="20" width="24.33203125" bestFit="1" customWidth="1"/>
    <col min="21" max="21" width="16.109375" bestFit="1" customWidth="1"/>
  </cols>
  <sheetData>
    <row r="1" spans="1:15" x14ac:dyDescent="0.3">
      <c r="A1" s="15" t="s">
        <v>35</v>
      </c>
      <c r="K1" s="28" t="s">
        <v>36</v>
      </c>
    </row>
    <row r="2" spans="1:15" x14ac:dyDescent="0.3">
      <c r="A2" t="s">
        <v>21</v>
      </c>
      <c r="B2" s="30" t="s">
        <v>37</v>
      </c>
      <c r="C2" s="30" t="s">
        <v>38</v>
      </c>
      <c r="D2" s="30" t="s">
        <v>39</v>
      </c>
      <c r="E2" s="30" t="s">
        <v>13</v>
      </c>
      <c r="F2" s="30" t="s">
        <v>40</v>
      </c>
      <c r="G2" s="30" t="s">
        <v>41</v>
      </c>
      <c r="I2" s="30"/>
      <c r="K2" t="s">
        <v>42</v>
      </c>
    </row>
    <row r="3" spans="1:15" x14ac:dyDescent="0.3">
      <c r="A3">
        <v>2025</v>
      </c>
      <c r="B3" s="3">
        <f>$G$33*B45+B59*$G$34+B73*$G$35+B87*$G$36+B101*$G$37+B115*$G$38+B129*$G$39</f>
        <v>0.66420404652747755</v>
      </c>
      <c r="C3" s="3">
        <f>B3-D3-F3</f>
        <v>0.61156576192908219</v>
      </c>
      <c r="D3" s="3">
        <f t="shared" ref="D3:F13" si="0">$G$33*D45+D59*$G$34+D73*$G$35+D87*$G$36+D101*$G$37+D115*$G$38+D129*$G$39</f>
        <v>5.2638284598395417E-2</v>
      </c>
      <c r="E3" s="3">
        <f>$G$33*E45+E59*$G$34+E73*$G$35+E87*$G$36+E101*$G$37+E115*$G$38+E129*$G$39</f>
        <v>7.3333333333333348E-2</v>
      </c>
      <c r="F3" s="3">
        <f t="shared" si="0"/>
        <v>0</v>
      </c>
      <c r="G3" s="263"/>
      <c r="I3" s="3"/>
      <c r="K3" s="35">
        <f>C3+D3+F3</f>
        <v>0.66420404652747755</v>
      </c>
      <c r="L3" s="35">
        <f>K3-B3</f>
        <v>0</v>
      </c>
    </row>
    <row r="4" spans="1:15" x14ac:dyDescent="0.3">
      <c r="A4">
        <v>2026</v>
      </c>
      <c r="B4" s="3">
        <f t="shared" ref="B4:B13" si="1">$G$33*B46+B60*$G$34+B74*$G$35+B88*$G$36+B102*$G$37+B116*$G$38+B130*$G$39</f>
        <v>0.66420404652747755</v>
      </c>
      <c r="C4" s="3">
        <f>B4-D4-F4</f>
        <v>0.59407781377448576</v>
      </c>
      <c r="D4" s="3">
        <f t="shared" si="0"/>
        <v>7.0126232752991749E-2</v>
      </c>
      <c r="E4" s="3">
        <f t="shared" si="0"/>
        <v>8.0000000000000016E-2</v>
      </c>
      <c r="F4" s="3">
        <f t="shared" si="0"/>
        <v>0</v>
      </c>
      <c r="G4" s="263"/>
      <c r="I4" s="3"/>
      <c r="K4" s="35">
        <f t="shared" ref="K4:K13" si="2">C4+D4+F4</f>
        <v>0.66420404652747755</v>
      </c>
      <c r="L4" s="35">
        <f t="shared" ref="L4:L13" si="3">K4-B4</f>
        <v>0</v>
      </c>
    </row>
    <row r="5" spans="1:15" x14ac:dyDescent="0.3">
      <c r="A5">
        <v>2027</v>
      </c>
      <c r="B5" s="3">
        <f t="shared" si="1"/>
        <v>0.66420404652747755</v>
      </c>
      <c r="C5" s="3">
        <f t="shared" ref="C5:C12" si="4">B5-D5-F5</f>
        <v>0.54903092371891771</v>
      </c>
      <c r="D5" s="3">
        <f t="shared" si="0"/>
        <v>8.7614180907588088E-2</v>
      </c>
      <c r="E5" s="3">
        <f t="shared" si="0"/>
        <v>8.6666666666666684E-2</v>
      </c>
      <c r="F5" s="3">
        <f t="shared" si="0"/>
        <v>2.7558941900971794E-2</v>
      </c>
      <c r="G5" s="263"/>
      <c r="I5" s="3"/>
      <c r="K5" s="35">
        <f t="shared" si="2"/>
        <v>0.66420404652747755</v>
      </c>
      <c r="L5" s="35">
        <f t="shared" si="3"/>
        <v>0</v>
      </c>
    </row>
    <row r="6" spans="1:15" x14ac:dyDescent="0.3">
      <c r="A6">
        <v>2028</v>
      </c>
      <c r="B6" s="3">
        <f t="shared" si="1"/>
        <v>0.70050631176775036</v>
      </c>
      <c r="C6" s="3">
        <f t="shared" si="4"/>
        <v>0.5678452408045942</v>
      </c>
      <c r="D6" s="3">
        <f t="shared" si="0"/>
        <v>0.10510212906218444</v>
      </c>
      <c r="E6" s="3">
        <f t="shared" si="0"/>
        <v>9.3333333333333351E-2</v>
      </c>
      <c r="F6" s="3">
        <f t="shared" si="0"/>
        <v>2.7558941900971794E-2</v>
      </c>
      <c r="G6" s="263"/>
      <c r="I6" s="3"/>
      <c r="K6" s="35">
        <f t="shared" si="2"/>
        <v>0.70050631176775036</v>
      </c>
      <c r="L6" s="35">
        <f t="shared" si="3"/>
        <v>0</v>
      </c>
    </row>
    <row r="7" spans="1:15" x14ac:dyDescent="0.3">
      <c r="A7">
        <v>2029</v>
      </c>
      <c r="B7" s="3">
        <f>$G$33*B49+B63*$G$34+B77*$G$35+B91*$G$36+B105*$G$37+B119*$G$38+B133*$G$39</f>
        <v>0.70050631176775036</v>
      </c>
      <c r="C7" s="3">
        <f t="shared" si="4"/>
        <v>0.55035729264999778</v>
      </c>
      <c r="D7" s="3">
        <f t="shared" si="0"/>
        <v>0.12259007721678079</v>
      </c>
      <c r="E7" s="3">
        <f t="shared" si="0"/>
        <v>0.10000000000000003</v>
      </c>
      <c r="F7" s="3">
        <f t="shared" si="0"/>
        <v>2.7558941900971794E-2</v>
      </c>
      <c r="G7" s="263"/>
      <c r="I7" s="3"/>
      <c r="K7" s="35">
        <f t="shared" si="2"/>
        <v>0.70050631176775036</v>
      </c>
      <c r="L7" s="35">
        <f t="shared" si="3"/>
        <v>0</v>
      </c>
    </row>
    <row r="8" spans="1:15" x14ac:dyDescent="0.3">
      <c r="A8">
        <v>2030</v>
      </c>
      <c r="B8" s="3">
        <f t="shared" si="1"/>
        <v>0.95622982527435951</v>
      </c>
      <c r="C8" s="3">
        <f t="shared" si="4"/>
        <v>0.73632529097642674</v>
      </c>
      <c r="D8" s="3">
        <f t="shared" si="0"/>
        <v>0.14007802537137712</v>
      </c>
      <c r="E8" s="3">
        <f t="shared" si="0"/>
        <v>0.1066666666666667</v>
      </c>
      <c r="F8" s="3">
        <f t="shared" si="0"/>
        <v>7.9826508926555614E-2</v>
      </c>
      <c r="G8" s="263"/>
      <c r="I8" s="3"/>
      <c r="K8" s="35">
        <f t="shared" si="2"/>
        <v>0.95622982527435951</v>
      </c>
      <c r="L8" s="35">
        <f t="shared" si="3"/>
        <v>0</v>
      </c>
    </row>
    <row r="9" spans="1:15" x14ac:dyDescent="0.3">
      <c r="A9">
        <v>2031</v>
      </c>
      <c r="B9" s="3">
        <f t="shared" si="1"/>
        <v>0.96153530099867957</v>
      </c>
      <c r="C9" s="3">
        <f t="shared" si="4"/>
        <v>0.72414281854615048</v>
      </c>
      <c r="D9" s="3">
        <f t="shared" si="0"/>
        <v>0.15756597352597346</v>
      </c>
      <c r="E9" s="3">
        <f t="shared" si="0"/>
        <v>0.11333333333333336</v>
      </c>
      <c r="F9" s="3">
        <f t="shared" si="0"/>
        <v>7.9826508926555614E-2</v>
      </c>
      <c r="G9" s="263"/>
      <c r="I9" s="3"/>
      <c r="K9" s="35">
        <f t="shared" si="2"/>
        <v>0.96153530099867957</v>
      </c>
      <c r="L9" s="35">
        <f t="shared" si="3"/>
        <v>0</v>
      </c>
    </row>
    <row r="10" spans="1:15" x14ac:dyDescent="0.3">
      <c r="A10">
        <v>2032</v>
      </c>
      <c r="B10" s="3">
        <f t="shared" si="1"/>
        <v>0.96153530099867957</v>
      </c>
      <c r="C10" s="3">
        <f t="shared" si="4"/>
        <v>0.67065635353954178</v>
      </c>
      <c r="D10" s="3">
        <f t="shared" si="0"/>
        <v>0.17660376115636744</v>
      </c>
      <c r="E10" s="3">
        <f t="shared" si="0"/>
        <v>0.12000000000000002</v>
      </c>
      <c r="F10" s="3">
        <f t="shared" si="0"/>
        <v>0.11427518630277035</v>
      </c>
      <c r="G10" s="263"/>
      <c r="I10" s="3"/>
      <c r="K10" s="35">
        <f t="shared" si="2"/>
        <v>0.96153530099867957</v>
      </c>
      <c r="L10" s="35">
        <f t="shared" si="3"/>
        <v>0</v>
      </c>
    </row>
    <row r="11" spans="1:15" x14ac:dyDescent="0.3">
      <c r="A11">
        <v>2033</v>
      </c>
      <c r="B11" s="3">
        <f t="shared" si="1"/>
        <v>0.96153530099867957</v>
      </c>
      <c r="C11" s="3">
        <f t="shared" si="4"/>
        <v>0.66866680014292179</v>
      </c>
      <c r="D11" s="3">
        <f t="shared" si="0"/>
        <v>0.17859331455298749</v>
      </c>
      <c r="E11" s="3">
        <f t="shared" si="0"/>
        <v>0.12000000000000002</v>
      </c>
      <c r="F11" s="3">
        <f t="shared" si="0"/>
        <v>0.11427518630277035</v>
      </c>
      <c r="G11" s="263"/>
      <c r="I11" s="3"/>
      <c r="K11" s="35">
        <f t="shared" si="2"/>
        <v>0.96153530099867968</v>
      </c>
      <c r="L11" s="35">
        <f t="shared" si="3"/>
        <v>0</v>
      </c>
    </row>
    <row r="12" spans="1:15" x14ac:dyDescent="0.3">
      <c r="A12">
        <v>2034</v>
      </c>
      <c r="B12" s="3">
        <f t="shared" si="1"/>
        <v>0.96684077672299962</v>
      </c>
      <c r="C12" s="3">
        <f t="shared" si="4"/>
        <v>0.67198272247062174</v>
      </c>
      <c r="D12" s="3">
        <f t="shared" si="0"/>
        <v>0.18058286794960751</v>
      </c>
      <c r="E12" s="3">
        <f t="shared" si="0"/>
        <v>0.12000000000000002</v>
      </c>
      <c r="F12" s="3">
        <f t="shared" si="0"/>
        <v>0.11427518630277035</v>
      </c>
      <c r="G12" s="263"/>
      <c r="I12" s="3"/>
      <c r="K12" s="35">
        <f t="shared" si="2"/>
        <v>0.96684077672299962</v>
      </c>
      <c r="L12" s="35">
        <f t="shared" si="3"/>
        <v>0</v>
      </c>
    </row>
    <row r="13" spans="1:15" x14ac:dyDescent="0.3">
      <c r="A13">
        <v>2035</v>
      </c>
      <c r="B13" s="3">
        <f t="shared" si="1"/>
        <v>1</v>
      </c>
      <c r="C13" s="3">
        <f>B13-D13-F13</f>
        <v>0.65883565594552529</v>
      </c>
      <c r="D13" s="3">
        <f t="shared" si="0"/>
        <v>0.18151132620136351</v>
      </c>
      <c r="E13" s="3">
        <f t="shared" si="0"/>
        <v>0.12000000000000002</v>
      </c>
      <c r="F13" s="3">
        <f t="shared" si="0"/>
        <v>0.15965301785311123</v>
      </c>
      <c r="G13" s="263"/>
      <c r="I13" s="3"/>
      <c r="K13" s="35">
        <f t="shared" si="2"/>
        <v>1</v>
      </c>
      <c r="L13" s="35">
        <f t="shared" si="3"/>
        <v>0</v>
      </c>
    </row>
    <row r="14" spans="1:15" x14ac:dyDescent="0.3">
      <c r="B14" s="3"/>
      <c r="C14" s="3"/>
      <c r="D14" s="3"/>
      <c r="E14" s="3"/>
      <c r="F14" s="3"/>
      <c r="G14" s="3"/>
    </row>
    <row r="15" spans="1:15" s="13" customFormat="1" x14ac:dyDescent="0.3">
      <c r="B15" s="14"/>
      <c r="C15" s="14"/>
      <c r="D15" s="14"/>
      <c r="E15" s="14"/>
      <c r="F15" s="14"/>
      <c r="G15" s="14"/>
    </row>
    <row r="16" spans="1:15" x14ac:dyDescent="0.3">
      <c r="A16" s="15" t="s">
        <v>43</v>
      </c>
      <c r="B16" s="3"/>
      <c r="C16" s="3"/>
      <c r="D16" s="3"/>
      <c r="E16" s="3"/>
      <c r="F16" s="3"/>
      <c r="G16" s="3"/>
      <c r="I16" s="15" t="s">
        <v>44</v>
      </c>
      <c r="J16" s="3"/>
      <c r="K16" s="3"/>
      <c r="L16" s="3"/>
      <c r="M16" s="3"/>
      <c r="N16" s="3"/>
      <c r="O16" s="3"/>
    </row>
    <row r="17" spans="1:15" x14ac:dyDescent="0.3">
      <c r="A17" t="s">
        <v>21</v>
      </c>
      <c r="B17" t="s">
        <v>37</v>
      </c>
      <c r="C17" t="s">
        <v>38</v>
      </c>
      <c r="D17" t="s">
        <v>39</v>
      </c>
      <c r="E17" t="s">
        <v>13</v>
      </c>
      <c r="F17" t="s">
        <v>40</v>
      </c>
      <c r="G17" t="s">
        <v>41</v>
      </c>
      <c r="I17" t="s">
        <v>21</v>
      </c>
      <c r="J17" t="s">
        <v>37</v>
      </c>
      <c r="K17" t="s">
        <v>38</v>
      </c>
      <c r="L17" t="s">
        <v>39</v>
      </c>
      <c r="M17" t="s">
        <v>13</v>
      </c>
      <c r="N17" t="s">
        <v>40</v>
      </c>
      <c r="O17" t="s">
        <v>41</v>
      </c>
    </row>
    <row r="18" spans="1:15" x14ac:dyDescent="0.3">
      <c r="A18">
        <v>2025</v>
      </c>
      <c r="B18" s="16">
        <f>B3*'Load Forecast'!$G6</f>
        <v>4032846.9698634432</v>
      </c>
      <c r="C18" s="16">
        <f>C3*'Load Forecast'!$G6</f>
        <v>3713243.1558679105</v>
      </c>
      <c r="D18" s="16">
        <f>D3*'Load Forecast'!$G6</f>
        <v>319603.81399553333</v>
      </c>
      <c r="E18" s="16">
        <f>E3*'Load Forecast'!$G6</f>
        <v>445257.91836031014</v>
      </c>
      <c r="F18" s="16">
        <f>F3*'Load Forecast'!$G6</f>
        <v>0</v>
      </c>
      <c r="G18" s="283">
        <f>'Load Forecast'!G6*SUM(Requirements!$K$36:$K$38)-SUM(Requirements!$J$36:$J$38)</f>
        <v>26122.499810861133</v>
      </c>
      <c r="I18">
        <v>2025</v>
      </c>
      <c r="J18" s="16">
        <f>B3*'Load Forecast'!$O6</f>
        <v>4091487.6808368829</v>
      </c>
      <c r="K18" s="16">
        <f>C3*'Load Forecast'!$O6</f>
        <v>3767236.5804398144</v>
      </c>
      <c r="L18" s="16">
        <f>D3*'Load Forecast'!$O6</f>
        <v>324251.10039706912</v>
      </c>
      <c r="M18" s="16">
        <f>E3*'Load Forecast'!$O6</f>
        <v>451732.31252758659</v>
      </c>
      <c r="N18" s="16">
        <f>F3*'Load Forecast'!$O6</f>
        <v>0</v>
      </c>
      <c r="O18" s="283">
        <f>'Load Forecast'!O6*SUM(Requirements!$K$36:$K$38)-SUM(Requirements!$J$36:$J$38)</f>
        <v>33452.874097230495</v>
      </c>
    </row>
    <row r="19" spans="1:15" x14ac:dyDescent="0.3">
      <c r="A19">
        <v>2026</v>
      </c>
      <c r="B19" s="16">
        <f>B4*'Load Forecast'!$G7</f>
        <v>4061586.3672976266</v>
      </c>
      <c r="C19" s="16">
        <f>C4*'Load Forecast'!$G7</f>
        <v>3632766.7110058926</v>
      </c>
      <c r="D19" s="16">
        <f>D4*'Load Forecast'!$G7</f>
        <v>428819.65629173367</v>
      </c>
      <c r="E19" s="16">
        <f>E4*'Load Forecast'!$G7</f>
        <v>489197.425222805</v>
      </c>
      <c r="F19" s="16">
        <f>F4*'Load Forecast'!$G7</f>
        <v>0</v>
      </c>
      <c r="G19" s="283">
        <f>'Load Forecast'!G7*SUM(Requirements!$K$36:$K$38)-SUM(Requirements!$J$36:$J$38)</f>
        <v>29715.064369853411</v>
      </c>
      <c r="I19">
        <v>2026</v>
      </c>
      <c r="J19" s="16">
        <f>B4*'Load Forecast'!$O7</f>
        <v>4164110.7356331265</v>
      </c>
      <c r="K19" s="16">
        <f>C4*'Load Forecast'!$O7</f>
        <v>3724466.6229799222</v>
      </c>
      <c r="L19" s="16">
        <f>D4*'Load Forecast'!$O7</f>
        <v>439644.11265320401</v>
      </c>
      <c r="M19" s="16">
        <f>E4*'Load Forecast'!$O7</f>
        <v>501545.9640637238</v>
      </c>
      <c r="N19" s="16">
        <f>F4*'Load Forecast'!$O7</f>
        <v>0</v>
      </c>
      <c r="O19" s="283">
        <f>'Load Forecast'!O7*SUM(Requirements!$K$36:$K$38)-SUM(Requirements!$J$36:$J$38)</f>
        <v>42531.109415985353</v>
      </c>
    </row>
    <row r="20" spans="1:15" x14ac:dyDescent="0.3">
      <c r="A20">
        <v>2027</v>
      </c>
      <c r="B20" s="16">
        <f>B5*'Load Forecast'!$G8</f>
        <v>4093935.7943521631</v>
      </c>
      <c r="C20" s="16">
        <f>C5*'Load Forecast'!$G8</f>
        <v>3384046.4576665657</v>
      </c>
      <c r="D20" s="16">
        <f>D5*'Load Forecast'!$G8</f>
        <v>540025.06185511802</v>
      </c>
      <c r="E20" s="16">
        <f>E5*'Load Forecast'!$G8</f>
        <v>534184.89498644765</v>
      </c>
      <c r="F20" s="16">
        <f>F5*'Load Forecast'!$G8</f>
        <v>169864.27483047955</v>
      </c>
      <c r="G20" s="283">
        <f>'Load Forecast'!G8*SUM(Requirements!$K$36:$K$38)-SUM(Requirements!$J$36:$J$38)</f>
        <v>33758.900202041026</v>
      </c>
      <c r="I20">
        <v>2027</v>
      </c>
      <c r="J20" s="16">
        <f>B5*'Load Forecast'!$O8</f>
        <v>4249083.040349301</v>
      </c>
      <c r="K20" s="16">
        <f>C5*'Load Forecast'!$O8</f>
        <v>3512291.1382396324</v>
      </c>
      <c r="L20" s="16">
        <f>D5*'Load Forecast'!$O8</f>
        <v>560490.30736088287</v>
      </c>
      <c r="M20" s="16">
        <f>E5*'Load Forecast'!$O8</f>
        <v>554428.81659966684</v>
      </c>
      <c r="N20" s="16">
        <f>F5*'Load Forecast'!$O8</f>
        <v>176301.59474878572</v>
      </c>
      <c r="O20" s="283">
        <f>'Load Forecast'!O8*SUM(Requirements!$K$36:$K$38)-SUM(Requirements!$J$36:$J$38)</f>
        <v>53153.061080710264</v>
      </c>
    </row>
    <row r="21" spans="1:15" x14ac:dyDescent="0.3">
      <c r="A21">
        <v>2028</v>
      </c>
      <c r="B21" s="16">
        <f>B6*'Load Forecast'!$G9</f>
        <v>4361163.3872573478</v>
      </c>
      <c r="C21" s="16">
        <f>C6*'Load Forecast'!$G9</f>
        <v>3535251.3349606893</v>
      </c>
      <c r="D21" s="16">
        <f>D6*'Load Forecast'!$G9</f>
        <v>654337.51200912078</v>
      </c>
      <c r="E21" s="16">
        <f>E6*'Load Forecast'!$G9</f>
        <v>581068.16356420226</v>
      </c>
      <c r="F21" s="16">
        <f>F6*'Load Forecast'!$G9</f>
        <v>171574.54028753808</v>
      </c>
      <c r="G21" s="283">
        <f>'Load Forecast'!G9*SUM(Requirements!$K$36:$K$38)-SUM(Requirements!$J$36:$J$38)</f>
        <v>38911.535746081499</v>
      </c>
      <c r="I21">
        <v>2028</v>
      </c>
      <c r="J21" s="16">
        <f>B6*'Load Forecast'!$O9</f>
        <v>4581020.0871060649</v>
      </c>
      <c r="K21" s="16">
        <f>C6*'Load Forecast'!$O9</f>
        <v>3713471.8285820084</v>
      </c>
      <c r="L21" s="16">
        <f>D6*'Load Forecast'!$O9</f>
        <v>687324.23440477415</v>
      </c>
      <c r="M21" s="16">
        <f>E6*'Load Forecast'!$O9</f>
        <v>610361.20248167345</v>
      </c>
      <c r="N21" s="16">
        <f>F6*'Load Forecast'!$O9</f>
        <v>180224.02411928267</v>
      </c>
      <c r="O21" s="283">
        <f>'Load Forecast'!O9*SUM(Requirements!$K$36:$K$38)-SUM(Requirements!$J$36:$J$38)</f>
        <v>64970.436512107612</v>
      </c>
    </row>
    <row r="22" spans="1:15" x14ac:dyDescent="0.3">
      <c r="A22">
        <v>2029</v>
      </c>
      <c r="B22" s="16">
        <f>B7*'Load Forecast'!$G10</f>
        <v>4394678.9518001573</v>
      </c>
      <c r="C22" s="16">
        <f>C7*'Load Forecast'!$G10</f>
        <v>3452707.8048378164</v>
      </c>
      <c r="D22" s="16">
        <f>D7*'Load Forecast'!$G10</f>
        <v>769078.05539196997</v>
      </c>
      <c r="E22" s="16">
        <f>E7*'Load Forecast'!$G10</f>
        <v>627357.50955762889</v>
      </c>
      <c r="F22" s="16">
        <f>F7*'Load Forecast'!$G10</f>
        <v>172893.09157037048</v>
      </c>
      <c r="G22" s="283">
        <f>'Load Forecast'!G10*SUM(Requirements!$K$36:$K$38)-SUM(Requirements!$J$36:$J$38)</f>
        <v>42884.026787470619</v>
      </c>
      <c r="I22">
        <v>2029</v>
      </c>
      <c r="J22" s="16">
        <f>B7*'Load Forecast'!$O10</f>
        <v>4680648.0425873892</v>
      </c>
      <c r="K22" s="16">
        <f>C7*'Load Forecast'!$O10</f>
        <v>3677381.2616551802</v>
      </c>
      <c r="L22" s="16">
        <f>D7*'Load Forecast'!$O10</f>
        <v>819123.24746561737</v>
      </c>
      <c r="M22" s="16">
        <f>E7*'Load Forecast'!$O10</f>
        <v>668180.70928948862</v>
      </c>
      <c r="N22" s="16">
        <f>F7*'Load Forecast'!$O10</f>
        <v>184143.53346659135</v>
      </c>
      <c r="O22" s="283">
        <f>'Load Forecast'!O10*SUM(Requirements!$K$36:$K$38)-SUM(Requirements!$J$36:$J$38)</f>
        <v>76779.014586809557</v>
      </c>
    </row>
    <row r="23" spans="1:15" x14ac:dyDescent="0.3">
      <c r="A23">
        <v>2030</v>
      </c>
      <c r="B23" s="16">
        <f>B8*'Load Forecast'!$G11</f>
        <v>6058522.3319961568</v>
      </c>
      <c r="C23" s="16">
        <f>C8*'Load Forecast'!$G11</f>
        <v>4665241.6616625572</v>
      </c>
      <c r="D23" s="16">
        <f>D8*'Load Forecast'!$G11</f>
        <v>887512.41856623231</v>
      </c>
      <c r="E23" s="16">
        <f>E8*'Load Forecast'!$G11</f>
        <v>675823.285363612</v>
      </c>
      <c r="F23" s="16">
        <f>F8*'Load Forecast'!$G11</f>
        <v>505768.25176736718</v>
      </c>
      <c r="G23" s="283">
        <f>'Load Forecast'!G11*SUM(Requirements!$K$36:$K$38)-SUM(Requirements!$J$36:$J$38)</f>
        <v>48054.077280114288</v>
      </c>
      <c r="I23">
        <v>2030</v>
      </c>
      <c r="J23" s="16">
        <f>B8*'Load Forecast'!$O11</f>
        <v>6533307.7543848669</v>
      </c>
      <c r="K23" s="16">
        <f>C8*'Load Forecast'!$O11</f>
        <v>5030840.5010330267</v>
      </c>
      <c r="L23" s="16">
        <f>D8*'Load Forecast'!$O11</f>
        <v>957063.69451000832</v>
      </c>
      <c r="M23" s="16">
        <f>E8*'Load Forecast'!$O11</f>
        <v>728785.21674197959</v>
      </c>
      <c r="N23" s="16">
        <f>F8*'Load Forecast'!$O11</f>
        <v>545403.55884183175</v>
      </c>
      <c r="O23" s="283">
        <f>'Load Forecast'!O11*SUM(Requirements!$K$36:$K$38)-SUM(Requirements!$J$36:$J$38)</f>
        <v>89279.349376242259</v>
      </c>
    </row>
    <row r="24" spans="1:15" x14ac:dyDescent="0.3">
      <c r="A24">
        <v>2031</v>
      </c>
      <c r="B24" s="16">
        <f>B9*'Load Forecast'!$G12</f>
        <v>6162546.6714329943</v>
      </c>
      <c r="C24" s="16">
        <f>C9*'Load Forecast'!$G12</f>
        <v>4641081.7277730033</v>
      </c>
      <c r="D24" s="16">
        <f>D9*'Load Forecast'!$G12</f>
        <v>1009851.2916531189</v>
      </c>
      <c r="E24" s="16">
        <f>E9*'Load Forecast'!$G12</f>
        <v>726361.22186084837</v>
      </c>
      <c r="F24" s="16">
        <f>F9*'Load Forecast'!$G12</f>
        <v>511613.65200687217</v>
      </c>
      <c r="G24" s="283">
        <f>'Load Forecast'!G12*SUM(Requirements!$K$36:$K$38)-SUM(Requirements!$J$36:$J$38)</f>
        <v>54133.96496539528</v>
      </c>
      <c r="I24">
        <v>2031</v>
      </c>
      <c r="J24" s="16">
        <f>B9*'Load Forecast'!$O12</f>
        <v>6717289.1927774418</v>
      </c>
      <c r="K24" s="16">
        <f>C9*'Load Forecast'!$O12</f>
        <v>5058864.4265013132</v>
      </c>
      <c r="L24" s="16">
        <f>D9*'Load Forecast'!$O12</f>
        <v>1100756.4777041208</v>
      </c>
      <c r="M24" s="16">
        <f>E9*'Load Forecast'!$O12</f>
        <v>791747.08863079909</v>
      </c>
      <c r="N24" s="16">
        <f>F9*'Load Forecast'!$O12</f>
        <v>557668.28857200779</v>
      </c>
      <c r="O24" s="283">
        <f>'Load Forecast'!O12*SUM(Requirements!$K$36:$K$38)-SUM(Requirements!$J$36:$J$38)</f>
        <v>102036.07709282229</v>
      </c>
    </row>
    <row r="25" spans="1:15" x14ac:dyDescent="0.3">
      <c r="A25">
        <v>2032</v>
      </c>
      <c r="B25" s="16">
        <f>B10*'Load Forecast'!$G13</f>
        <v>6257393.8347331481</v>
      </c>
      <c r="C25" s="16">
        <f>C10*'Load Forecast'!$G13</f>
        <v>4364437.7148756459</v>
      </c>
      <c r="D25" s="16">
        <f>D10*'Load Forecast'!$G13</f>
        <v>1149286.2353600231</v>
      </c>
      <c r="E25" s="16">
        <f>E10*'Load Forecast'!$G13</f>
        <v>780925.31744605093</v>
      </c>
      <c r="F25" s="16">
        <f>F10*'Load Forecast'!$G13</f>
        <v>743669.88449747942</v>
      </c>
      <c r="G25" s="283">
        <f>'Load Forecast'!G13*SUM(Requirements!$K$36:$K$38)-SUM(Requirements!$J$36:$J$38)</f>
        <v>62324.03382898483</v>
      </c>
      <c r="I25">
        <v>2032</v>
      </c>
      <c r="J25" s="16">
        <f>B10*'Load Forecast'!$O13</f>
        <v>6875530.8327075569</v>
      </c>
      <c r="K25" s="16">
        <f>C10*'Load Forecast'!$O13</f>
        <v>4795578.9372715624</v>
      </c>
      <c r="L25" s="16">
        <f>D10*'Load Forecast'!$O13</f>
        <v>1262818.5400385971</v>
      </c>
      <c r="M25" s="16">
        <f>E10*'Load Forecast'!$O13</f>
        <v>858069.06836178654</v>
      </c>
      <c r="N25" s="16">
        <f>F10*'Load Forecast'!$O13</f>
        <v>817133.35539739777</v>
      </c>
      <c r="O25" s="283">
        <f>'Load Forecast'!O13*SUM(Requirements!$K$36:$K$38)-SUM(Requirements!$J$36:$J$38)</f>
        <v>115700.26991652988</v>
      </c>
    </row>
    <row r="26" spans="1:15" x14ac:dyDescent="0.3">
      <c r="A26">
        <v>2033</v>
      </c>
      <c r="B26" s="16">
        <f>B11*'Load Forecast'!$G14</f>
        <v>6342824.5492351633</v>
      </c>
      <c r="C26" s="16">
        <f>C11*'Load Forecast'!$G14</f>
        <v>4410900.1414716346</v>
      </c>
      <c r="D26" s="16">
        <f>D11*'Load Forecast'!$G14</f>
        <v>1178101.3746447174</v>
      </c>
      <c r="E26" s="16">
        <f>E11*'Load Forecast'!$G14</f>
        <v>791587.10566078837</v>
      </c>
      <c r="F26" s="16">
        <f>F11*'Load Forecast'!$G14</f>
        <v>753823.03311881109</v>
      </c>
      <c r="G26" s="283">
        <f>'Load Forecast'!G14*SUM(Requirements!$K$36:$K$38)-SUM(Requirements!$J$36:$J$38)</f>
        <v>69700.990719334222</v>
      </c>
      <c r="I26">
        <v>2033</v>
      </c>
      <c r="J26" s="16">
        <f>B11*'Load Forecast'!$O14</f>
        <v>7009267.5043345252</v>
      </c>
      <c r="K26" s="16">
        <f>C11*'Load Forecast'!$O14</f>
        <v>4874355.074224744</v>
      </c>
      <c r="L26" s="16">
        <f>D11*'Load Forecast'!$O14</f>
        <v>1301884.9280806265</v>
      </c>
      <c r="M26" s="16">
        <f>E11*'Load Forecast'!$O14</f>
        <v>874759.45984150434</v>
      </c>
      <c r="N26" s="16">
        <f>F11*'Load Forecast'!$O14</f>
        <v>833027.50202915538</v>
      </c>
      <c r="O26" s="283">
        <f>'Load Forecast'!O14*SUM(Requirements!$K$36:$K$38)-SUM(Requirements!$J$36:$J$38)</f>
        <v>127248.4545126881</v>
      </c>
    </row>
    <row r="27" spans="1:15" x14ac:dyDescent="0.3">
      <c r="A27">
        <v>2034</v>
      </c>
      <c r="B27" s="16">
        <f>B12*'Load Forecast'!$G15</f>
        <v>6476454.6069741054</v>
      </c>
      <c r="C27" s="16">
        <f>C12*'Load Forecast'!$G15</f>
        <v>4501326.075119325</v>
      </c>
      <c r="D27" s="16">
        <f>D12*'Load Forecast'!$G15</f>
        <v>1209647.7261094097</v>
      </c>
      <c r="E27" s="16">
        <f>E12*'Load Forecast'!$G15</f>
        <v>803828.89463044819</v>
      </c>
      <c r="F27" s="16">
        <f>F12*'Load Forecast'!$G15</f>
        <v>765480.8057453701</v>
      </c>
      <c r="G27" s="283">
        <f>'Load Forecast'!G15*SUM(Requirements!$K$36:$K$38)-SUM(Requirements!$J$36:$J$38)</f>
        <v>78171.159857106628</v>
      </c>
      <c r="I27">
        <v>2034</v>
      </c>
      <c r="J27" s="16">
        <f>B12*'Load Forecast'!$O15</f>
        <v>7191781.9227279201</v>
      </c>
      <c r="K27" s="16">
        <f>C12*'Load Forecast'!$O15</f>
        <v>4998499.5587689169</v>
      </c>
      <c r="L27" s="16">
        <f>D12*'Load Forecast'!$O15</f>
        <v>1343253.8599335807</v>
      </c>
      <c r="M27" s="16">
        <f>E12*'Load Forecast'!$O15</f>
        <v>892612.15652533912</v>
      </c>
      <c r="N27" s="16">
        <f>F12*'Load Forecast'!$O15</f>
        <v>850028.50402542262</v>
      </c>
      <c r="O27" s="283">
        <f>'Load Forecast'!O15*SUM(Requirements!$K$36:$K$38)-SUM(Requirements!$J$36:$J$38)</f>
        <v>139600.84523370152</v>
      </c>
    </row>
    <row r="28" spans="1:15" x14ac:dyDescent="0.3">
      <c r="A28">
        <v>2035</v>
      </c>
      <c r="B28" s="16">
        <f>B13*'Load Forecast'!$G16</f>
        <v>6802705.16354731</v>
      </c>
      <c r="C28" s="16">
        <f>C13*'Load Forecast'!$G16</f>
        <v>4481864.7186297039</v>
      </c>
      <c r="D28" s="16">
        <f>D13*'Load Forecast'!$G16</f>
        <v>1234768.0359923358</v>
      </c>
      <c r="E28" s="16">
        <f>E13*'Load Forecast'!$G16</f>
        <v>816324.61962567735</v>
      </c>
      <c r="F28" s="16">
        <f>F13*'Load Forecast'!$G16</f>
        <v>1086072.4089252707</v>
      </c>
      <c r="G28" s="283">
        <f>'Load Forecast'!G16*SUM(Requirements!$K$36:$K$38)-SUM(Requirements!$J$36:$J$38)</f>
        <v>86817.028893976938</v>
      </c>
      <c r="I28">
        <v>2035</v>
      </c>
      <c r="J28" s="16">
        <f>B13*'Load Forecast'!$O16</f>
        <v>7566061.3169552684</v>
      </c>
      <c r="K28" s="16">
        <f>C13*'Load Forecast'!$O16</f>
        <v>4984790.970680289</v>
      </c>
      <c r="L28" s="16">
        <f>D13*'Load Forecast'!$O16</f>
        <v>1373325.8237613856</v>
      </c>
      <c r="M28" s="16">
        <f>E13*'Load Forecast'!$O16</f>
        <v>907927.3580346324</v>
      </c>
      <c r="N28" s="16">
        <f>F13*'Load Forecast'!$O16</f>
        <v>1207944.5225135938</v>
      </c>
      <c r="O28" s="283">
        <f>'Load Forecast'!O16*SUM(Requirements!$K$36:$K$38)-SUM(Requirements!$J$36:$J$38)</f>
        <v>150197.5274248654</v>
      </c>
    </row>
    <row r="29" spans="1:15" x14ac:dyDescent="0.3">
      <c r="B29" s="3"/>
      <c r="C29" s="3"/>
      <c r="D29" s="3"/>
      <c r="E29" s="3"/>
      <c r="F29" s="3"/>
      <c r="G29" s="3"/>
    </row>
    <row r="30" spans="1:15" s="13" customFormat="1" x14ac:dyDescent="0.3">
      <c r="B30" s="14"/>
      <c r="C30" s="14"/>
      <c r="D30" s="14"/>
      <c r="E30" s="14"/>
      <c r="F30" s="14"/>
      <c r="G30" s="14"/>
    </row>
    <row r="31" spans="1:15" ht="15" thickBot="1" x14ac:dyDescent="0.35">
      <c r="B31" s="3"/>
      <c r="C31" s="3"/>
      <c r="D31" s="3"/>
      <c r="E31" s="3"/>
      <c r="F31" s="3"/>
      <c r="G31" s="3"/>
    </row>
    <row r="32" spans="1:15" ht="15" thickBot="1" x14ac:dyDescent="0.35">
      <c r="A32" s="260" t="s">
        <v>45</v>
      </c>
      <c r="B32" s="218" t="s">
        <v>46</v>
      </c>
      <c r="C32" s="261" t="s">
        <v>47</v>
      </c>
      <c r="E32" s="260" t="s">
        <v>45</v>
      </c>
      <c r="F32" s="218" t="s">
        <v>46</v>
      </c>
      <c r="G32" s="262" t="s">
        <v>47</v>
      </c>
    </row>
    <row r="33" spans="1:11" x14ac:dyDescent="0.3">
      <c r="A33" s="137" t="s">
        <v>48</v>
      </c>
      <c r="B33" s="226">
        <v>4299734.08</v>
      </c>
      <c r="C33" s="26">
        <f t="shared" ref="C33:C39" si="5">B33/$B$40</f>
        <v>0.74686036915898391</v>
      </c>
      <c r="E33" s="137" t="s">
        <v>48</v>
      </c>
      <c r="F33" s="284">
        <f>B33-F39</f>
        <v>3966475.08</v>
      </c>
      <c r="G33" s="26">
        <f t="shared" ref="G33:G39" si="6">F33/$F$40</f>
        <v>0.68897354752429485</v>
      </c>
    </row>
    <row r="34" spans="1:11" x14ac:dyDescent="0.3">
      <c r="A34" s="137" t="s">
        <v>49</v>
      </c>
      <c r="B34" s="226">
        <v>483725.06</v>
      </c>
      <c r="C34" s="26">
        <f t="shared" si="5"/>
        <v>8.4022655857604017E-2</v>
      </c>
      <c r="E34" s="137" t="s">
        <v>50</v>
      </c>
      <c r="F34" s="284">
        <f>B34-F38</f>
        <v>430342.06</v>
      </c>
      <c r="G34" s="26">
        <f t="shared" si="6"/>
        <v>7.4750071473312502E-2</v>
      </c>
    </row>
    <row r="35" spans="1:11" ht="15" thickBot="1" x14ac:dyDescent="0.35">
      <c r="A35" s="137" t="s">
        <v>51</v>
      </c>
      <c r="B35" s="226">
        <v>494799</v>
      </c>
      <c r="C35" s="26">
        <f t="shared" si="5"/>
        <v>8.5946190374521031E-2</v>
      </c>
      <c r="E35" s="137" t="s">
        <v>51</v>
      </c>
      <c r="F35" s="284">
        <f>B35</f>
        <v>494799</v>
      </c>
      <c r="G35" s="26">
        <f t="shared" si="6"/>
        <v>8.5946190374521031E-2</v>
      </c>
      <c r="I35" s="15" t="s">
        <v>52</v>
      </c>
    </row>
    <row r="36" spans="1:11" x14ac:dyDescent="0.3">
      <c r="A36" s="137" t="s">
        <v>53</v>
      </c>
      <c r="B36" s="226">
        <v>399139</v>
      </c>
      <c r="C36" s="26">
        <f t="shared" si="5"/>
        <v>6.9330124919201444E-2</v>
      </c>
      <c r="E36" s="137" t="s">
        <v>53</v>
      </c>
      <c r="F36" s="284">
        <f>B36</f>
        <v>399139</v>
      </c>
      <c r="G36" s="26">
        <f t="shared" si="6"/>
        <v>6.9330124919201444E-2</v>
      </c>
      <c r="I36" s="22" t="s">
        <v>53</v>
      </c>
      <c r="J36" s="286">
        <v>352538</v>
      </c>
      <c r="K36" s="25">
        <f t="shared" ref="K36:K38" si="7">J36/$F$40</f>
        <v>6.1235568508127336E-2</v>
      </c>
    </row>
    <row r="37" spans="1:11" x14ac:dyDescent="0.3">
      <c r="A37" s="137" t="s">
        <v>54</v>
      </c>
      <c r="B37" s="226">
        <v>79681.77</v>
      </c>
      <c r="C37" s="26">
        <f t="shared" si="5"/>
        <v>1.3840659689689751E-2</v>
      </c>
      <c r="E37" s="137" t="s">
        <v>54</v>
      </c>
      <c r="F37" s="284">
        <f>B37</f>
        <v>79681.77</v>
      </c>
      <c r="G37" s="26">
        <f t="shared" si="6"/>
        <v>1.3840659689689751E-2</v>
      </c>
      <c r="I37" s="23" t="s">
        <v>54</v>
      </c>
      <c r="J37" s="287">
        <v>72082</v>
      </c>
      <c r="K37" s="26">
        <f t="shared" si="7"/>
        <v>1.2520585721830936E-2</v>
      </c>
    </row>
    <row r="38" spans="1:11" ht="15" thickBot="1" x14ac:dyDescent="0.35">
      <c r="A38" s="137" t="s">
        <v>55</v>
      </c>
      <c r="B38" s="226"/>
      <c r="C38" s="26">
        <f t="shared" si="5"/>
        <v>0</v>
      </c>
      <c r="E38" s="137" t="s">
        <v>55</v>
      </c>
      <c r="F38" s="284">
        <v>53383</v>
      </c>
      <c r="G38" s="26">
        <f t="shared" si="6"/>
        <v>9.2725843842915139E-3</v>
      </c>
      <c r="I38" s="24" t="s">
        <v>55</v>
      </c>
      <c r="J38" s="288">
        <v>53383</v>
      </c>
      <c r="K38" s="27">
        <f t="shared" si="7"/>
        <v>9.2725843842915139E-3</v>
      </c>
    </row>
    <row r="39" spans="1:11" ht="15" thickBot="1" x14ac:dyDescent="0.35">
      <c r="A39" s="141" t="s">
        <v>56</v>
      </c>
      <c r="B39" s="111"/>
      <c r="C39" s="27">
        <f t="shared" si="5"/>
        <v>0</v>
      </c>
      <c r="E39" s="141" t="s">
        <v>56</v>
      </c>
      <c r="F39" s="285">
        <f>333259</f>
        <v>333259</v>
      </c>
      <c r="G39" s="27">
        <f t="shared" si="6"/>
        <v>5.7886821634689049E-2</v>
      </c>
    </row>
    <row r="40" spans="1:11" x14ac:dyDescent="0.3">
      <c r="B40" s="12">
        <f>SUM(B33:B39)</f>
        <v>5757078.9099999992</v>
      </c>
      <c r="F40" s="12">
        <f>SUM(F33:F39)</f>
        <v>5757078.9099999992</v>
      </c>
      <c r="G40" s="2">
        <f>SUM(G33:G39)</f>
        <v>1</v>
      </c>
    </row>
    <row r="43" spans="1:11" x14ac:dyDescent="0.3">
      <c r="A43" t="s">
        <v>48</v>
      </c>
    </row>
    <row r="44" spans="1:11" x14ac:dyDescent="0.3">
      <c r="A44" t="s">
        <v>21</v>
      </c>
      <c r="B44" t="s">
        <v>37</v>
      </c>
      <c r="C44" t="s">
        <v>38</v>
      </c>
      <c r="D44" t="s">
        <v>39</v>
      </c>
      <c r="E44" t="s">
        <v>13</v>
      </c>
      <c r="F44" t="s">
        <v>40</v>
      </c>
      <c r="G44" t="s">
        <v>41</v>
      </c>
    </row>
    <row r="45" spans="1:11" x14ac:dyDescent="0.3">
      <c r="A45">
        <v>2025</v>
      </c>
      <c r="B45" s="3">
        <v>0.63</v>
      </c>
      <c r="C45" s="3">
        <f>B45-D45-F45</f>
        <v>0.57199999999999995</v>
      </c>
      <c r="D45" s="35">
        <v>5.8000000000000003E-2</v>
      </c>
      <c r="E45" s="5">
        <v>7.3333333333333334E-2</v>
      </c>
    </row>
    <row r="46" spans="1:11" x14ac:dyDescent="0.3">
      <c r="A46">
        <v>2026</v>
      </c>
      <c r="B46" s="3">
        <f>B45</f>
        <v>0.63</v>
      </c>
      <c r="C46" s="3">
        <f t="shared" ref="C46:C55" si="8">B46-D46-F46</f>
        <v>0.55200000000000005</v>
      </c>
      <c r="D46" s="35">
        <f>D45+0.02</f>
        <v>7.8E-2</v>
      </c>
      <c r="E46" s="5">
        <v>0.08</v>
      </c>
    </row>
    <row r="47" spans="1:11" x14ac:dyDescent="0.3">
      <c r="A47">
        <v>2027</v>
      </c>
      <c r="B47" s="3">
        <f>B46</f>
        <v>0.63</v>
      </c>
      <c r="C47" s="3">
        <f t="shared" si="8"/>
        <v>0.49200000000000005</v>
      </c>
      <c r="D47" s="35">
        <f t="shared" ref="D47:D51" si="9">D46+0.02</f>
        <v>9.8000000000000004E-2</v>
      </c>
      <c r="E47" s="5">
        <v>8.666666666666667E-2</v>
      </c>
      <c r="F47" s="1">
        <v>0.04</v>
      </c>
    </row>
    <row r="48" spans="1:11" x14ac:dyDescent="0.3">
      <c r="A48">
        <v>2028</v>
      </c>
      <c r="B48" s="3">
        <f>B47+0.04</f>
        <v>0.67</v>
      </c>
      <c r="C48" s="3">
        <f t="shared" si="8"/>
        <v>0.51200000000000001</v>
      </c>
      <c r="D48" s="35">
        <f t="shared" si="9"/>
        <v>0.11800000000000001</v>
      </c>
      <c r="E48" s="5">
        <v>9.3333333333333338E-2</v>
      </c>
      <c r="F48" s="1">
        <f>F47</f>
        <v>0.04</v>
      </c>
    </row>
    <row r="49" spans="1:7" x14ac:dyDescent="0.3">
      <c r="A49">
        <v>2029</v>
      </c>
      <c r="B49" s="3">
        <f>B48</f>
        <v>0.67</v>
      </c>
      <c r="C49" s="3">
        <f t="shared" si="8"/>
        <v>0.49200000000000005</v>
      </c>
      <c r="D49" s="35">
        <f t="shared" si="9"/>
        <v>0.13800000000000001</v>
      </c>
      <c r="E49" s="5">
        <v>0.1</v>
      </c>
      <c r="F49" s="1">
        <f>F48</f>
        <v>0.04</v>
      </c>
    </row>
    <row r="50" spans="1:7" x14ac:dyDescent="0.3">
      <c r="A50">
        <v>2030</v>
      </c>
      <c r="B50" s="8">
        <v>1</v>
      </c>
      <c r="C50" s="3">
        <f>B50-D50-F50</f>
        <v>0.74199999999999999</v>
      </c>
      <c r="D50" s="35">
        <f t="shared" si="9"/>
        <v>0.158</v>
      </c>
      <c r="E50" s="5">
        <v>0.10666666666666667</v>
      </c>
      <c r="F50" s="1">
        <v>0.1</v>
      </c>
    </row>
    <row r="51" spans="1:7" x14ac:dyDescent="0.3">
      <c r="A51">
        <v>2031</v>
      </c>
      <c r="B51" s="8">
        <v>1</v>
      </c>
      <c r="C51" s="3">
        <f t="shared" si="8"/>
        <v>0.72200000000000009</v>
      </c>
      <c r="D51" s="35">
        <f t="shared" si="9"/>
        <v>0.17799999999999999</v>
      </c>
      <c r="E51" s="5">
        <v>0.11333333333333334</v>
      </c>
      <c r="F51" s="1">
        <f>F50</f>
        <v>0.1</v>
      </c>
    </row>
    <row r="52" spans="1:7" x14ac:dyDescent="0.3">
      <c r="A52">
        <v>2032</v>
      </c>
      <c r="B52" s="8">
        <v>1</v>
      </c>
      <c r="C52" s="3">
        <f t="shared" si="8"/>
        <v>0.65</v>
      </c>
      <c r="D52" s="35">
        <v>0.2</v>
      </c>
      <c r="E52" s="5">
        <v>0.12000000000000001</v>
      </c>
      <c r="F52" s="1">
        <v>0.15</v>
      </c>
    </row>
    <row r="53" spans="1:7" x14ac:dyDescent="0.3">
      <c r="A53">
        <v>2033</v>
      </c>
      <c r="B53" s="8">
        <v>1</v>
      </c>
      <c r="C53" s="3">
        <f t="shared" si="8"/>
        <v>0.65</v>
      </c>
      <c r="D53" s="35">
        <f t="shared" ref="D53:E55" si="10">D52</f>
        <v>0.2</v>
      </c>
      <c r="E53" s="1">
        <f t="shared" si="10"/>
        <v>0.12000000000000001</v>
      </c>
      <c r="F53" s="1">
        <v>0.15</v>
      </c>
    </row>
    <row r="54" spans="1:7" x14ac:dyDescent="0.3">
      <c r="A54">
        <v>2034</v>
      </c>
      <c r="B54" s="8">
        <v>1</v>
      </c>
      <c r="C54" s="3">
        <f t="shared" si="8"/>
        <v>0.65</v>
      </c>
      <c r="D54" s="35">
        <f t="shared" si="10"/>
        <v>0.2</v>
      </c>
      <c r="E54" s="1">
        <f t="shared" si="10"/>
        <v>0.12000000000000001</v>
      </c>
      <c r="F54" s="1">
        <v>0.15</v>
      </c>
    </row>
    <row r="55" spans="1:7" x14ac:dyDescent="0.3">
      <c r="A55">
        <v>2035</v>
      </c>
      <c r="B55" s="8">
        <v>1</v>
      </c>
      <c r="C55" s="3">
        <f t="shared" si="8"/>
        <v>0.60000000000000009</v>
      </c>
      <c r="D55" s="35">
        <f t="shared" si="10"/>
        <v>0.2</v>
      </c>
      <c r="E55" s="1">
        <f t="shared" si="10"/>
        <v>0.12000000000000001</v>
      </c>
      <c r="F55" s="1">
        <v>0.2</v>
      </c>
    </row>
    <row r="57" spans="1:7" x14ac:dyDescent="0.3">
      <c r="A57" t="s">
        <v>57</v>
      </c>
      <c r="D57" s="4"/>
    </row>
    <row r="58" spans="1:7" x14ac:dyDescent="0.3">
      <c r="A58" t="s">
        <v>21</v>
      </c>
      <c r="B58" t="s">
        <v>37</v>
      </c>
      <c r="C58" t="s">
        <v>38</v>
      </c>
      <c r="D58" t="s">
        <v>39</v>
      </c>
      <c r="E58" t="s">
        <v>13</v>
      </c>
      <c r="F58" t="s">
        <v>40</v>
      </c>
      <c r="G58" t="s">
        <v>41</v>
      </c>
    </row>
    <row r="59" spans="1:7" x14ac:dyDescent="0.3">
      <c r="A59">
        <v>2025</v>
      </c>
      <c r="B59" s="3">
        <v>0.63</v>
      </c>
      <c r="C59" s="3">
        <f>B59-D59-F59</f>
        <v>0.57199999999999995</v>
      </c>
      <c r="D59" s="2">
        <v>5.8000000000000003E-2</v>
      </c>
      <c r="E59" s="5">
        <v>7.3333333333333334E-2</v>
      </c>
      <c r="F59" s="5">
        <v>0</v>
      </c>
    </row>
    <row r="60" spans="1:7" x14ac:dyDescent="0.3">
      <c r="A60">
        <v>2026</v>
      </c>
      <c r="B60" s="3">
        <f>B59</f>
        <v>0.63</v>
      </c>
      <c r="C60" s="3">
        <f t="shared" ref="C60:C69" si="11">B60-D60-F60</f>
        <v>0.55699999999999994</v>
      </c>
      <c r="D60" s="4">
        <f>D59+0.015</f>
        <v>7.3000000000000009E-2</v>
      </c>
      <c r="E60" s="5">
        <v>0.08</v>
      </c>
      <c r="F60" s="5">
        <v>0</v>
      </c>
    </row>
    <row r="61" spans="1:7" x14ac:dyDescent="0.3">
      <c r="A61">
        <v>2027</v>
      </c>
      <c r="B61" s="3">
        <f>B60</f>
        <v>0.63</v>
      </c>
      <c r="C61" s="3">
        <f t="shared" si="11"/>
        <v>0.54200000000000004</v>
      </c>
      <c r="D61" s="4">
        <f t="shared" ref="D61:D68" si="12">D60+0.015</f>
        <v>8.8000000000000009E-2</v>
      </c>
      <c r="E61" s="5">
        <v>8.666666666666667E-2</v>
      </c>
      <c r="F61" s="5">
        <v>0</v>
      </c>
    </row>
    <row r="62" spans="1:7" x14ac:dyDescent="0.3">
      <c r="A62">
        <v>2028</v>
      </c>
      <c r="B62" s="3">
        <f>B61+0.04</f>
        <v>0.67</v>
      </c>
      <c r="C62" s="3">
        <f t="shared" si="11"/>
        <v>0.56700000000000006</v>
      </c>
      <c r="D62" s="4">
        <f t="shared" si="12"/>
        <v>0.10300000000000001</v>
      </c>
      <c r="E62" s="5">
        <v>9.3333333333333338E-2</v>
      </c>
      <c r="F62" s="5">
        <v>0</v>
      </c>
    </row>
    <row r="63" spans="1:7" x14ac:dyDescent="0.3">
      <c r="A63">
        <v>2029</v>
      </c>
      <c r="B63" s="3">
        <f>B62</f>
        <v>0.67</v>
      </c>
      <c r="C63" s="3">
        <f t="shared" si="11"/>
        <v>0.55200000000000005</v>
      </c>
      <c r="D63" s="4">
        <f t="shared" si="12"/>
        <v>0.11800000000000001</v>
      </c>
      <c r="E63" s="5">
        <v>0.1</v>
      </c>
      <c r="F63" s="5">
        <v>0</v>
      </c>
    </row>
    <row r="64" spans="1:7" x14ac:dyDescent="0.3">
      <c r="A64">
        <v>2030</v>
      </c>
      <c r="B64" s="3">
        <f>B63</f>
        <v>0.67</v>
      </c>
      <c r="C64" s="3">
        <f t="shared" si="11"/>
        <v>0.48700000000000004</v>
      </c>
      <c r="D64" s="4">
        <f t="shared" si="12"/>
        <v>0.13300000000000001</v>
      </c>
      <c r="E64" s="5">
        <v>0.10666666666666667</v>
      </c>
      <c r="F64" s="1">
        <v>0.05</v>
      </c>
    </row>
    <row r="65" spans="1:7" x14ac:dyDescent="0.3">
      <c r="A65">
        <v>2031</v>
      </c>
      <c r="B65" s="3">
        <f t="shared" ref="B65" si="13">B64+0.04</f>
        <v>0.71000000000000008</v>
      </c>
      <c r="C65" s="3">
        <f t="shared" si="11"/>
        <v>0.51200000000000001</v>
      </c>
      <c r="D65" s="4">
        <f t="shared" si="12"/>
        <v>0.14800000000000002</v>
      </c>
      <c r="E65" s="5">
        <v>0.11333333333333334</v>
      </c>
      <c r="F65" s="1">
        <f>F64</f>
        <v>0.05</v>
      </c>
    </row>
    <row r="66" spans="1:7" x14ac:dyDescent="0.3">
      <c r="A66">
        <v>2032</v>
      </c>
      <c r="B66" s="3">
        <f t="shared" ref="B66:B67" si="14">B65</f>
        <v>0.71000000000000008</v>
      </c>
      <c r="C66" s="3">
        <f t="shared" si="11"/>
        <v>0.49700000000000005</v>
      </c>
      <c r="D66" s="4">
        <f t="shared" si="12"/>
        <v>0.16300000000000003</v>
      </c>
      <c r="E66" s="5">
        <v>0.12000000000000001</v>
      </c>
      <c r="F66" s="1">
        <f>F65</f>
        <v>0.05</v>
      </c>
    </row>
    <row r="67" spans="1:7" x14ac:dyDescent="0.3">
      <c r="A67">
        <v>2033</v>
      </c>
      <c r="B67" s="3">
        <f t="shared" si="14"/>
        <v>0.71000000000000008</v>
      </c>
      <c r="C67" s="3">
        <f t="shared" si="11"/>
        <v>0.48200000000000004</v>
      </c>
      <c r="D67" s="4">
        <f t="shared" si="12"/>
        <v>0.17800000000000005</v>
      </c>
      <c r="E67" s="1">
        <f>E66</f>
        <v>0.12000000000000001</v>
      </c>
      <c r="F67" s="1">
        <f>F66</f>
        <v>0.05</v>
      </c>
    </row>
    <row r="68" spans="1:7" x14ac:dyDescent="0.3">
      <c r="A68">
        <v>2034</v>
      </c>
      <c r="B68" s="3">
        <f t="shared" ref="B68" si="15">B67+0.04</f>
        <v>0.75000000000000011</v>
      </c>
      <c r="C68" s="3">
        <f t="shared" si="11"/>
        <v>0.50700000000000001</v>
      </c>
      <c r="D68" s="4">
        <f t="shared" si="12"/>
        <v>0.19300000000000006</v>
      </c>
      <c r="E68" s="1">
        <f>E67</f>
        <v>0.12000000000000001</v>
      </c>
      <c r="F68" s="1">
        <f>F67</f>
        <v>0.05</v>
      </c>
    </row>
    <row r="69" spans="1:7" x14ac:dyDescent="0.3">
      <c r="A69">
        <v>2035</v>
      </c>
      <c r="B69" s="3">
        <v>1</v>
      </c>
      <c r="C69" s="3">
        <f t="shared" si="11"/>
        <v>0.70000000000000007</v>
      </c>
      <c r="D69" s="4">
        <v>0.2</v>
      </c>
      <c r="E69" s="1">
        <f>E68</f>
        <v>0.12000000000000001</v>
      </c>
      <c r="F69" s="1">
        <v>0.1</v>
      </c>
    </row>
    <row r="71" spans="1:7" x14ac:dyDescent="0.3">
      <c r="A71" t="s">
        <v>51</v>
      </c>
    </row>
    <row r="72" spans="1:7" x14ac:dyDescent="0.3">
      <c r="A72" t="s">
        <v>21</v>
      </c>
      <c r="B72" t="s">
        <v>37</v>
      </c>
      <c r="C72" t="s">
        <v>38</v>
      </c>
      <c r="D72" t="s">
        <v>39</v>
      </c>
      <c r="E72" t="s">
        <v>13</v>
      </c>
      <c r="F72" t="s">
        <v>40</v>
      </c>
      <c r="G72" t="s">
        <v>41</v>
      </c>
    </row>
    <row r="73" spans="1:7" x14ac:dyDescent="0.3">
      <c r="A73">
        <v>2025</v>
      </c>
      <c r="B73" s="3">
        <v>0.63</v>
      </c>
      <c r="C73" s="3">
        <f>B73-D73-F73</f>
        <v>0.57199999999999995</v>
      </c>
      <c r="D73" s="2">
        <v>5.8000000000000003E-2</v>
      </c>
      <c r="E73" s="5">
        <v>7.3333333333333334E-2</v>
      </c>
      <c r="F73" s="6">
        <v>0</v>
      </c>
    </row>
    <row r="74" spans="1:7" x14ac:dyDescent="0.3">
      <c r="A74">
        <v>2026</v>
      </c>
      <c r="B74" s="3">
        <f>B73</f>
        <v>0.63</v>
      </c>
      <c r="C74" s="3">
        <f t="shared" ref="C74:C83" si="16">B74-D74-F74</f>
        <v>0.55200000000000005</v>
      </c>
      <c r="D74" s="2">
        <f>D73+0.02</f>
        <v>7.8E-2</v>
      </c>
      <c r="E74" s="5">
        <v>0.08</v>
      </c>
      <c r="F74" s="6">
        <v>0</v>
      </c>
    </row>
    <row r="75" spans="1:7" x14ac:dyDescent="0.3">
      <c r="A75">
        <v>2027</v>
      </c>
      <c r="B75" s="3">
        <f>B74</f>
        <v>0.63</v>
      </c>
      <c r="C75" s="3">
        <f t="shared" si="16"/>
        <v>0.53200000000000003</v>
      </c>
      <c r="D75" s="2">
        <f t="shared" ref="D75:D79" si="17">D74+0.02</f>
        <v>9.8000000000000004E-2</v>
      </c>
      <c r="E75" s="5">
        <v>8.666666666666667E-2</v>
      </c>
      <c r="F75" s="6">
        <v>0</v>
      </c>
    </row>
    <row r="76" spans="1:7" x14ac:dyDescent="0.3">
      <c r="A76">
        <v>2028</v>
      </c>
      <c r="B76" s="3">
        <f>B75+0.04</f>
        <v>0.67</v>
      </c>
      <c r="C76" s="3">
        <f t="shared" si="16"/>
        <v>0.55200000000000005</v>
      </c>
      <c r="D76" s="2">
        <f t="shared" si="17"/>
        <v>0.11800000000000001</v>
      </c>
      <c r="E76" s="5">
        <v>9.3333333333333338E-2</v>
      </c>
      <c r="F76" s="6">
        <v>0</v>
      </c>
    </row>
    <row r="77" spans="1:7" x14ac:dyDescent="0.3">
      <c r="A77">
        <v>2029</v>
      </c>
      <c r="B77" s="3">
        <f>B76</f>
        <v>0.67</v>
      </c>
      <c r="C77" s="3">
        <f t="shared" si="16"/>
        <v>0.53200000000000003</v>
      </c>
      <c r="D77" s="2">
        <f t="shared" si="17"/>
        <v>0.13800000000000001</v>
      </c>
      <c r="E77" s="5">
        <v>0.1</v>
      </c>
      <c r="F77" s="6">
        <v>0</v>
      </c>
    </row>
    <row r="78" spans="1:7" x14ac:dyDescent="0.3">
      <c r="A78">
        <v>2030</v>
      </c>
      <c r="B78" s="3">
        <v>1</v>
      </c>
      <c r="C78" s="3">
        <f t="shared" si="16"/>
        <v>0.79199999999999993</v>
      </c>
      <c r="D78" s="2">
        <f t="shared" si="17"/>
        <v>0.158</v>
      </c>
      <c r="E78" s="5">
        <v>0.10666666666666667</v>
      </c>
      <c r="F78" s="7">
        <v>0.05</v>
      </c>
    </row>
    <row r="79" spans="1:7" x14ac:dyDescent="0.3">
      <c r="A79">
        <v>2031</v>
      </c>
      <c r="B79" s="3">
        <v>1</v>
      </c>
      <c r="C79" s="3">
        <f t="shared" si="16"/>
        <v>0.77200000000000002</v>
      </c>
      <c r="D79" s="2">
        <f t="shared" si="17"/>
        <v>0.17799999999999999</v>
      </c>
      <c r="E79" s="5">
        <v>0.11333333333333334</v>
      </c>
      <c r="F79" s="7">
        <f>F78</f>
        <v>0.05</v>
      </c>
    </row>
    <row r="80" spans="1:7" x14ac:dyDescent="0.3">
      <c r="A80">
        <v>2032</v>
      </c>
      <c r="B80" s="3">
        <v>1</v>
      </c>
      <c r="C80" s="3">
        <f t="shared" si="16"/>
        <v>0.75</v>
      </c>
      <c r="D80" s="2">
        <v>0.2</v>
      </c>
      <c r="E80" s="5">
        <v>0.12000000000000001</v>
      </c>
      <c r="F80" s="7">
        <f>F79</f>
        <v>0.05</v>
      </c>
    </row>
    <row r="81" spans="1:7" x14ac:dyDescent="0.3">
      <c r="A81">
        <v>2033</v>
      </c>
      <c r="B81" s="3">
        <v>1</v>
      </c>
      <c r="C81" s="3">
        <f t="shared" si="16"/>
        <v>0.75</v>
      </c>
      <c r="D81" s="2">
        <f t="shared" ref="D81:E83" si="18">D80</f>
        <v>0.2</v>
      </c>
      <c r="E81" s="1">
        <f t="shared" si="18"/>
        <v>0.12000000000000001</v>
      </c>
      <c r="F81" s="7">
        <f>F80</f>
        <v>0.05</v>
      </c>
    </row>
    <row r="82" spans="1:7" x14ac:dyDescent="0.3">
      <c r="A82">
        <v>2034</v>
      </c>
      <c r="B82" s="3">
        <v>1</v>
      </c>
      <c r="C82" s="3">
        <f t="shared" si="16"/>
        <v>0.75</v>
      </c>
      <c r="D82" s="2">
        <f t="shared" si="18"/>
        <v>0.2</v>
      </c>
      <c r="E82" s="1">
        <f t="shared" si="18"/>
        <v>0.12000000000000001</v>
      </c>
      <c r="F82" s="7">
        <f>F81</f>
        <v>0.05</v>
      </c>
    </row>
    <row r="83" spans="1:7" x14ac:dyDescent="0.3">
      <c r="A83">
        <v>2035</v>
      </c>
      <c r="B83" s="3">
        <v>1</v>
      </c>
      <c r="C83" s="3">
        <f t="shared" si="16"/>
        <v>0.70000000000000007</v>
      </c>
      <c r="D83" s="2">
        <f t="shared" si="18"/>
        <v>0.2</v>
      </c>
      <c r="E83" s="1">
        <f t="shared" si="18"/>
        <v>0.12000000000000001</v>
      </c>
      <c r="F83" s="7">
        <v>0.1</v>
      </c>
    </row>
    <row r="85" spans="1:7" x14ac:dyDescent="0.3">
      <c r="A85" t="s">
        <v>53</v>
      </c>
    </row>
    <row r="86" spans="1:7" x14ac:dyDescent="0.3">
      <c r="A86" t="s">
        <v>21</v>
      </c>
      <c r="B86" t="s">
        <v>37</v>
      </c>
      <c r="C86" t="s">
        <v>38</v>
      </c>
      <c r="D86" t="s">
        <v>39</v>
      </c>
      <c r="E86" t="s">
        <v>13</v>
      </c>
      <c r="F86" t="s">
        <v>40</v>
      </c>
      <c r="G86" t="s">
        <v>41</v>
      </c>
    </row>
    <row r="87" spans="1:7" x14ac:dyDescent="0.3">
      <c r="A87">
        <v>2025</v>
      </c>
      <c r="B87" s="3">
        <v>1</v>
      </c>
      <c r="C87" s="8">
        <f>B87</f>
        <v>1</v>
      </c>
      <c r="E87" s="5">
        <v>7.3333333333333334E-2</v>
      </c>
      <c r="G87" s="7">
        <v>0.5</v>
      </c>
    </row>
    <row r="88" spans="1:7" x14ac:dyDescent="0.3">
      <c r="A88">
        <v>2026</v>
      </c>
      <c r="B88" s="3">
        <v>1</v>
      </c>
      <c r="C88" s="8">
        <f t="shared" ref="C88:C97" si="19">B88</f>
        <v>1</v>
      </c>
      <c r="E88" s="5">
        <v>0.08</v>
      </c>
      <c r="G88" s="7">
        <v>0.75</v>
      </c>
    </row>
    <row r="89" spans="1:7" x14ac:dyDescent="0.3">
      <c r="A89">
        <v>2027</v>
      </c>
      <c r="B89" s="3">
        <v>1</v>
      </c>
      <c r="C89" s="8">
        <f t="shared" si="19"/>
        <v>1</v>
      </c>
      <c r="E89" s="5">
        <v>8.666666666666667E-2</v>
      </c>
      <c r="F89" s="1"/>
      <c r="G89" s="7">
        <v>0.9</v>
      </c>
    </row>
    <row r="90" spans="1:7" x14ac:dyDescent="0.3">
      <c r="A90">
        <v>2028</v>
      </c>
      <c r="B90" s="3">
        <v>1</v>
      </c>
      <c r="C90" s="8">
        <f t="shared" si="19"/>
        <v>1</v>
      </c>
      <c r="E90" s="5">
        <v>9.3333333333333338E-2</v>
      </c>
      <c r="F90" s="1"/>
      <c r="G90" s="7">
        <v>1</v>
      </c>
    </row>
    <row r="91" spans="1:7" x14ac:dyDescent="0.3">
      <c r="A91">
        <v>2029</v>
      </c>
      <c r="B91" s="3">
        <v>1</v>
      </c>
      <c r="C91" s="8">
        <f t="shared" si="19"/>
        <v>1</v>
      </c>
      <c r="E91" s="5">
        <v>0.1</v>
      </c>
      <c r="F91" s="1"/>
      <c r="G91" s="7">
        <f>G90</f>
        <v>1</v>
      </c>
    </row>
    <row r="92" spans="1:7" x14ac:dyDescent="0.3">
      <c r="A92">
        <v>2030</v>
      </c>
      <c r="B92" s="3">
        <v>1</v>
      </c>
      <c r="C92" s="8">
        <f t="shared" si="19"/>
        <v>1</v>
      </c>
      <c r="E92" s="5">
        <v>0.10666666666666667</v>
      </c>
      <c r="F92" s="1"/>
      <c r="G92" s="7">
        <f t="shared" ref="G92:G97" si="20">G91</f>
        <v>1</v>
      </c>
    </row>
    <row r="93" spans="1:7" x14ac:dyDescent="0.3">
      <c r="A93">
        <v>2031</v>
      </c>
      <c r="B93" s="3">
        <v>1</v>
      </c>
      <c r="C93" s="8">
        <f t="shared" si="19"/>
        <v>1</v>
      </c>
      <c r="E93" s="5">
        <v>0.11333333333333334</v>
      </c>
      <c r="F93" s="1"/>
      <c r="G93" s="7">
        <f t="shared" si="20"/>
        <v>1</v>
      </c>
    </row>
    <row r="94" spans="1:7" x14ac:dyDescent="0.3">
      <c r="A94">
        <v>2032</v>
      </c>
      <c r="B94" s="3">
        <v>1</v>
      </c>
      <c r="C94" s="8">
        <f t="shared" si="19"/>
        <v>1</v>
      </c>
      <c r="E94" s="5">
        <v>0.12000000000000001</v>
      </c>
      <c r="F94" s="1"/>
      <c r="G94" s="7">
        <f t="shared" si="20"/>
        <v>1</v>
      </c>
    </row>
    <row r="95" spans="1:7" x14ac:dyDescent="0.3">
      <c r="A95">
        <v>2033</v>
      </c>
      <c r="B95" s="3">
        <v>1</v>
      </c>
      <c r="C95" s="8">
        <f t="shared" si="19"/>
        <v>1</v>
      </c>
      <c r="E95" s="1">
        <f>E94</f>
        <v>0.12000000000000001</v>
      </c>
      <c r="F95" s="1"/>
      <c r="G95" s="7">
        <f t="shared" si="20"/>
        <v>1</v>
      </c>
    </row>
    <row r="96" spans="1:7" x14ac:dyDescent="0.3">
      <c r="A96">
        <v>2034</v>
      </c>
      <c r="B96" s="3">
        <v>1</v>
      </c>
      <c r="C96" s="8">
        <f t="shared" si="19"/>
        <v>1</v>
      </c>
      <c r="E96" s="1">
        <f>E95</f>
        <v>0.12000000000000001</v>
      </c>
      <c r="F96" s="1"/>
      <c r="G96" s="7">
        <f t="shared" si="20"/>
        <v>1</v>
      </c>
    </row>
    <row r="97" spans="1:7" x14ac:dyDescent="0.3">
      <c r="A97">
        <v>2035</v>
      </c>
      <c r="B97" s="3">
        <v>1</v>
      </c>
      <c r="C97" s="8">
        <f t="shared" si="19"/>
        <v>1</v>
      </c>
      <c r="E97" s="1">
        <f>E96</f>
        <v>0.12000000000000001</v>
      </c>
      <c r="F97" s="1"/>
      <c r="G97" s="7">
        <f t="shared" si="20"/>
        <v>1</v>
      </c>
    </row>
    <row r="99" spans="1:7" x14ac:dyDescent="0.3">
      <c r="A99" t="s">
        <v>54</v>
      </c>
    </row>
    <row r="100" spans="1:7" x14ac:dyDescent="0.3">
      <c r="A100" t="s">
        <v>21</v>
      </c>
      <c r="B100" t="s">
        <v>37</v>
      </c>
      <c r="C100" t="s">
        <v>38</v>
      </c>
      <c r="D100" t="s">
        <v>39</v>
      </c>
      <c r="E100" t="s">
        <v>13</v>
      </c>
      <c r="F100" t="s">
        <v>40</v>
      </c>
      <c r="G100" t="s">
        <v>41</v>
      </c>
    </row>
    <row r="101" spans="1:7" x14ac:dyDescent="0.3">
      <c r="A101">
        <v>2025</v>
      </c>
      <c r="B101" s="3">
        <v>1</v>
      </c>
      <c r="C101" s="8">
        <f>B101</f>
        <v>1</v>
      </c>
      <c r="E101" s="5">
        <v>7.3333333333333334E-2</v>
      </c>
      <c r="G101" s="7">
        <v>0.5</v>
      </c>
    </row>
    <row r="102" spans="1:7" x14ac:dyDescent="0.3">
      <c r="A102">
        <v>2026</v>
      </c>
      <c r="B102" s="3">
        <v>1</v>
      </c>
      <c r="C102" s="8">
        <f t="shared" ref="C102:C111" si="21">B102</f>
        <v>1</v>
      </c>
      <c r="E102" s="5">
        <v>0.08</v>
      </c>
      <c r="G102" s="7">
        <v>0.75</v>
      </c>
    </row>
    <row r="103" spans="1:7" x14ac:dyDescent="0.3">
      <c r="A103">
        <v>2027</v>
      </c>
      <c r="B103" s="3">
        <v>1</v>
      </c>
      <c r="C103" s="8">
        <f t="shared" si="21"/>
        <v>1</v>
      </c>
      <c r="E103" s="5">
        <v>8.666666666666667E-2</v>
      </c>
      <c r="F103" s="1"/>
      <c r="G103" s="7">
        <v>0.9</v>
      </c>
    </row>
    <row r="104" spans="1:7" x14ac:dyDescent="0.3">
      <c r="A104">
        <v>2028</v>
      </c>
      <c r="B104" s="3">
        <v>1</v>
      </c>
      <c r="C104" s="8">
        <f t="shared" si="21"/>
        <v>1</v>
      </c>
      <c r="E104" s="5">
        <v>9.3333333333333338E-2</v>
      </c>
      <c r="F104" s="1"/>
      <c r="G104" s="7">
        <v>1</v>
      </c>
    </row>
    <row r="105" spans="1:7" x14ac:dyDescent="0.3">
      <c r="A105">
        <v>2029</v>
      </c>
      <c r="B105" s="3">
        <v>1</v>
      </c>
      <c r="C105" s="8">
        <f t="shared" si="21"/>
        <v>1</v>
      </c>
      <c r="E105" s="5">
        <v>0.1</v>
      </c>
      <c r="F105" s="1"/>
      <c r="G105" s="7">
        <f>G104</f>
        <v>1</v>
      </c>
    </row>
    <row r="106" spans="1:7" x14ac:dyDescent="0.3">
      <c r="A106">
        <v>2030</v>
      </c>
      <c r="B106" s="3">
        <v>1</v>
      </c>
      <c r="C106" s="8">
        <f t="shared" si="21"/>
        <v>1</v>
      </c>
      <c r="E106" s="5">
        <v>0.10666666666666667</v>
      </c>
      <c r="F106" s="1"/>
      <c r="G106" s="7">
        <f t="shared" ref="G106:G111" si="22">G105</f>
        <v>1</v>
      </c>
    </row>
    <row r="107" spans="1:7" x14ac:dyDescent="0.3">
      <c r="A107">
        <v>2031</v>
      </c>
      <c r="B107" s="3">
        <v>1</v>
      </c>
      <c r="C107" s="8">
        <f t="shared" si="21"/>
        <v>1</v>
      </c>
      <c r="E107" s="5">
        <v>0.11333333333333334</v>
      </c>
      <c r="F107" s="1"/>
      <c r="G107" s="7">
        <f t="shared" si="22"/>
        <v>1</v>
      </c>
    </row>
    <row r="108" spans="1:7" x14ac:dyDescent="0.3">
      <c r="A108">
        <v>2032</v>
      </c>
      <c r="B108" s="3">
        <v>1</v>
      </c>
      <c r="C108" s="8">
        <f t="shared" si="21"/>
        <v>1</v>
      </c>
      <c r="E108" s="5">
        <v>0.12000000000000001</v>
      </c>
      <c r="F108" s="1"/>
      <c r="G108" s="7">
        <f t="shared" si="22"/>
        <v>1</v>
      </c>
    </row>
    <row r="109" spans="1:7" x14ac:dyDescent="0.3">
      <c r="A109">
        <v>2033</v>
      </c>
      <c r="B109" s="3">
        <v>1</v>
      </c>
      <c r="C109" s="8">
        <f t="shared" si="21"/>
        <v>1</v>
      </c>
      <c r="E109" s="1">
        <f>E108</f>
        <v>0.12000000000000001</v>
      </c>
      <c r="F109" s="1"/>
      <c r="G109" s="7">
        <f t="shared" si="22"/>
        <v>1</v>
      </c>
    </row>
    <row r="110" spans="1:7" x14ac:dyDescent="0.3">
      <c r="A110">
        <v>2034</v>
      </c>
      <c r="B110" s="3">
        <v>1</v>
      </c>
      <c r="C110" s="8">
        <f t="shared" si="21"/>
        <v>1</v>
      </c>
      <c r="E110" s="1">
        <f>E109</f>
        <v>0.12000000000000001</v>
      </c>
      <c r="F110" s="1"/>
      <c r="G110" s="7">
        <f t="shared" si="22"/>
        <v>1</v>
      </c>
    </row>
    <row r="111" spans="1:7" x14ac:dyDescent="0.3">
      <c r="A111">
        <v>2035</v>
      </c>
      <c r="B111" s="3">
        <v>1</v>
      </c>
      <c r="C111" s="8">
        <f t="shared" si="21"/>
        <v>1</v>
      </c>
      <c r="E111" s="1">
        <f>E110</f>
        <v>0.12000000000000001</v>
      </c>
      <c r="F111" s="1"/>
      <c r="G111" s="7">
        <f t="shared" si="22"/>
        <v>1</v>
      </c>
    </row>
    <row r="113" spans="1:7" x14ac:dyDescent="0.3">
      <c r="A113" t="s">
        <v>55</v>
      </c>
    </row>
    <row r="114" spans="1:7" x14ac:dyDescent="0.3">
      <c r="A114" t="s">
        <v>21</v>
      </c>
      <c r="B114" t="s">
        <v>37</v>
      </c>
      <c r="C114" t="s">
        <v>38</v>
      </c>
      <c r="D114" t="s">
        <v>39</v>
      </c>
      <c r="E114" t="s">
        <v>13</v>
      </c>
      <c r="F114" t="s">
        <v>40</v>
      </c>
      <c r="G114" t="s">
        <v>41</v>
      </c>
    </row>
    <row r="115" spans="1:7" x14ac:dyDescent="0.3">
      <c r="A115">
        <v>2025</v>
      </c>
      <c r="B115" s="3">
        <v>1</v>
      </c>
      <c r="C115" s="8">
        <f>B115</f>
        <v>1</v>
      </c>
      <c r="E115" s="5">
        <v>7.3333333333333334E-2</v>
      </c>
      <c r="G115" s="7">
        <v>0.5</v>
      </c>
    </row>
    <row r="116" spans="1:7" x14ac:dyDescent="0.3">
      <c r="A116">
        <v>2026</v>
      </c>
      <c r="B116" s="3">
        <v>1</v>
      </c>
      <c r="C116" s="8">
        <f t="shared" ref="C116:C125" si="23">B116</f>
        <v>1</v>
      </c>
      <c r="E116" s="5">
        <v>0.08</v>
      </c>
      <c r="G116" s="7">
        <v>0.75</v>
      </c>
    </row>
    <row r="117" spans="1:7" x14ac:dyDescent="0.3">
      <c r="A117">
        <v>2027</v>
      </c>
      <c r="B117" s="3">
        <v>1</v>
      </c>
      <c r="C117" s="8">
        <f t="shared" si="23"/>
        <v>1</v>
      </c>
      <c r="E117" s="5">
        <v>8.666666666666667E-2</v>
      </c>
      <c r="F117" s="1"/>
      <c r="G117" s="7">
        <v>0.9</v>
      </c>
    </row>
    <row r="118" spans="1:7" x14ac:dyDescent="0.3">
      <c r="A118">
        <v>2028</v>
      </c>
      <c r="B118" s="3">
        <v>1</v>
      </c>
      <c r="C118" s="8">
        <f t="shared" si="23"/>
        <v>1</v>
      </c>
      <c r="E118" s="5">
        <v>9.3333333333333338E-2</v>
      </c>
      <c r="F118" s="1"/>
      <c r="G118" s="7">
        <v>1</v>
      </c>
    </row>
    <row r="119" spans="1:7" x14ac:dyDescent="0.3">
      <c r="A119">
        <v>2029</v>
      </c>
      <c r="B119" s="3">
        <v>1</v>
      </c>
      <c r="C119" s="8">
        <f t="shared" si="23"/>
        <v>1</v>
      </c>
      <c r="E119" s="5">
        <v>0.1</v>
      </c>
      <c r="F119" s="1"/>
      <c r="G119" s="7">
        <f>G118</f>
        <v>1</v>
      </c>
    </row>
    <row r="120" spans="1:7" x14ac:dyDescent="0.3">
      <c r="A120">
        <v>2030</v>
      </c>
      <c r="B120" s="3">
        <v>1</v>
      </c>
      <c r="C120" s="8">
        <f t="shared" si="23"/>
        <v>1</v>
      </c>
      <c r="E120" s="5">
        <v>0.10666666666666667</v>
      </c>
      <c r="F120" s="1"/>
      <c r="G120" s="7">
        <f t="shared" ref="G120:G125" si="24">G119</f>
        <v>1</v>
      </c>
    </row>
    <row r="121" spans="1:7" x14ac:dyDescent="0.3">
      <c r="A121">
        <v>2031</v>
      </c>
      <c r="B121" s="3">
        <v>1</v>
      </c>
      <c r="C121" s="8">
        <f t="shared" si="23"/>
        <v>1</v>
      </c>
      <c r="E121" s="5">
        <v>0.11333333333333334</v>
      </c>
      <c r="F121" s="1"/>
      <c r="G121" s="7">
        <f t="shared" si="24"/>
        <v>1</v>
      </c>
    </row>
    <row r="122" spans="1:7" x14ac:dyDescent="0.3">
      <c r="A122">
        <v>2032</v>
      </c>
      <c r="B122" s="3">
        <v>1</v>
      </c>
      <c r="C122" s="8">
        <f t="shared" si="23"/>
        <v>1</v>
      </c>
      <c r="E122" s="5">
        <v>0.12000000000000001</v>
      </c>
      <c r="F122" s="1"/>
      <c r="G122" s="7">
        <f t="shared" si="24"/>
        <v>1</v>
      </c>
    </row>
    <row r="123" spans="1:7" x14ac:dyDescent="0.3">
      <c r="A123">
        <v>2033</v>
      </c>
      <c r="B123" s="3">
        <v>1</v>
      </c>
      <c r="C123" s="8">
        <f t="shared" si="23"/>
        <v>1</v>
      </c>
      <c r="E123" s="1">
        <f>E122</f>
        <v>0.12000000000000001</v>
      </c>
      <c r="F123" s="1"/>
      <c r="G123" s="7">
        <f t="shared" si="24"/>
        <v>1</v>
      </c>
    </row>
    <row r="124" spans="1:7" x14ac:dyDescent="0.3">
      <c r="A124">
        <v>2034</v>
      </c>
      <c r="B124" s="3">
        <v>1</v>
      </c>
      <c r="C124" s="8">
        <f t="shared" si="23"/>
        <v>1</v>
      </c>
      <c r="E124" s="1">
        <f>E123</f>
        <v>0.12000000000000001</v>
      </c>
      <c r="F124" s="1"/>
      <c r="G124" s="7">
        <f t="shared" si="24"/>
        <v>1</v>
      </c>
    </row>
    <row r="125" spans="1:7" x14ac:dyDescent="0.3">
      <c r="A125">
        <v>2035</v>
      </c>
      <c r="B125" s="3">
        <v>1</v>
      </c>
      <c r="C125" s="8">
        <f t="shared" si="23"/>
        <v>1</v>
      </c>
      <c r="E125" s="1">
        <f>E124</f>
        <v>0.12000000000000001</v>
      </c>
      <c r="F125" s="1"/>
      <c r="G125" s="7">
        <f t="shared" si="24"/>
        <v>1</v>
      </c>
    </row>
    <row r="127" spans="1:7" x14ac:dyDescent="0.3">
      <c r="A127" t="s">
        <v>56</v>
      </c>
    </row>
    <row r="128" spans="1:7" x14ac:dyDescent="0.3">
      <c r="A128" t="s">
        <v>21</v>
      </c>
      <c r="B128" t="s">
        <v>37</v>
      </c>
      <c r="C128" t="s">
        <v>38</v>
      </c>
      <c r="D128" t="s">
        <v>39</v>
      </c>
      <c r="E128" t="s">
        <v>13</v>
      </c>
      <c r="F128" t="s">
        <v>40</v>
      </c>
      <c r="G128" t="s">
        <v>41</v>
      </c>
    </row>
    <row r="129" spans="1:6" x14ac:dyDescent="0.3">
      <c r="A129">
        <v>2025</v>
      </c>
      <c r="B129" s="3">
        <v>0.63</v>
      </c>
      <c r="C129" s="3">
        <f>B129-D129-F129</f>
        <v>0.57199999999999995</v>
      </c>
      <c r="D129" s="2">
        <v>5.8000000000000003E-2</v>
      </c>
      <c r="E129" s="6">
        <v>7.3333333333333334E-2</v>
      </c>
      <c r="F129" s="5">
        <v>0</v>
      </c>
    </row>
    <row r="130" spans="1:6" x14ac:dyDescent="0.3">
      <c r="A130">
        <v>2026</v>
      </c>
      <c r="B130" s="3">
        <f>B129</f>
        <v>0.63</v>
      </c>
      <c r="C130" s="3">
        <f t="shared" ref="C130:C139" si="25">B130-D130-F130</f>
        <v>0.55699999999999994</v>
      </c>
      <c r="D130" s="4">
        <f>D129+0.015</f>
        <v>7.3000000000000009E-2</v>
      </c>
      <c r="E130" s="6">
        <v>0.08</v>
      </c>
      <c r="F130" s="5">
        <v>0</v>
      </c>
    </row>
    <row r="131" spans="1:6" x14ac:dyDescent="0.3">
      <c r="A131">
        <v>2027</v>
      </c>
      <c r="B131" s="3">
        <f>B130</f>
        <v>0.63</v>
      </c>
      <c r="C131" s="3">
        <f t="shared" si="25"/>
        <v>0.54200000000000004</v>
      </c>
      <c r="D131" s="4">
        <f t="shared" ref="D131:D138" si="26">D130+0.015</f>
        <v>8.8000000000000009E-2</v>
      </c>
      <c r="E131" s="6">
        <v>8.666666666666667E-2</v>
      </c>
      <c r="F131" s="5">
        <v>0</v>
      </c>
    </row>
    <row r="132" spans="1:6" x14ac:dyDescent="0.3">
      <c r="A132">
        <v>2028</v>
      </c>
      <c r="B132" s="3">
        <f>B131+0.04</f>
        <v>0.67</v>
      </c>
      <c r="C132" s="3">
        <f t="shared" si="25"/>
        <v>0.56700000000000006</v>
      </c>
      <c r="D132" s="4">
        <f t="shared" si="26"/>
        <v>0.10300000000000001</v>
      </c>
      <c r="E132" s="6">
        <v>9.3333333333333338E-2</v>
      </c>
      <c r="F132" s="5">
        <v>0</v>
      </c>
    </row>
    <row r="133" spans="1:6" x14ac:dyDescent="0.3">
      <c r="A133">
        <v>2029</v>
      </c>
      <c r="B133" s="3">
        <f>B132</f>
        <v>0.67</v>
      </c>
      <c r="C133" s="3">
        <f t="shared" si="25"/>
        <v>0.55200000000000005</v>
      </c>
      <c r="D133" s="4">
        <f t="shared" si="26"/>
        <v>0.11800000000000001</v>
      </c>
      <c r="E133" s="6">
        <v>0.1</v>
      </c>
      <c r="F133" s="5">
        <v>0</v>
      </c>
    </row>
    <row r="134" spans="1:6" x14ac:dyDescent="0.3">
      <c r="A134">
        <v>2030</v>
      </c>
      <c r="B134" s="3">
        <f>B133</f>
        <v>0.67</v>
      </c>
      <c r="C134" s="3">
        <f t="shared" si="25"/>
        <v>0.48700000000000004</v>
      </c>
      <c r="D134" s="4">
        <f t="shared" si="26"/>
        <v>0.13300000000000001</v>
      </c>
      <c r="E134" s="6">
        <v>0.10666666666666667</v>
      </c>
      <c r="F134" s="1">
        <v>0.05</v>
      </c>
    </row>
    <row r="135" spans="1:6" x14ac:dyDescent="0.3">
      <c r="A135">
        <v>2031</v>
      </c>
      <c r="B135" s="3">
        <f t="shared" ref="B135" si="27">B134+0.04</f>
        <v>0.71000000000000008</v>
      </c>
      <c r="C135" s="3">
        <f t="shared" si="25"/>
        <v>0.51200000000000001</v>
      </c>
      <c r="D135" s="4">
        <f t="shared" si="26"/>
        <v>0.14800000000000002</v>
      </c>
      <c r="E135" s="6">
        <v>0.11333333333333334</v>
      </c>
      <c r="F135" s="1">
        <f>F134</f>
        <v>0.05</v>
      </c>
    </row>
    <row r="136" spans="1:6" x14ac:dyDescent="0.3">
      <c r="A136">
        <v>2032</v>
      </c>
      <c r="B136" s="3">
        <f t="shared" ref="B136:B137" si="28">B135</f>
        <v>0.71000000000000008</v>
      </c>
      <c r="C136" s="3">
        <f t="shared" si="25"/>
        <v>0.49700000000000005</v>
      </c>
      <c r="D136" s="4">
        <f t="shared" si="26"/>
        <v>0.16300000000000003</v>
      </c>
      <c r="E136" s="6">
        <v>0.12000000000000001</v>
      </c>
      <c r="F136" s="1">
        <f>F135</f>
        <v>0.05</v>
      </c>
    </row>
    <row r="137" spans="1:6" x14ac:dyDescent="0.3">
      <c r="A137">
        <v>2033</v>
      </c>
      <c r="B137" s="3">
        <f t="shared" si="28"/>
        <v>0.71000000000000008</v>
      </c>
      <c r="C137" s="3">
        <f t="shared" si="25"/>
        <v>0.48200000000000004</v>
      </c>
      <c r="D137" s="4">
        <f t="shared" si="26"/>
        <v>0.17800000000000005</v>
      </c>
      <c r="E137" s="7">
        <f>E136</f>
        <v>0.12000000000000001</v>
      </c>
      <c r="F137" s="1">
        <f>F136</f>
        <v>0.05</v>
      </c>
    </row>
    <row r="138" spans="1:6" x14ac:dyDescent="0.3">
      <c r="A138">
        <v>2034</v>
      </c>
      <c r="B138" s="3">
        <f t="shared" ref="B138" si="29">B137+0.04</f>
        <v>0.75000000000000011</v>
      </c>
      <c r="C138" s="3">
        <f t="shared" si="25"/>
        <v>0.50700000000000001</v>
      </c>
      <c r="D138" s="4">
        <f t="shared" si="26"/>
        <v>0.19300000000000006</v>
      </c>
      <c r="E138" s="7">
        <f>E137</f>
        <v>0.12000000000000001</v>
      </c>
      <c r="F138" s="1">
        <f>F137</f>
        <v>0.05</v>
      </c>
    </row>
    <row r="139" spans="1:6" x14ac:dyDescent="0.3">
      <c r="A139">
        <v>2035</v>
      </c>
      <c r="B139" s="3">
        <v>1</v>
      </c>
      <c r="C139" s="3">
        <f t="shared" si="25"/>
        <v>0.70000000000000007</v>
      </c>
      <c r="D139" s="4">
        <v>0.2</v>
      </c>
      <c r="E139" s="7">
        <f>E138</f>
        <v>0.12000000000000001</v>
      </c>
      <c r="F139" s="1">
        <v>0.1</v>
      </c>
    </row>
  </sheetData>
  <phoneticPr fontId="11" type="noConversion"/>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175212-16A7-4713-B0BF-4609D0C6B0BE}">
  <sheetPr>
    <tabColor theme="4"/>
  </sheetPr>
  <dimension ref="A1:J34"/>
  <sheetViews>
    <sheetView zoomScale="85" zoomScaleNormal="85" workbookViewId="0"/>
  </sheetViews>
  <sheetFormatPr defaultRowHeight="14.4" x14ac:dyDescent="0.3"/>
  <cols>
    <col min="1" max="5" width="21.109375" customWidth="1"/>
    <col min="8" max="8" width="31.33203125" bestFit="1" customWidth="1"/>
    <col min="9" max="9" width="29.6640625" style="270" customWidth="1"/>
    <col min="10" max="10" width="34.88671875" style="270" customWidth="1"/>
  </cols>
  <sheetData>
    <row r="1" spans="1:10" ht="15" thickBot="1" x14ac:dyDescent="0.35">
      <c r="A1" s="210" t="s">
        <v>21</v>
      </c>
      <c r="B1" s="152" t="s">
        <v>37</v>
      </c>
      <c r="C1" s="152" t="s">
        <v>39</v>
      </c>
      <c r="D1" s="152" t="s">
        <v>40</v>
      </c>
      <c r="E1" s="153" t="s">
        <v>41</v>
      </c>
      <c r="J1" s="271" t="s">
        <v>185</v>
      </c>
    </row>
    <row r="2" spans="1:10" ht="15" thickBot="1" x14ac:dyDescent="0.35">
      <c r="A2" s="171">
        <v>2025</v>
      </c>
      <c r="B2" s="38">
        <v>6</v>
      </c>
      <c r="C2" s="38">
        <v>45.884421229755311</v>
      </c>
      <c r="D2" s="38">
        <v>40.25</v>
      </c>
      <c r="E2" s="155">
        <f>D2</f>
        <v>40.25</v>
      </c>
      <c r="J2" s="267" t="s">
        <v>58</v>
      </c>
    </row>
    <row r="3" spans="1:10" x14ac:dyDescent="0.3">
      <c r="A3" s="171">
        <v>2026</v>
      </c>
      <c r="B3" s="38">
        <v>6</v>
      </c>
      <c r="C3" s="281">
        <f>(1+(D3-D2)/D2)*C2</f>
        <v>45.884421229755311</v>
      </c>
      <c r="D3" s="38">
        <v>40.25</v>
      </c>
      <c r="E3" s="155">
        <f t="shared" ref="E3:E12" si="0">D3</f>
        <v>40.25</v>
      </c>
      <c r="I3" s="272">
        <v>2025</v>
      </c>
      <c r="J3" s="268">
        <v>69.158647206340504</v>
      </c>
    </row>
    <row r="4" spans="1:10" x14ac:dyDescent="0.3">
      <c r="A4" s="171">
        <v>2027</v>
      </c>
      <c r="B4" s="38">
        <v>6</v>
      </c>
      <c r="C4" s="281">
        <f t="shared" ref="C4:C12" si="1">(1+(D4-D3)/D3)*C3</f>
        <v>44.601937406563394</v>
      </c>
      <c r="D4" s="38">
        <v>39.125</v>
      </c>
      <c r="E4" s="155">
        <f t="shared" si="0"/>
        <v>39.125</v>
      </c>
      <c r="I4" s="273">
        <v>2026</v>
      </c>
      <c r="J4" s="265">
        <v>76.8016131337465</v>
      </c>
    </row>
    <row r="5" spans="1:10" x14ac:dyDescent="0.3">
      <c r="A5" s="171">
        <v>2028</v>
      </c>
      <c r="B5" s="38">
        <v>6</v>
      </c>
      <c r="C5" s="281">
        <f t="shared" si="1"/>
        <v>44.174442798832757</v>
      </c>
      <c r="D5" s="38">
        <v>38.75</v>
      </c>
      <c r="E5" s="155">
        <f t="shared" si="0"/>
        <v>38.75</v>
      </c>
      <c r="I5" s="273">
        <v>2027</v>
      </c>
      <c r="J5" s="265">
        <v>76.470988696832663</v>
      </c>
    </row>
    <row r="6" spans="1:10" x14ac:dyDescent="0.3">
      <c r="A6" s="171">
        <v>2029</v>
      </c>
      <c r="B6" s="38">
        <v>7.125</v>
      </c>
      <c r="C6" s="281">
        <f t="shared" si="1"/>
        <v>42.464464367910196</v>
      </c>
      <c r="D6" s="38">
        <v>37.25</v>
      </c>
      <c r="E6" s="155">
        <f t="shared" si="0"/>
        <v>37.25</v>
      </c>
      <c r="I6" s="273">
        <v>2028</v>
      </c>
      <c r="J6" s="265">
        <v>73.350481695696502</v>
      </c>
    </row>
    <row r="7" spans="1:10" x14ac:dyDescent="0.3">
      <c r="A7" s="171">
        <v>2030</v>
      </c>
      <c r="B7" s="38">
        <v>7.125</v>
      </c>
      <c r="C7" s="281">
        <f t="shared" si="1"/>
        <v>41.609475152448915</v>
      </c>
      <c r="D7" s="38">
        <v>36.5</v>
      </c>
      <c r="E7" s="155">
        <f t="shared" si="0"/>
        <v>36.5</v>
      </c>
      <c r="I7" s="273">
        <v>2029</v>
      </c>
      <c r="J7" s="265">
        <v>72.419067089677029</v>
      </c>
    </row>
    <row r="8" spans="1:10" x14ac:dyDescent="0.3">
      <c r="A8" s="171">
        <v>2031</v>
      </c>
      <c r="B8" s="38">
        <v>7.125</v>
      </c>
      <c r="C8" s="281">
        <f t="shared" si="1"/>
        <v>39.899496721526361</v>
      </c>
      <c r="D8" s="38">
        <v>35</v>
      </c>
      <c r="E8" s="155">
        <f t="shared" si="0"/>
        <v>35</v>
      </c>
      <c r="I8" s="273">
        <v>2030</v>
      </c>
      <c r="J8" s="265">
        <v>71.815882998339404</v>
      </c>
    </row>
    <row r="9" spans="1:10" x14ac:dyDescent="0.3">
      <c r="A9" s="171">
        <v>2032</v>
      </c>
      <c r="B9" s="38">
        <v>7.125</v>
      </c>
      <c r="C9" s="281">
        <f t="shared" si="1"/>
        <v>43.502665558113179</v>
      </c>
      <c r="D9" s="38">
        <f>AVERAGE($D$2:$D$8)</f>
        <v>38.160714285714285</v>
      </c>
      <c r="E9" s="155">
        <f t="shared" si="0"/>
        <v>38.160714285714285</v>
      </c>
      <c r="I9" s="273">
        <v>2031</v>
      </c>
      <c r="J9" s="265">
        <v>75.199118495042129</v>
      </c>
    </row>
    <row r="10" spans="1:10" x14ac:dyDescent="0.3">
      <c r="A10" s="171">
        <v>2033</v>
      </c>
      <c r="B10" s="38">
        <v>7.125</v>
      </c>
      <c r="C10" s="281">
        <f t="shared" si="1"/>
        <v>43.502665558113179</v>
      </c>
      <c r="D10" s="38">
        <f t="shared" ref="D10:D12" si="2">AVERAGE($D$2:$D$8)</f>
        <v>38.160714285714285</v>
      </c>
      <c r="E10" s="155">
        <f t="shared" si="0"/>
        <v>38.160714285714285</v>
      </c>
      <c r="I10" s="273">
        <v>2032</v>
      </c>
      <c r="J10" s="265">
        <v>77.034559599984803</v>
      </c>
    </row>
    <row r="11" spans="1:10" x14ac:dyDescent="0.3">
      <c r="A11" s="171">
        <v>2034</v>
      </c>
      <c r="B11" s="38">
        <v>7.125</v>
      </c>
      <c r="C11" s="281">
        <f t="shared" si="1"/>
        <v>43.502665558113179</v>
      </c>
      <c r="D11" s="38">
        <f t="shared" si="2"/>
        <v>38.160714285714285</v>
      </c>
      <c r="E11" s="155">
        <f t="shared" si="0"/>
        <v>38.160714285714285</v>
      </c>
      <c r="I11" s="273">
        <v>2033</v>
      </c>
      <c r="J11" s="265">
        <v>77.138780731191474</v>
      </c>
    </row>
    <row r="12" spans="1:10" x14ac:dyDescent="0.3">
      <c r="A12" s="171">
        <v>2035</v>
      </c>
      <c r="B12" s="38">
        <v>7.125</v>
      </c>
      <c r="C12" s="281">
        <f t="shared" si="1"/>
        <v>43.502665558113179</v>
      </c>
      <c r="D12" s="38">
        <f t="shared" si="2"/>
        <v>38.160714285714285</v>
      </c>
      <c r="E12" s="155">
        <f t="shared" si="0"/>
        <v>38.160714285714285</v>
      </c>
      <c r="I12" s="273">
        <v>2034</v>
      </c>
      <c r="J12" s="265">
        <v>77.708049509387322</v>
      </c>
    </row>
    <row r="13" spans="1:10" ht="15" thickBot="1" x14ac:dyDescent="0.35">
      <c r="A13" s="141"/>
      <c r="B13" s="110"/>
      <c r="C13" s="110"/>
      <c r="D13" s="110"/>
      <c r="E13" s="148"/>
      <c r="I13" s="274">
        <v>2035</v>
      </c>
      <c r="J13" s="269">
        <v>74.129151316577946</v>
      </c>
    </row>
    <row r="15" spans="1:10" ht="15" thickBot="1" x14ac:dyDescent="0.35"/>
    <row r="16" spans="1:10" x14ac:dyDescent="0.3">
      <c r="A16" s="132" t="s">
        <v>59</v>
      </c>
      <c r="B16" s="163"/>
      <c r="C16" s="163"/>
      <c r="D16" s="163"/>
      <c r="E16" s="164"/>
    </row>
    <row r="17" spans="1:5" x14ac:dyDescent="0.3">
      <c r="A17" s="170"/>
      <c r="B17" s="10" t="s">
        <v>37</v>
      </c>
      <c r="C17" s="10" t="s">
        <v>39</v>
      </c>
      <c r="D17" s="10" t="s">
        <v>40</v>
      </c>
      <c r="E17" s="136" t="s">
        <v>41</v>
      </c>
    </row>
    <row r="18" spans="1:5" x14ac:dyDescent="0.3">
      <c r="A18" s="171">
        <v>2025</v>
      </c>
      <c r="B18" s="38">
        <v>12.72</v>
      </c>
      <c r="C18" s="38">
        <v>76.349999999999994</v>
      </c>
      <c r="D18" s="38">
        <v>42.16</v>
      </c>
      <c r="E18" s="155">
        <v>42.16</v>
      </c>
    </row>
    <row r="19" spans="1:5" ht="15" thickBot="1" x14ac:dyDescent="0.35">
      <c r="A19" s="141"/>
      <c r="B19" s="110"/>
      <c r="C19" s="110"/>
      <c r="D19" s="110"/>
      <c r="E19" s="148"/>
    </row>
    <row r="21" spans="1:5" ht="15" thickBot="1" x14ac:dyDescent="0.35"/>
    <row r="22" spans="1:5" x14ac:dyDescent="0.3">
      <c r="A22" s="210" t="s">
        <v>183</v>
      </c>
      <c r="B22" s="152" t="s">
        <v>181</v>
      </c>
      <c r="C22" s="152" t="s">
        <v>182</v>
      </c>
      <c r="D22" s="152" t="s">
        <v>184</v>
      </c>
      <c r="E22" s="164"/>
    </row>
    <row r="23" spans="1:5" x14ac:dyDescent="0.3">
      <c r="A23" s="171">
        <v>2025</v>
      </c>
      <c r="B23" s="266">
        <v>120000</v>
      </c>
      <c r="C23" s="139">
        <f>225*16*365*0.99</f>
        <v>1300860</v>
      </c>
      <c r="D23" s="139">
        <f>SUM(B23:C23)</f>
        <v>1420860</v>
      </c>
      <c r="E23" s="146"/>
    </row>
    <row r="24" spans="1:5" x14ac:dyDescent="0.3">
      <c r="A24" s="171">
        <v>2026</v>
      </c>
      <c r="B24" s="266">
        <v>120000</v>
      </c>
      <c r="C24" s="139">
        <f t="shared" ref="C24:C33" si="3">225*16*365*0.99</f>
        <v>1300860</v>
      </c>
      <c r="D24" s="139">
        <f t="shared" ref="D24:D33" si="4">SUM(B24:C24)</f>
        <v>1420860</v>
      </c>
      <c r="E24" s="146"/>
    </row>
    <row r="25" spans="1:5" x14ac:dyDescent="0.3">
      <c r="A25" s="171">
        <v>2027</v>
      </c>
      <c r="B25" s="266">
        <v>120000</v>
      </c>
      <c r="C25" s="139">
        <f t="shared" si="3"/>
        <v>1300860</v>
      </c>
      <c r="D25" s="139">
        <f t="shared" si="4"/>
        <v>1420860</v>
      </c>
      <c r="E25" s="146"/>
    </row>
    <row r="26" spans="1:5" x14ac:dyDescent="0.3">
      <c r="A26" s="171">
        <v>2028</v>
      </c>
      <c r="B26" s="266">
        <v>120000</v>
      </c>
      <c r="C26" s="139">
        <f t="shared" si="3"/>
        <v>1300860</v>
      </c>
      <c r="D26" s="139">
        <f t="shared" si="4"/>
        <v>1420860</v>
      </c>
      <c r="E26" s="146"/>
    </row>
    <row r="27" spans="1:5" x14ac:dyDescent="0.3">
      <c r="A27" s="171">
        <v>2029</v>
      </c>
      <c r="B27" s="266">
        <v>120000</v>
      </c>
      <c r="C27" s="139">
        <f t="shared" si="3"/>
        <v>1300860</v>
      </c>
      <c r="D27" s="139">
        <f t="shared" si="4"/>
        <v>1420860</v>
      </c>
      <c r="E27" s="146"/>
    </row>
    <row r="28" spans="1:5" x14ac:dyDescent="0.3">
      <c r="A28" s="171">
        <v>2030</v>
      </c>
      <c r="B28" s="266">
        <v>120000</v>
      </c>
      <c r="C28" s="139">
        <f t="shared" si="3"/>
        <v>1300860</v>
      </c>
      <c r="D28" s="139">
        <f t="shared" si="4"/>
        <v>1420860</v>
      </c>
      <c r="E28" s="146"/>
    </row>
    <row r="29" spans="1:5" x14ac:dyDescent="0.3">
      <c r="A29" s="171">
        <v>2031</v>
      </c>
      <c r="B29" s="266">
        <v>120000</v>
      </c>
      <c r="C29" s="139">
        <f t="shared" si="3"/>
        <v>1300860</v>
      </c>
      <c r="D29" s="139">
        <f t="shared" si="4"/>
        <v>1420860</v>
      </c>
      <c r="E29" s="146"/>
    </row>
    <row r="30" spans="1:5" x14ac:dyDescent="0.3">
      <c r="A30" s="171">
        <v>2032</v>
      </c>
      <c r="B30" s="266">
        <v>120000</v>
      </c>
      <c r="C30" s="139">
        <f t="shared" si="3"/>
        <v>1300860</v>
      </c>
      <c r="D30" s="139">
        <f t="shared" si="4"/>
        <v>1420860</v>
      </c>
      <c r="E30" s="146"/>
    </row>
    <row r="31" spans="1:5" x14ac:dyDescent="0.3">
      <c r="A31" s="171">
        <v>2033</v>
      </c>
      <c r="B31" s="266">
        <v>120000</v>
      </c>
      <c r="C31" s="139">
        <f t="shared" si="3"/>
        <v>1300860</v>
      </c>
      <c r="D31" s="139">
        <f t="shared" si="4"/>
        <v>1420860</v>
      </c>
      <c r="E31" s="146"/>
    </row>
    <row r="32" spans="1:5" x14ac:dyDescent="0.3">
      <c r="A32" s="171">
        <v>2034</v>
      </c>
      <c r="B32" s="266">
        <v>120000</v>
      </c>
      <c r="C32" s="139">
        <f t="shared" si="3"/>
        <v>1300860</v>
      </c>
      <c r="D32" s="139">
        <f t="shared" si="4"/>
        <v>1420860</v>
      </c>
      <c r="E32" s="146"/>
    </row>
    <row r="33" spans="1:5" x14ac:dyDescent="0.3">
      <c r="A33" s="171">
        <v>2035</v>
      </c>
      <c r="B33" s="266">
        <v>120000</v>
      </c>
      <c r="C33" s="139">
        <f t="shared" si="3"/>
        <v>1300860</v>
      </c>
      <c r="D33" s="139">
        <f t="shared" si="4"/>
        <v>1420860</v>
      </c>
      <c r="E33" s="146"/>
    </row>
    <row r="34" spans="1:5" ht="15" thickBot="1" x14ac:dyDescent="0.35">
      <c r="A34" s="141"/>
      <c r="B34" s="110"/>
      <c r="C34" s="110"/>
      <c r="D34" s="110"/>
      <c r="E34" s="148"/>
    </row>
  </sheetData>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90ED5-5C23-4600-BD86-6F4557FEF563}">
  <sheetPr>
    <tabColor theme="4"/>
  </sheetPr>
  <dimension ref="A1:M140"/>
  <sheetViews>
    <sheetView zoomScale="70" zoomScaleNormal="70" workbookViewId="0"/>
  </sheetViews>
  <sheetFormatPr defaultRowHeight="14.4" x14ac:dyDescent="0.3"/>
  <cols>
    <col min="1" max="1" width="29.109375" bestFit="1" customWidth="1"/>
    <col min="2" max="6" width="30.88671875" customWidth="1"/>
    <col min="8" max="8" width="29.109375" bestFit="1" customWidth="1"/>
    <col min="9" max="13" width="30.88671875" customWidth="1"/>
  </cols>
  <sheetData>
    <row r="1" spans="1:9" s="127" customFormat="1" x14ac:dyDescent="0.3">
      <c r="A1" s="131" t="s">
        <v>60</v>
      </c>
      <c r="B1" s="128"/>
      <c r="I1" s="129"/>
    </row>
    <row r="2" spans="1:9" x14ac:dyDescent="0.3">
      <c r="A2" s="135" t="s">
        <v>21</v>
      </c>
      <c r="B2" s="10" t="s">
        <v>61</v>
      </c>
      <c r="C2" s="10"/>
      <c r="F2" s="146"/>
    </row>
    <row r="3" spans="1:9" x14ac:dyDescent="0.3">
      <c r="A3" s="170">
        <v>2025</v>
      </c>
      <c r="B3" s="38">
        <f t="shared" ref="B3:B13" si="0">B29*B16+C29*C16+D29*D16+E29*E16+F29*F16</f>
        <v>40.177688424595111</v>
      </c>
      <c r="F3" s="146"/>
      <c r="I3" s="5"/>
    </row>
    <row r="4" spans="1:9" x14ac:dyDescent="0.3">
      <c r="A4" s="170">
        <v>2026</v>
      </c>
      <c r="B4" s="38">
        <f t="shared" si="0"/>
        <v>41.186402424595109</v>
      </c>
      <c r="F4" s="146"/>
      <c r="I4" s="5"/>
    </row>
    <row r="5" spans="1:9" x14ac:dyDescent="0.3">
      <c r="A5" s="170">
        <v>2027</v>
      </c>
      <c r="B5" s="38">
        <f t="shared" si="0"/>
        <v>42.169466748131271</v>
      </c>
      <c r="F5" s="146"/>
      <c r="I5" s="5"/>
    </row>
    <row r="6" spans="1:9" x14ac:dyDescent="0.3">
      <c r="A6" s="170">
        <v>2028</v>
      </c>
      <c r="B6" s="38">
        <f t="shared" si="0"/>
        <v>43.169630855976656</v>
      </c>
      <c r="F6" s="146"/>
      <c r="I6" s="5"/>
    </row>
    <row r="7" spans="1:9" x14ac:dyDescent="0.3">
      <c r="A7" s="170">
        <v>2029</v>
      </c>
      <c r="B7" s="38">
        <f t="shared" si="0"/>
        <v>44.144145287358199</v>
      </c>
      <c r="F7" s="146"/>
      <c r="I7" s="5"/>
    </row>
    <row r="8" spans="1:9" x14ac:dyDescent="0.3">
      <c r="A8" s="170">
        <v>2030</v>
      </c>
      <c r="B8" s="38">
        <f t="shared" si="0"/>
        <v>45.135759503048973</v>
      </c>
      <c r="F8" s="146"/>
      <c r="I8" s="5"/>
    </row>
    <row r="9" spans="1:9" x14ac:dyDescent="0.3">
      <c r="A9" s="170">
        <v>2031</v>
      </c>
      <c r="B9" s="38">
        <f t="shared" si="0"/>
        <v>46.110273934430523</v>
      </c>
      <c r="F9" s="146"/>
      <c r="I9" s="5"/>
    </row>
    <row r="10" spans="1:9" x14ac:dyDescent="0.3">
      <c r="A10" s="170">
        <v>2032</v>
      </c>
      <c r="B10" s="38">
        <f t="shared" si="0"/>
        <v>47.191051311162262</v>
      </c>
      <c r="F10" s="146"/>
      <c r="I10" s="5"/>
    </row>
    <row r="11" spans="1:9" x14ac:dyDescent="0.3">
      <c r="A11" s="170">
        <v>2033</v>
      </c>
      <c r="B11" s="38">
        <f t="shared" si="0"/>
        <v>48.19976531116226</v>
      </c>
      <c r="F11" s="146"/>
      <c r="I11" s="5"/>
    </row>
    <row r="12" spans="1:9" x14ac:dyDescent="0.3">
      <c r="A12" s="170">
        <v>2034</v>
      </c>
      <c r="B12" s="38">
        <f t="shared" si="0"/>
        <v>49.208479311162264</v>
      </c>
      <c r="F12" s="146"/>
      <c r="I12" s="5"/>
    </row>
    <row r="13" spans="1:9" x14ac:dyDescent="0.3">
      <c r="A13" s="170">
        <v>2035</v>
      </c>
      <c r="B13" s="38">
        <f t="shared" si="0"/>
        <v>50.217193311162269</v>
      </c>
      <c r="F13" s="146"/>
      <c r="I13" s="5"/>
    </row>
    <row r="14" spans="1:9" ht="15" thickBot="1" x14ac:dyDescent="0.35">
      <c r="A14" s="141"/>
      <c r="B14" s="151"/>
      <c r="C14" s="110"/>
      <c r="D14" s="110"/>
      <c r="E14" s="110"/>
      <c r="F14" s="148"/>
      <c r="I14" s="5"/>
    </row>
    <row r="15" spans="1:9" x14ac:dyDescent="0.3">
      <c r="A15" s="132" t="s">
        <v>62</v>
      </c>
      <c r="B15" s="152" t="s">
        <v>63</v>
      </c>
      <c r="C15" s="152" t="s">
        <v>24</v>
      </c>
      <c r="D15" s="152" t="s">
        <v>64</v>
      </c>
      <c r="E15" s="152" t="s">
        <v>65</v>
      </c>
      <c r="F15" s="153" t="s">
        <v>66</v>
      </c>
      <c r="I15" s="5"/>
    </row>
    <row r="16" spans="1:9" x14ac:dyDescent="0.3">
      <c r="A16" s="170">
        <v>2025</v>
      </c>
      <c r="B16" s="130">
        <v>26</v>
      </c>
      <c r="C16" s="130">
        <v>56</v>
      </c>
      <c r="D16" s="130">
        <v>25</v>
      </c>
      <c r="E16" s="130">
        <v>16</v>
      </c>
      <c r="F16" s="154">
        <f>'REC prices'!C2</f>
        <v>45.884421229755311</v>
      </c>
      <c r="I16" s="5"/>
    </row>
    <row r="17" spans="1:9" x14ac:dyDescent="0.3">
      <c r="A17" s="170">
        <v>2026</v>
      </c>
      <c r="B17" s="38">
        <f>B16+(1+'Rate Impact'!$B68)</f>
        <v>27.029299999999999</v>
      </c>
      <c r="C17" s="38">
        <f>C16+(1+'Rate Impact'!$B68)</f>
        <v>57.029299999999999</v>
      </c>
      <c r="D17" s="38">
        <f>D16+(1+'Rate Impact'!$B68)</f>
        <v>26.029299999999999</v>
      </c>
      <c r="E17" s="38">
        <f>E16+(1+'Rate Impact'!$B68)</f>
        <v>17.029299999999999</v>
      </c>
      <c r="F17" s="155">
        <f>'REC prices'!C3</f>
        <v>45.884421229755311</v>
      </c>
      <c r="I17" s="5"/>
    </row>
    <row r="18" spans="1:9" x14ac:dyDescent="0.3">
      <c r="A18" s="170">
        <v>2027</v>
      </c>
      <c r="B18" s="38">
        <f>B17+(1+'Rate Impact'!$B69)</f>
        <v>28.058599999999998</v>
      </c>
      <c r="C18" s="38">
        <f>C17+(1+'Rate Impact'!$B69)</f>
        <v>58.058599999999998</v>
      </c>
      <c r="D18" s="38">
        <f>D17+(1+'Rate Impact'!$B69)</f>
        <v>27.058599999999998</v>
      </c>
      <c r="E18" s="38">
        <f>E17+(1+'Rate Impact'!$B69)</f>
        <v>18.058599999999998</v>
      </c>
      <c r="F18" s="155">
        <f>'REC prices'!C4</f>
        <v>44.601937406563394</v>
      </c>
      <c r="I18" s="5"/>
    </row>
    <row r="19" spans="1:9" x14ac:dyDescent="0.3">
      <c r="A19" s="170">
        <v>2028</v>
      </c>
      <c r="B19" s="38">
        <f>B18+(1+'Rate Impact'!$B70)</f>
        <v>29.087899999999998</v>
      </c>
      <c r="C19" s="38">
        <f>C18+(1+'Rate Impact'!$B70)</f>
        <v>59.087899999999998</v>
      </c>
      <c r="D19" s="38">
        <f>D18+(1+'Rate Impact'!$B70)</f>
        <v>28.087899999999998</v>
      </c>
      <c r="E19" s="38">
        <f>E18+(1+'Rate Impact'!$B70)</f>
        <v>19.087899999999998</v>
      </c>
      <c r="F19" s="155">
        <f>'REC prices'!C5</f>
        <v>44.174442798832757</v>
      </c>
      <c r="I19" s="5"/>
    </row>
    <row r="20" spans="1:9" x14ac:dyDescent="0.3">
      <c r="A20" s="170">
        <v>2029</v>
      </c>
      <c r="B20" s="38">
        <f>B19+(1+'Rate Impact'!$B71)</f>
        <v>30.117199999999997</v>
      </c>
      <c r="C20" s="38">
        <f>C19+(1+'Rate Impact'!$B71)</f>
        <v>60.117199999999997</v>
      </c>
      <c r="D20" s="38">
        <f>D19+(1+'Rate Impact'!$B71)</f>
        <v>29.117199999999997</v>
      </c>
      <c r="E20" s="38">
        <f>E19+(1+'Rate Impact'!$B71)</f>
        <v>20.117199999999997</v>
      </c>
      <c r="F20" s="155">
        <f>'REC prices'!C6</f>
        <v>42.464464367910196</v>
      </c>
      <c r="I20" s="5"/>
    </row>
    <row r="21" spans="1:9" x14ac:dyDescent="0.3">
      <c r="A21" s="170">
        <v>2030</v>
      </c>
      <c r="B21" s="38">
        <f>B20+(1+'Rate Impact'!$B72)</f>
        <v>31.146499999999996</v>
      </c>
      <c r="C21" s="38">
        <f>C20+(1+'Rate Impact'!$B72)</f>
        <v>61.146499999999996</v>
      </c>
      <c r="D21" s="38">
        <f>D20+(1+'Rate Impact'!$B72)</f>
        <v>30.146499999999996</v>
      </c>
      <c r="E21" s="38">
        <f>E20+(1+'Rate Impact'!$B72)</f>
        <v>21.146499999999996</v>
      </c>
      <c r="F21" s="155">
        <f>'REC prices'!C7</f>
        <v>41.609475152448915</v>
      </c>
      <c r="I21" s="5"/>
    </row>
    <row r="22" spans="1:9" x14ac:dyDescent="0.3">
      <c r="A22" s="170">
        <v>2031</v>
      </c>
      <c r="B22" s="38">
        <f>B21+(1+'Rate Impact'!$B73)</f>
        <v>32.175799999999995</v>
      </c>
      <c r="C22" s="38">
        <f>C21+(1+'Rate Impact'!$B73)</f>
        <v>62.175799999999995</v>
      </c>
      <c r="D22" s="38">
        <f>D21+(1+'Rate Impact'!$B73)</f>
        <v>31.175799999999995</v>
      </c>
      <c r="E22" s="38">
        <f>E21+(1+'Rate Impact'!$B73)</f>
        <v>22.175799999999995</v>
      </c>
      <c r="F22" s="155">
        <f>'REC prices'!C8</f>
        <v>39.899496721526361</v>
      </c>
      <c r="I22" s="5"/>
    </row>
    <row r="23" spans="1:9" x14ac:dyDescent="0.3">
      <c r="A23" s="170">
        <v>2032</v>
      </c>
      <c r="B23" s="38">
        <f>B22+(1+'Rate Impact'!$B74)</f>
        <v>33.205099999999995</v>
      </c>
      <c r="C23" s="38">
        <f>C22+(1+'Rate Impact'!$B74)</f>
        <v>63.205099999999995</v>
      </c>
      <c r="D23" s="38">
        <f>D22+(1+'Rate Impact'!$B74)</f>
        <v>32.205099999999995</v>
      </c>
      <c r="E23" s="38">
        <f>E22+(1+'Rate Impact'!$B74)</f>
        <v>23.205099999999995</v>
      </c>
      <c r="F23" s="155">
        <f>'REC prices'!C9</f>
        <v>43.502665558113179</v>
      </c>
      <c r="I23" s="5"/>
    </row>
    <row r="24" spans="1:9" x14ac:dyDescent="0.3">
      <c r="A24" s="170">
        <v>2033</v>
      </c>
      <c r="B24" s="38">
        <f>B23+(1+'Rate Impact'!$B75)</f>
        <v>34.234399999999994</v>
      </c>
      <c r="C24" s="38">
        <f>C23+(1+'Rate Impact'!$B75)</f>
        <v>64.234399999999994</v>
      </c>
      <c r="D24" s="38">
        <f>D23+(1+'Rate Impact'!$B75)</f>
        <v>33.234399999999994</v>
      </c>
      <c r="E24" s="38">
        <f>E23+(1+'Rate Impact'!$B75)</f>
        <v>24.234399999999994</v>
      </c>
      <c r="F24" s="155">
        <f>'REC prices'!C10</f>
        <v>43.502665558113179</v>
      </c>
      <c r="I24" s="5"/>
    </row>
    <row r="25" spans="1:9" x14ac:dyDescent="0.3">
      <c r="A25" s="170">
        <v>2034</v>
      </c>
      <c r="B25" s="38">
        <f>B24+(1+'Rate Impact'!$B76)</f>
        <v>35.263699999999993</v>
      </c>
      <c r="C25" s="38">
        <f>C24+(1+'Rate Impact'!$B76)</f>
        <v>65.2637</v>
      </c>
      <c r="D25" s="38">
        <f>D24+(1+'Rate Impact'!$B76)</f>
        <v>34.263699999999993</v>
      </c>
      <c r="E25" s="38">
        <f>E24+(1+'Rate Impact'!$B76)</f>
        <v>25.263699999999993</v>
      </c>
      <c r="F25" s="155">
        <f>'REC prices'!C11</f>
        <v>43.502665558113179</v>
      </c>
      <c r="I25" s="5"/>
    </row>
    <row r="26" spans="1:9" x14ac:dyDescent="0.3">
      <c r="A26" s="170">
        <v>2035</v>
      </c>
      <c r="B26" s="38">
        <f>B25+(1+'Rate Impact'!$B77)</f>
        <v>36.292999999999992</v>
      </c>
      <c r="C26" s="38">
        <f>C25+(1+'Rate Impact'!$B77)</f>
        <v>66.293000000000006</v>
      </c>
      <c r="D26" s="38">
        <f>D25+(1+'Rate Impact'!$B77)</f>
        <v>35.292999999999992</v>
      </c>
      <c r="E26" s="38">
        <f>E25+(1+'Rate Impact'!$B77)</f>
        <v>26.292999999999992</v>
      </c>
      <c r="F26" s="155">
        <f>'REC prices'!C12</f>
        <v>43.502665558113179</v>
      </c>
      <c r="I26" s="5"/>
    </row>
    <row r="27" spans="1:9" ht="15" thickBot="1" x14ac:dyDescent="0.35">
      <c r="A27" s="141"/>
      <c r="B27" s="151"/>
      <c r="C27" s="151"/>
      <c r="D27" s="151"/>
      <c r="E27" s="151"/>
      <c r="F27" s="156"/>
      <c r="I27" s="5"/>
    </row>
    <row r="28" spans="1:9" x14ac:dyDescent="0.3">
      <c r="A28" s="132" t="s">
        <v>67</v>
      </c>
      <c r="B28" s="152" t="s">
        <v>63</v>
      </c>
      <c r="C28" s="152" t="s">
        <v>24</v>
      </c>
      <c r="D28" s="152" t="s">
        <v>64</v>
      </c>
      <c r="E28" s="152" t="s">
        <v>65</v>
      </c>
      <c r="F28" s="153" t="s">
        <v>66</v>
      </c>
      <c r="I28" s="5"/>
    </row>
    <row r="29" spans="1:9" x14ac:dyDescent="0.3">
      <c r="A29" s="170">
        <v>2025</v>
      </c>
      <c r="B29" s="157">
        <v>0.5</v>
      </c>
      <c r="C29" s="157">
        <v>0.46</v>
      </c>
      <c r="D29" s="157">
        <v>0.02</v>
      </c>
      <c r="E29" s="157">
        <v>0</v>
      </c>
      <c r="F29" s="158">
        <v>0.02</v>
      </c>
      <c r="I29" s="5"/>
    </row>
    <row r="30" spans="1:9" x14ac:dyDescent="0.3">
      <c r="A30" s="170">
        <v>2026</v>
      </c>
      <c r="B30" s="157">
        <f>B29</f>
        <v>0.5</v>
      </c>
      <c r="C30" s="157">
        <v>0.46</v>
      </c>
      <c r="D30" s="157">
        <v>0.02</v>
      </c>
      <c r="E30" s="157">
        <v>0</v>
      </c>
      <c r="F30" s="158">
        <v>0.02</v>
      </c>
      <c r="I30" s="5"/>
    </row>
    <row r="31" spans="1:9" x14ac:dyDescent="0.3">
      <c r="A31" s="170">
        <v>2027</v>
      </c>
      <c r="B31" s="157">
        <f t="shared" ref="B31:B39" si="1">B30</f>
        <v>0.5</v>
      </c>
      <c r="C31" s="157">
        <v>0.46</v>
      </c>
      <c r="D31" s="157">
        <v>0.02</v>
      </c>
      <c r="E31" s="157">
        <v>0</v>
      </c>
      <c r="F31" s="158">
        <v>0.02</v>
      </c>
      <c r="I31" s="5"/>
    </row>
    <row r="32" spans="1:9" x14ac:dyDescent="0.3">
      <c r="A32" s="170">
        <v>2028</v>
      </c>
      <c r="B32" s="157">
        <f t="shared" si="1"/>
        <v>0.5</v>
      </c>
      <c r="C32" s="157">
        <v>0.46</v>
      </c>
      <c r="D32" s="157">
        <v>0.02</v>
      </c>
      <c r="E32" s="157">
        <v>0</v>
      </c>
      <c r="F32" s="158">
        <v>0.02</v>
      </c>
      <c r="I32" s="5"/>
    </row>
    <row r="33" spans="1:13" x14ac:dyDescent="0.3">
      <c r="A33" s="170">
        <v>2029</v>
      </c>
      <c r="B33" s="157">
        <f t="shared" si="1"/>
        <v>0.5</v>
      </c>
      <c r="C33" s="157">
        <v>0.46</v>
      </c>
      <c r="D33" s="157">
        <v>0.02</v>
      </c>
      <c r="E33" s="157">
        <v>0</v>
      </c>
      <c r="F33" s="158">
        <v>0.02</v>
      </c>
      <c r="I33" s="5"/>
    </row>
    <row r="34" spans="1:13" x14ac:dyDescent="0.3">
      <c r="A34" s="170">
        <v>2030</v>
      </c>
      <c r="B34" s="157">
        <f t="shared" si="1"/>
        <v>0.5</v>
      </c>
      <c r="C34" s="157">
        <v>0.46</v>
      </c>
      <c r="D34" s="157">
        <v>0.02</v>
      </c>
      <c r="E34" s="157">
        <v>0</v>
      </c>
      <c r="F34" s="158">
        <v>0.02</v>
      </c>
      <c r="I34" s="5"/>
    </row>
    <row r="35" spans="1:13" x14ac:dyDescent="0.3">
      <c r="A35" s="170">
        <v>2031</v>
      </c>
      <c r="B35" s="157">
        <f t="shared" si="1"/>
        <v>0.5</v>
      </c>
      <c r="C35" s="157">
        <v>0.46</v>
      </c>
      <c r="D35" s="157">
        <v>0.02</v>
      </c>
      <c r="E35" s="157">
        <v>0</v>
      </c>
      <c r="F35" s="158">
        <v>0.02</v>
      </c>
      <c r="I35" s="5"/>
    </row>
    <row r="36" spans="1:13" x14ac:dyDescent="0.3">
      <c r="A36" s="170">
        <v>2032</v>
      </c>
      <c r="B36" s="157">
        <f t="shared" si="1"/>
        <v>0.5</v>
      </c>
      <c r="C36" s="157">
        <v>0.46</v>
      </c>
      <c r="D36" s="157">
        <v>0.02</v>
      </c>
      <c r="E36" s="157">
        <v>0</v>
      </c>
      <c r="F36" s="158">
        <v>0.02</v>
      </c>
      <c r="I36" s="5"/>
    </row>
    <row r="37" spans="1:13" x14ac:dyDescent="0.3">
      <c r="A37" s="170">
        <v>2033</v>
      </c>
      <c r="B37" s="157">
        <f t="shared" si="1"/>
        <v>0.5</v>
      </c>
      <c r="C37" s="157">
        <v>0.46</v>
      </c>
      <c r="D37" s="157">
        <v>0.02</v>
      </c>
      <c r="E37" s="157">
        <v>0</v>
      </c>
      <c r="F37" s="158">
        <v>0.02</v>
      </c>
      <c r="I37" s="5"/>
    </row>
    <row r="38" spans="1:13" x14ac:dyDescent="0.3">
      <c r="A38" s="170">
        <v>2034</v>
      </c>
      <c r="B38" s="157">
        <f t="shared" si="1"/>
        <v>0.5</v>
      </c>
      <c r="C38" s="157">
        <v>0.46</v>
      </c>
      <c r="D38" s="157">
        <v>0.02</v>
      </c>
      <c r="E38" s="157">
        <v>0</v>
      </c>
      <c r="F38" s="158">
        <v>0.02</v>
      </c>
      <c r="I38" s="5"/>
    </row>
    <row r="39" spans="1:13" x14ac:dyDescent="0.3">
      <c r="A39" s="170">
        <v>2035</v>
      </c>
      <c r="B39" s="157">
        <f t="shared" si="1"/>
        <v>0.5</v>
      </c>
      <c r="C39" s="157">
        <v>0.46</v>
      </c>
      <c r="D39" s="157">
        <v>0.02</v>
      </c>
      <c r="E39" s="157">
        <v>0</v>
      </c>
      <c r="F39" s="158">
        <v>0.02</v>
      </c>
      <c r="I39" s="5"/>
    </row>
    <row r="40" spans="1:13" x14ac:dyDescent="0.3">
      <c r="A40" s="137"/>
      <c r="B40" s="38"/>
      <c r="C40" s="38"/>
      <c r="D40" s="38"/>
      <c r="E40" s="38"/>
      <c r="F40" s="155"/>
      <c r="I40" s="5"/>
    </row>
    <row r="41" spans="1:13" ht="15" thickBot="1" x14ac:dyDescent="0.35">
      <c r="A41" s="141"/>
      <c r="B41" s="151"/>
      <c r="C41" s="110"/>
      <c r="D41" s="110"/>
      <c r="E41" s="110"/>
      <c r="F41" s="148"/>
      <c r="I41" s="5"/>
    </row>
    <row r="42" spans="1:13" s="127" customFormat="1" ht="15" thickBot="1" x14ac:dyDescent="0.35">
      <c r="A42" s="131" t="s">
        <v>68</v>
      </c>
      <c r="B42" s="128"/>
      <c r="I42" s="129"/>
    </row>
    <row r="43" spans="1:13" s="45" customFormat="1" ht="15" thickBot="1" x14ac:dyDescent="0.35">
      <c r="A43" s="165" t="s">
        <v>69</v>
      </c>
      <c r="B43" s="166">
        <v>0.88</v>
      </c>
      <c r="C43" s="166">
        <v>1</v>
      </c>
      <c r="D43" s="166">
        <v>1</v>
      </c>
      <c r="E43" s="166">
        <v>1</v>
      </c>
      <c r="F43" s="167">
        <v>1</v>
      </c>
      <c r="H43" s="165" t="s">
        <v>69</v>
      </c>
      <c r="I43" s="166">
        <v>0.88</v>
      </c>
      <c r="J43" s="166">
        <v>1</v>
      </c>
      <c r="K43" s="166">
        <v>1</v>
      </c>
      <c r="L43" s="166">
        <v>1</v>
      </c>
      <c r="M43" s="167">
        <v>1</v>
      </c>
    </row>
    <row r="44" spans="1:13" ht="15" thickBot="1" x14ac:dyDescent="0.35">
      <c r="B44" s="38"/>
      <c r="I44" s="5"/>
    </row>
    <row r="45" spans="1:13" x14ac:dyDescent="0.3">
      <c r="A45" s="132" t="s">
        <v>70</v>
      </c>
      <c r="B45" s="133"/>
      <c r="C45" s="133"/>
      <c r="D45" s="133"/>
      <c r="E45" s="133"/>
      <c r="F45" s="134"/>
      <c r="G45" s="3"/>
      <c r="H45" s="132" t="s">
        <v>71</v>
      </c>
      <c r="I45" s="163"/>
      <c r="J45" s="163"/>
      <c r="K45" s="163"/>
      <c r="L45" s="163"/>
      <c r="M45" s="164"/>
    </row>
    <row r="46" spans="1:13" x14ac:dyDescent="0.3">
      <c r="A46" s="135" t="s">
        <v>72</v>
      </c>
      <c r="B46" s="10" t="s">
        <v>63</v>
      </c>
      <c r="C46" s="10" t="s">
        <v>24</v>
      </c>
      <c r="D46" s="10" t="s">
        <v>64</v>
      </c>
      <c r="E46" s="10" t="s">
        <v>65</v>
      </c>
      <c r="F46" s="136" t="s">
        <v>66</v>
      </c>
      <c r="H46" s="135" t="s">
        <v>72</v>
      </c>
      <c r="I46" s="10" t="s">
        <v>63</v>
      </c>
      <c r="J46" s="10" t="s">
        <v>24</v>
      </c>
      <c r="K46" s="10" t="s">
        <v>64</v>
      </c>
      <c r="L46" s="10" t="s">
        <v>65</v>
      </c>
      <c r="M46" s="136" t="s">
        <v>66</v>
      </c>
    </row>
    <row r="47" spans="1:13" x14ac:dyDescent="0.3">
      <c r="A47" s="170">
        <v>2025</v>
      </c>
      <c r="B47" s="145">
        <f>B29*Requirements!$E18</f>
        <v>222628.95918015507</v>
      </c>
      <c r="C47" s="145">
        <f>C29*Requirements!$E18</f>
        <v>204818.64244574268</v>
      </c>
      <c r="D47" s="145">
        <f>D29*Requirements!$E18</f>
        <v>8905.1583672062025</v>
      </c>
      <c r="E47" s="145">
        <f>E29*Requirements!$E18</f>
        <v>0</v>
      </c>
      <c r="F47" s="150">
        <f>F29*Requirements!$E18</f>
        <v>8905.1583672062025</v>
      </c>
      <c r="G47" s="30"/>
      <c r="H47" s="170">
        <v>2025</v>
      </c>
      <c r="I47" s="139">
        <f>B29*Requirements!$M18</f>
        <v>225866.15626379329</v>
      </c>
      <c r="J47" s="139">
        <f>C29*Requirements!$M18</f>
        <v>207796.86376268984</v>
      </c>
      <c r="K47" s="139">
        <f>D29*Requirements!$M18</f>
        <v>9034.646250551732</v>
      </c>
      <c r="L47" s="139">
        <f>E29*Requirements!$M18</f>
        <v>0</v>
      </c>
      <c r="M47" s="162">
        <f>F29*Requirements!$M18</f>
        <v>9034.646250551732</v>
      </c>
    </row>
    <row r="48" spans="1:13" x14ac:dyDescent="0.3">
      <c r="A48" s="170">
        <v>2026</v>
      </c>
      <c r="B48" s="145">
        <f>B30*Requirements!$E19</f>
        <v>244598.7126114025</v>
      </c>
      <c r="C48" s="145">
        <f>C30*Requirements!$E19</f>
        <v>225030.8156024903</v>
      </c>
      <c r="D48" s="145">
        <f>D30*Requirements!$E19</f>
        <v>9783.9485044561006</v>
      </c>
      <c r="E48" s="145">
        <f>E30*Requirements!$E19</f>
        <v>0</v>
      </c>
      <c r="F48" s="150">
        <f>F30*Requirements!$E19</f>
        <v>9783.9485044561006</v>
      </c>
      <c r="G48" s="30"/>
      <c r="H48" s="170">
        <v>2026</v>
      </c>
      <c r="I48" s="139">
        <f>B30*Requirements!$M19</f>
        <v>250772.9820318619</v>
      </c>
      <c r="J48" s="139">
        <f>C30*Requirements!$M19</f>
        <v>230711.14346931296</v>
      </c>
      <c r="K48" s="139">
        <f>D30*Requirements!$M19</f>
        <v>10030.919281274477</v>
      </c>
      <c r="L48" s="139">
        <f>E30*Requirements!$M19</f>
        <v>0</v>
      </c>
      <c r="M48" s="162">
        <f>F30*Requirements!$M19</f>
        <v>10030.919281274477</v>
      </c>
    </row>
    <row r="49" spans="1:13" x14ac:dyDescent="0.3">
      <c r="A49" s="170">
        <v>2027</v>
      </c>
      <c r="B49" s="145">
        <f>B31*Requirements!$E20</f>
        <v>267092.44749322382</v>
      </c>
      <c r="C49" s="145">
        <f>C31*Requirements!$E20</f>
        <v>245725.05169376594</v>
      </c>
      <c r="D49" s="145">
        <f>D31*Requirements!$E20</f>
        <v>10683.697899728953</v>
      </c>
      <c r="E49" s="145">
        <f>E31*Requirements!$E20</f>
        <v>0</v>
      </c>
      <c r="F49" s="150">
        <f>F31*Requirements!$E20</f>
        <v>10683.697899728953</v>
      </c>
      <c r="G49" s="30"/>
      <c r="H49" s="170">
        <v>2027</v>
      </c>
      <c r="I49" s="139">
        <f>B31*Requirements!$M20</f>
        <v>277214.40829983342</v>
      </c>
      <c r="J49" s="139">
        <f>C31*Requirements!$M20</f>
        <v>255037.25563584676</v>
      </c>
      <c r="K49" s="139">
        <f>D31*Requirements!$M20</f>
        <v>11088.576331993338</v>
      </c>
      <c r="L49" s="139">
        <f>E31*Requirements!$M20</f>
        <v>0</v>
      </c>
      <c r="M49" s="162">
        <f>F31*Requirements!$M20</f>
        <v>11088.576331993338</v>
      </c>
    </row>
    <row r="50" spans="1:13" x14ac:dyDescent="0.3">
      <c r="A50" s="170">
        <v>2028</v>
      </c>
      <c r="B50" s="145">
        <f>B32*Requirements!$E21</f>
        <v>290534.08178210113</v>
      </c>
      <c r="C50" s="145">
        <f>C32*Requirements!$E21</f>
        <v>267291.35523953306</v>
      </c>
      <c r="D50" s="145">
        <f>D32*Requirements!$E21</f>
        <v>11621.363271284046</v>
      </c>
      <c r="E50" s="145">
        <f>E32*Requirements!$E21</f>
        <v>0</v>
      </c>
      <c r="F50" s="150">
        <f>F32*Requirements!$E21</f>
        <v>11621.363271284046</v>
      </c>
      <c r="G50" s="30"/>
      <c r="H50" s="170">
        <v>2028</v>
      </c>
      <c r="I50" s="139">
        <f>B32*Requirements!$M21</f>
        <v>305180.60124083672</v>
      </c>
      <c r="J50" s="139">
        <f>C32*Requirements!$M21</f>
        <v>280766.15314156981</v>
      </c>
      <c r="K50" s="139">
        <f>D32*Requirements!$M21</f>
        <v>12207.224049633469</v>
      </c>
      <c r="L50" s="139">
        <f>E32*Requirements!$M21</f>
        <v>0</v>
      </c>
      <c r="M50" s="162">
        <f>F32*Requirements!$M21</f>
        <v>12207.224049633469</v>
      </c>
    </row>
    <row r="51" spans="1:13" x14ac:dyDescent="0.3">
      <c r="A51" s="170">
        <v>2029</v>
      </c>
      <c r="B51" s="145">
        <f>B33*Requirements!$E22</f>
        <v>313678.75477881444</v>
      </c>
      <c r="C51" s="145">
        <f>C33*Requirements!$E22</f>
        <v>288584.45439650927</v>
      </c>
      <c r="D51" s="145">
        <f>D33*Requirements!$E22</f>
        <v>12547.150191152577</v>
      </c>
      <c r="E51" s="145">
        <f>E33*Requirements!$E22</f>
        <v>0</v>
      </c>
      <c r="F51" s="150">
        <f>F33*Requirements!$E22</f>
        <v>12547.150191152577</v>
      </c>
      <c r="G51" s="30"/>
      <c r="H51" s="170">
        <v>2029</v>
      </c>
      <c r="I51" s="139">
        <f>B33*Requirements!$M22</f>
        <v>334090.35464474431</v>
      </c>
      <c r="J51" s="139">
        <f>C33*Requirements!$M22</f>
        <v>307363.12627316476</v>
      </c>
      <c r="K51" s="139">
        <f>D33*Requirements!$M22</f>
        <v>13363.614185789773</v>
      </c>
      <c r="L51" s="139">
        <f>E33*Requirements!$M22</f>
        <v>0</v>
      </c>
      <c r="M51" s="162">
        <f>F33*Requirements!$M22</f>
        <v>13363.614185789773</v>
      </c>
    </row>
    <row r="52" spans="1:13" x14ac:dyDescent="0.3">
      <c r="A52" s="170">
        <v>2030</v>
      </c>
      <c r="B52" s="145">
        <f>B34*Requirements!$E23</f>
        <v>337911.642681806</v>
      </c>
      <c r="C52" s="145">
        <f>C34*Requirements!$E23</f>
        <v>310878.71126726153</v>
      </c>
      <c r="D52" s="145">
        <f>D34*Requirements!$E23</f>
        <v>13516.46570727224</v>
      </c>
      <c r="E52" s="145">
        <f>E34*Requirements!$E23</f>
        <v>0</v>
      </c>
      <c r="F52" s="150">
        <f>F34*Requirements!$E23</f>
        <v>13516.46570727224</v>
      </c>
      <c r="G52" s="30"/>
      <c r="H52" s="170">
        <v>2030</v>
      </c>
      <c r="I52" s="139">
        <f>B34*Requirements!$M23</f>
        <v>364392.60837098979</v>
      </c>
      <c r="J52" s="139">
        <f>C34*Requirements!$M23</f>
        <v>335241.1997013106</v>
      </c>
      <c r="K52" s="139">
        <f>D34*Requirements!$M23</f>
        <v>14575.704334839593</v>
      </c>
      <c r="L52" s="139">
        <f>E34*Requirements!$M23</f>
        <v>0</v>
      </c>
      <c r="M52" s="162">
        <f>F34*Requirements!$M23</f>
        <v>14575.704334839593</v>
      </c>
    </row>
    <row r="53" spans="1:13" x14ac:dyDescent="0.3">
      <c r="A53" s="170">
        <v>2031</v>
      </c>
      <c r="B53" s="145">
        <f>B35*Requirements!$E24</f>
        <v>363180.61093042418</v>
      </c>
      <c r="C53" s="145">
        <f>C35*Requirements!$E24</f>
        <v>334126.16205599025</v>
      </c>
      <c r="D53" s="145">
        <f>D35*Requirements!$E24</f>
        <v>14527.224437216968</v>
      </c>
      <c r="E53" s="145">
        <f>E35*Requirements!$E24</f>
        <v>0</v>
      </c>
      <c r="F53" s="150">
        <f>F35*Requirements!$E24</f>
        <v>14527.224437216968</v>
      </c>
      <c r="G53" s="30"/>
      <c r="H53" s="170">
        <v>2031</v>
      </c>
      <c r="I53" s="139">
        <f>B35*Requirements!$M24</f>
        <v>395873.54431539954</v>
      </c>
      <c r="J53" s="139">
        <f>C35*Requirements!$M24</f>
        <v>364203.6607701676</v>
      </c>
      <c r="K53" s="139">
        <f>D35*Requirements!$M24</f>
        <v>15834.941772615983</v>
      </c>
      <c r="L53" s="139">
        <f>E35*Requirements!$M24</f>
        <v>0</v>
      </c>
      <c r="M53" s="162">
        <f>F35*Requirements!$M24</f>
        <v>15834.941772615983</v>
      </c>
    </row>
    <row r="54" spans="1:13" x14ac:dyDescent="0.3">
      <c r="A54" s="170">
        <v>2032</v>
      </c>
      <c r="B54" s="145">
        <f>B36*Requirements!$E25</f>
        <v>390462.65872302547</v>
      </c>
      <c r="C54" s="145">
        <f>C36*Requirements!$E25</f>
        <v>359225.64602518344</v>
      </c>
      <c r="D54" s="145">
        <f>D36*Requirements!$E25</f>
        <v>15618.506348921019</v>
      </c>
      <c r="E54" s="145">
        <f>E36*Requirements!$E25</f>
        <v>0</v>
      </c>
      <c r="F54" s="150">
        <f>F36*Requirements!$E25</f>
        <v>15618.506348921019</v>
      </c>
      <c r="G54" s="30"/>
      <c r="H54" s="170">
        <v>2032</v>
      </c>
      <c r="I54" s="139">
        <f>B36*Requirements!$M25</f>
        <v>429034.53418089327</v>
      </c>
      <c r="J54" s="139">
        <f>C36*Requirements!$M25</f>
        <v>394711.7714464218</v>
      </c>
      <c r="K54" s="139">
        <f>D36*Requirements!$M25</f>
        <v>17161.381367235732</v>
      </c>
      <c r="L54" s="139">
        <f>E36*Requirements!$M25</f>
        <v>0</v>
      </c>
      <c r="M54" s="162">
        <f>F36*Requirements!$M25</f>
        <v>17161.381367235732</v>
      </c>
    </row>
    <row r="55" spans="1:13" x14ac:dyDescent="0.3">
      <c r="A55" s="170">
        <v>2033</v>
      </c>
      <c r="B55" s="145">
        <f>B37*Requirements!$E26</f>
        <v>395793.55283039418</v>
      </c>
      <c r="C55" s="145">
        <f>C37*Requirements!$E26</f>
        <v>364130.06860396266</v>
      </c>
      <c r="D55" s="145">
        <f>D37*Requirements!$E26</f>
        <v>15831.742113215767</v>
      </c>
      <c r="E55" s="145">
        <f>E37*Requirements!$E26</f>
        <v>0</v>
      </c>
      <c r="F55" s="150">
        <f>F37*Requirements!$E26</f>
        <v>15831.742113215767</v>
      </c>
      <c r="G55" s="30"/>
      <c r="H55" s="170">
        <v>2033</v>
      </c>
      <c r="I55" s="139">
        <f>B37*Requirements!$M26</f>
        <v>437379.72992075217</v>
      </c>
      <c r="J55" s="139">
        <f>C37*Requirements!$M26</f>
        <v>402389.35152709199</v>
      </c>
      <c r="K55" s="139">
        <f>D37*Requirements!$M26</f>
        <v>17495.189196830088</v>
      </c>
      <c r="L55" s="139">
        <f>E37*Requirements!$M26</f>
        <v>0</v>
      </c>
      <c r="M55" s="162">
        <f>F37*Requirements!$M26</f>
        <v>17495.189196830088</v>
      </c>
    </row>
    <row r="56" spans="1:13" x14ac:dyDescent="0.3">
      <c r="A56" s="170">
        <v>2034</v>
      </c>
      <c r="B56" s="145">
        <f>B38*Requirements!$E27</f>
        <v>401914.4473152241</v>
      </c>
      <c r="C56" s="145">
        <f>C38*Requirements!$E27</f>
        <v>369761.29153000616</v>
      </c>
      <c r="D56" s="145">
        <f>D38*Requirements!$E27</f>
        <v>16076.577892608964</v>
      </c>
      <c r="E56" s="145">
        <f>E38*Requirements!$E27</f>
        <v>0</v>
      </c>
      <c r="F56" s="150">
        <f>F38*Requirements!$E27</f>
        <v>16076.577892608964</v>
      </c>
      <c r="G56" s="30"/>
      <c r="H56" s="170">
        <v>2034</v>
      </c>
      <c r="I56" s="139">
        <f>B38*Requirements!$M27</f>
        <v>446306.07826266956</v>
      </c>
      <c r="J56" s="139">
        <f>C38*Requirements!$M27</f>
        <v>410601.59200165601</v>
      </c>
      <c r="K56" s="139">
        <f>D38*Requirements!$M27</f>
        <v>17852.243130506784</v>
      </c>
      <c r="L56" s="139">
        <f>E38*Requirements!$M27</f>
        <v>0</v>
      </c>
      <c r="M56" s="162">
        <f>F38*Requirements!$M27</f>
        <v>17852.243130506784</v>
      </c>
    </row>
    <row r="57" spans="1:13" x14ac:dyDescent="0.3">
      <c r="A57" s="170">
        <v>2035</v>
      </c>
      <c r="B57" s="145">
        <f>B39*Requirements!$E28</f>
        <v>408162.30981283868</v>
      </c>
      <c r="C57" s="145">
        <f>C39*Requirements!$E28</f>
        <v>375509.32502781157</v>
      </c>
      <c r="D57" s="145">
        <f>D39*Requirements!$E28</f>
        <v>16326.492392513548</v>
      </c>
      <c r="E57" s="145">
        <f>E39*Requirements!$E28</f>
        <v>0</v>
      </c>
      <c r="F57" s="150">
        <f>F39*Requirements!$E28</f>
        <v>16326.492392513548</v>
      </c>
      <c r="G57" s="30"/>
      <c r="H57" s="170">
        <v>2035</v>
      </c>
      <c r="I57" s="139">
        <f>B39*Requirements!$M28</f>
        <v>453963.6790173162</v>
      </c>
      <c r="J57" s="139">
        <f>C39*Requirements!$M28</f>
        <v>417646.58469593094</v>
      </c>
      <c r="K57" s="139">
        <f>D39*Requirements!$M28</f>
        <v>18158.547160692648</v>
      </c>
      <c r="L57" s="139">
        <f>E39*Requirements!$M28</f>
        <v>0</v>
      </c>
      <c r="M57" s="162">
        <f>F39*Requirements!$M28</f>
        <v>18158.547160692648</v>
      </c>
    </row>
    <row r="58" spans="1:13" ht="15" thickBot="1" x14ac:dyDescent="0.35">
      <c r="A58" s="141"/>
      <c r="B58" s="110"/>
      <c r="C58" s="110"/>
      <c r="D58" s="110"/>
      <c r="E58" s="110"/>
      <c r="F58" s="148"/>
      <c r="H58" s="141"/>
      <c r="I58" s="110"/>
      <c r="J58" s="110"/>
      <c r="K58" s="110"/>
      <c r="L58" s="110"/>
      <c r="M58" s="148"/>
    </row>
    <row r="59" spans="1:13" x14ac:dyDescent="0.3">
      <c r="A59" s="132" t="s">
        <v>70</v>
      </c>
      <c r="B59" s="133"/>
      <c r="C59" s="133"/>
      <c r="D59" s="133"/>
      <c r="E59" s="133"/>
      <c r="F59" s="134"/>
      <c r="G59" s="3"/>
      <c r="H59" s="132" t="s">
        <v>71</v>
      </c>
      <c r="I59" s="163"/>
      <c r="J59" s="163"/>
      <c r="K59" s="163"/>
      <c r="L59" s="163"/>
      <c r="M59" s="164"/>
    </row>
    <row r="60" spans="1:13" x14ac:dyDescent="0.3">
      <c r="A60" s="135" t="s">
        <v>73</v>
      </c>
      <c r="B60" s="10" t="s">
        <v>63</v>
      </c>
      <c r="C60" s="10" t="s">
        <v>24</v>
      </c>
      <c r="D60" s="10" t="s">
        <v>64</v>
      </c>
      <c r="E60" s="10" t="s">
        <v>65</v>
      </c>
      <c r="F60" s="136" t="s">
        <v>66</v>
      </c>
      <c r="H60" s="135" t="s">
        <v>74</v>
      </c>
      <c r="I60" s="10" t="s">
        <v>63</v>
      </c>
      <c r="J60" s="10" t="s">
        <v>24</v>
      </c>
      <c r="K60" s="10" t="s">
        <v>64</v>
      </c>
      <c r="L60" s="10" t="s">
        <v>65</v>
      </c>
      <c r="M60" s="136" t="s">
        <v>66</v>
      </c>
    </row>
    <row r="61" spans="1:13" x14ac:dyDescent="0.3">
      <c r="A61" s="170">
        <v>2025</v>
      </c>
      <c r="B61" s="159">
        <f>(B47/'Tier III Planning Tool'!$F$10)/$B$43</f>
        <v>10084.193191898465</v>
      </c>
      <c r="C61" s="160">
        <f>C47/'Tier III Planning Tool'!$F$17</f>
        <v>5256.9184458557147</v>
      </c>
      <c r="D61" s="161">
        <f>D47/'Tier III Planning Tool'!$B$49</f>
        <v>564.80919876572102</v>
      </c>
      <c r="E61" s="10"/>
      <c r="F61" s="162">
        <f>F47</f>
        <v>8905.1583672062025</v>
      </c>
      <c r="G61" s="30"/>
      <c r="H61" s="170">
        <v>2025</v>
      </c>
      <c r="I61" s="139">
        <f>(I47/'Tier III Planning Tool'!$F$10)/$I$43</f>
        <v>10230.8251525916</v>
      </c>
      <c r="J61" s="139">
        <f>J47/'Tier III Planning Tool'!$F$17</f>
        <v>5333.3581018848172</v>
      </c>
      <c r="K61" s="161">
        <f>K47/'Tier III Planning Tool'!$B$49</f>
        <v>573.02196092294275</v>
      </c>
      <c r="L61" s="10"/>
      <c r="M61" s="162">
        <f>M47</f>
        <v>9034.646250551732</v>
      </c>
    </row>
    <row r="62" spans="1:13" x14ac:dyDescent="0.3">
      <c r="A62" s="170">
        <v>2026</v>
      </c>
      <c r="B62" s="159">
        <f>(B48/'Tier III Planning Tool'!$F$10)/$B$43</f>
        <v>11079.334339729972</v>
      </c>
      <c r="C62" s="160">
        <f>C48/'Tier III Planning Tool'!$F$17</f>
        <v>5775.6883421393668</v>
      </c>
      <c r="D62" s="161">
        <f>D48/'Tier III Planning Tool'!$B$49</f>
        <v>620.54641677311417</v>
      </c>
      <c r="E62" s="10"/>
      <c r="F62" s="162">
        <f t="shared" ref="F62:F71" si="2">F48</f>
        <v>9783.9485044561006</v>
      </c>
      <c r="G62" s="30"/>
      <c r="H62" s="170">
        <v>2026</v>
      </c>
      <c r="I62" s="139">
        <f>(I48/'Tier III Planning Tool'!$F$10)/$I$43</f>
        <v>11359.003821562117</v>
      </c>
      <c r="J62" s="139">
        <f>J48/'Tier III Planning Tool'!$F$17</f>
        <v>5921.4808343902541</v>
      </c>
      <c r="K62" s="161">
        <f>K48/'Tier III Planning Tool'!$B$49</f>
        <v>636.21052523939591</v>
      </c>
      <c r="L62" s="10"/>
      <c r="M62" s="162">
        <f t="shared" ref="M62:M71" si="3">M48</f>
        <v>10030.919281274477</v>
      </c>
    </row>
    <row r="63" spans="1:13" x14ac:dyDescent="0.3">
      <c r="A63" s="170">
        <v>2027</v>
      </c>
      <c r="B63" s="159">
        <f>(B49/'Tier III Planning Tool'!$F$10)/$B$43</f>
        <v>12098.209732180943</v>
      </c>
      <c r="C63" s="160">
        <f>C49/'Tier III Planning Tool'!$F$17</f>
        <v>6306.830967303179</v>
      </c>
      <c r="D63" s="161">
        <f>D49/'Tier III Planning Tool'!$B$49</f>
        <v>677.61297461283004</v>
      </c>
      <c r="E63" s="30"/>
      <c r="F63" s="162">
        <f t="shared" si="2"/>
        <v>10683.697899728953</v>
      </c>
      <c r="G63" s="30"/>
      <c r="H63" s="170">
        <v>2027</v>
      </c>
      <c r="I63" s="139">
        <f>(I49/'Tier III Planning Tool'!$F$10)/$I$43</f>
        <v>12556.693698644971</v>
      </c>
      <c r="J63" s="139">
        <f>J49/'Tier III Planning Tool'!$F$17</f>
        <v>6545.8399563782959</v>
      </c>
      <c r="K63" s="161">
        <f>K49/'Tier III Planning Tool'!$B$49</f>
        <v>703.29236777970425</v>
      </c>
      <c r="L63" s="30"/>
      <c r="M63" s="162">
        <f t="shared" si="3"/>
        <v>11088.576331993338</v>
      </c>
    </row>
    <row r="64" spans="1:13" x14ac:dyDescent="0.3">
      <c r="A64" s="170">
        <v>2028</v>
      </c>
      <c r="B64" s="159">
        <f>(B50/'Tier III Planning Tool'!$F$10)/$B$43</f>
        <v>13160.021141502493</v>
      </c>
      <c r="C64" s="160">
        <f>C50/'Tier III Planning Tool'!$F$17</f>
        <v>6860.3562595562971</v>
      </c>
      <c r="D64" s="161">
        <f>D50/'Tier III Planning Tool'!$B$49</f>
        <v>737.08435124423124</v>
      </c>
      <c r="E64" s="30"/>
      <c r="F64" s="162">
        <f t="shared" si="2"/>
        <v>11621.363271284046</v>
      </c>
      <c r="G64" s="30"/>
      <c r="H64" s="170">
        <v>2028</v>
      </c>
      <c r="I64" s="139">
        <f>(I50/'Tier III Planning Tool'!$F$10)/$I$43</f>
        <v>13823.4493511779</v>
      </c>
      <c r="J64" s="139">
        <f>J50/'Tier III Planning Tool'!$F$17</f>
        <v>7206.2032625416805</v>
      </c>
      <c r="K64" s="161">
        <f>K50/'Tier III Planning Tool'!$B$49</f>
        <v>774.24254014588598</v>
      </c>
      <c r="L64" s="30"/>
      <c r="M64" s="162">
        <f t="shared" si="3"/>
        <v>12207.224049633469</v>
      </c>
    </row>
    <row r="65" spans="1:13" x14ac:dyDescent="0.3">
      <c r="A65" s="170">
        <v>2029</v>
      </c>
      <c r="B65" s="159">
        <f>(B51/'Tier III Planning Tool'!$F$10)/$B$43</f>
        <v>14208.38140299617</v>
      </c>
      <c r="C65" s="160">
        <f>C51/'Tier III Planning Tool'!$F$17</f>
        <v>7406.8694303844622</v>
      </c>
      <c r="D65" s="161">
        <f>D51/'Tier III Planning Tool'!$B$49</f>
        <v>795.80233770523739</v>
      </c>
      <c r="E65" s="30"/>
      <c r="F65" s="162">
        <f t="shared" si="2"/>
        <v>12547.150191152577</v>
      </c>
      <c r="G65" s="30"/>
      <c r="H65" s="170">
        <v>2029</v>
      </c>
      <c r="I65" s="139">
        <f>(I51/'Tier III Planning Tool'!$F$10)/$I$43</f>
        <v>15132.944483925821</v>
      </c>
      <c r="J65" s="139">
        <f>J51/'Tier III Planning Tool'!$F$17</f>
        <v>7888.8467806796771</v>
      </c>
      <c r="K65" s="161">
        <f>K51/'Tier III Planning Tool'!$B$49</f>
        <v>847.58652341161348</v>
      </c>
      <c r="L65" s="30"/>
      <c r="M65" s="162">
        <f t="shared" si="3"/>
        <v>13363.614185789773</v>
      </c>
    </row>
    <row r="66" spans="1:13" x14ac:dyDescent="0.3">
      <c r="A66" s="170">
        <v>2030</v>
      </c>
      <c r="B66" s="159">
        <f>(B52/'Tier III Planning Tool'!$F$10)/$B$43</f>
        <v>15306.033407080862</v>
      </c>
      <c r="C66" s="160">
        <f>C52/'Tier III Planning Tool'!$F$17</f>
        <v>7979.0785261045921</v>
      </c>
      <c r="D66" s="161">
        <f>D52/'Tier III Planning Tool'!$B$49</f>
        <v>857.28112308280583</v>
      </c>
      <c r="E66" s="30"/>
      <c r="F66" s="162">
        <f t="shared" si="2"/>
        <v>13516.46570727224</v>
      </c>
      <c r="G66" s="30"/>
      <c r="H66" s="170">
        <v>2030</v>
      </c>
      <c r="I66" s="139">
        <f>(I52/'Tier III Planning Tool'!$F$10)/$I$43</f>
        <v>16505.514260340708</v>
      </c>
      <c r="J66" s="139">
        <f>J52/'Tier III Planning Tool'!$F$17</f>
        <v>8604.3712890415682</v>
      </c>
      <c r="K66" s="161">
        <f>K52/'Tier III Planning Tool'!$B$49</f>
        <v>924.46327705113697</v>
      </c>
      <c r="L66" s="30"/>
      <c r="M66" s="162">
        <f t="shared" si="3"/>
        <v>14575.704334839593</v>
      </c>
    </row>
    <row r="67" spans="1:13" x14ac:dyDescent="0.3">
      <c r="A67" s="170">
        <v>2031</v>
      </c>
      <c r="B67" s="159">
        <f>(B53/'Tier III Planning Tool'!$F$10)/$B$43</f>
        <v>16450.615668604223</v>
      </c>
      <c r="C67" s="160">
        <f>C53/'Tier III Planning Tool'!$F$17</f>
        <v>8575.7524978245492</v>
      </c>
      <c r="D67" s="161">
        <f>D53/'Tier III Planning Tool'!$B$49</f>
        <v>921.3884421067844</v>
      </c>
      <c r="E67" s="30"/>
      <c r="F67" s="162">
        <f t="shared" si="2"/>
        <v>14527.224437216968</v>
      </c>
      <c r="G67" s="30"/>
      <c r="H67" s="170">
        <v>2031</v>
      </c>
      <c r="I67" s="139">
        <f>(I53/'Tier III Planning Tool'!$F$10)/$I$43</f>
        <v>17931.473583396768</v>
      </c>
      <c r="J67" s="139">
        <f>J53/'Tier III Planning Tool'!$F$17</f>
        <v>9347.7279191421949</v>
      </c>
      <c r="K67" s="161">
        <f>K53/'Tier III Planning Tool'!$B$49</f>
        <v>1004.3303449862145</v>
      </c>
      <c r="L67" s="30"/>
      <c r="M67" s="162">
        <f t="shared" si="3"/>
        <v>15834.941772615983</v>
      </c>
    </row>
    <row r="68" spans="1:13" x14ac:dyDescent="0.3">
      <c r="A68" s="170">
        <v>2032</v>
      </c>
      <c r="B68" s="159">
        <f>(B54/'Tier III Planning Tool'!$F$10)/$B$43</f>
        <v>17686.382307519194</v>
      </c>
      <c r="C68" s="160">
        <f>C54/'Tier III Planning Tool'!$F$17</f>
        <v>9219.961143500268</v>
      </c>
      <c r="D68" s="161">
        <f>D54/'Tier III Planning Tool'!$B$49</f>
        <v>990.60293967786583</v>
      </c>
      <c r="E68" s="30"/>
      <c r="F68" s="162">
        <f t="shared" si="2"/>
        <v>15618.506348921019</v>
      </c>
      <c r="G68" s="30"/>
      <c r="H68" s="170">
        <v>2032</v>
      </c>
      <c r="I68" s="139">
        <f>(I54/'Tier III Planning Tool'!$F$10)/$I$43</f>
        <v>19433.532567410712</v>
      </c>
      <c r="J68" s="139">
        <f>J54/'Tier III Planning Tool'!$F$17</f>
        <v>10130.755517836944</v>
      </c>
      <c r="K68" s="161">
        <f>K54/'Tier III Planning Tool'!$B$49</f>
        <v>1088.4597061671711</v>
      </c>
      <c r="L68" s="30"/>
      <c r="M68" s="162">
        <f t="shared" si="3"/>
        <v>17161.381367235732</v>
      </c>
    </row>
    <row r="69" spans="1:13" x14ac:dyDescent="0.3">
      <c r="A69" s="170">
        <v>2033</v>
      </c>
      <c r="B69" s="159">
        <f>(B55/'Tier III Planning Tool'!$F$10)/$B$43</f>
        <v>17927.850292017822</v>
      </c>
      <c r="C69" s="160">
        <f>C55/'Tier III Planning Tool'!$F$17</f>
        <v>9345.8390870936382</v>
      </c>
      <c r="D69" s="161">
        <f>D55/'Tier III Planning Tool'!$B$49</f>
        <v>1004.127406757871</v>
      </c>
      <c r="E69" s="30"/>
      <c r="F69" s="162">
        <f t="shared" si="2"/>
        <v>15831.742113215767</v>
      </c>
      <c r="G69" s="30"/>
      <c r="H69" s="170">
        <v>2033</v>
      </c>
      <c r="I69" s="139">
        <f>(I55/'Tier III Planning Tool'!$F$10)/$I$43</f>
        <v>19811.536248400145</v>
      </c>
      <c r="J69" s="139">
        <f>J55/'Tier III Planning Tool'!$F$17</f>
        <v>10327.809906361666</v>
      </c>
      <c r="K69" s="161">
        <f>K55/'Tier III Planning Tool'!$B$49</f>
        <v>1109.6314501160732</v>
      </c>
      <c r="L69" s="30"/>
      <c r="M69" s="162">
        <f t="shared" si="3"/>
        <v>17495.189196830088</v>
      </c>
    </row>
    <row r="70" spans="1:13" x14ac:dyDescent="0.3">
      <c r="A70" s="170">
        <v>2034</v>
      </c>
      <c r="B70" s="159">
        <f>(B56/'Tier III Planning Tool'!$F$10)/$B$43</f>
        <v>18205.102104717993</v>
      </c>
      <c r="C70" s="160">
        <f>C56/'Tier III Planning Tool'!$F$17</f>
        <v>9490.3712415848277</v>
      </c>
      <c r="D70" s="161">
        <f>D56/'Tier III Planning Tool'!$B$49</f>
        <v>1019.6561031253042</v>
      </c>
      <c r="E70" s="30"/>
      <c r="F70" s="162">
        <f t="shared" si="2"/>
        <v>16076.577892608964</v>
      </c>
      <c r="G70" s="30"/>
      <c r="H70" s="170">
        <v>2034</v>
      </c>
      <c r="I70" s="139">
        <f>(I56/'Tier III Planning Tool'!$F$10)/$I$43</f>
        <v>20215.863796395533</v>
      </c>
      <c r="J70" s="139">
        <f>J56/'Tier III Planning Tool'!$F$17</f>
        <v>10538.587001244397</v>
      </c>
      <c r="K70" s="161">
        <f>K56/'Tier III Planning Tool'!$B$49</f>
        <v>1132.2775769877453</v>
      </c>
      <c r="L70" s="30"/>
      <c r="M70" s="162">
        <f t="shared" si="3"/>
        <v>17852.243130506784</v>
      </c>
    </row>
    <row r="71" spans="1:13" x14ac:dyDescent="0.3">
      <c r="A71" s="170">
        <v>2035</v>
      </c>
      <c r="B71" s="159">
        <f>(B57/'Tier III Planning Tool'!$F$10)/$B$43</f>
        <v>18488.105055881137</v>
      </c>
      <c r="C71" s="160">
        <f>C57/'Tier III Planning Tool'!$F$17</f>
        <v>9637.9014808305765</v>
      </c>
      <c r="D71" s="161">
        <f>D57/'Tier III Planning Tool'!$B$49</f>
        <v>1035.5069170727409</v>
      </c>
      <c r="E71" s="30"/>
      <c r="F71" s="162">
        <f t="shared" si="2"/>
        <v>16326.492392513548</v>
      </c>
      <c r="G71" s="30"/>
      <c r="H71" s="170">
        <v>2035</v>
      </c>
      <c r="I71" s="139">
        <f>(I57/'Tier III Planning Tool'!$F$10)/$I$43</f>
        <v>20562.722200085038</v>
      </c>
      <c r="J71" s="139">
        <f>J57/'Tier III Planning Tool'!$F$17</f>
        <v>10719.40526858187</v>
      </c>
      <c r="K71" s="161">
        <f>K57/'Tier III Planning Tool'!$B$49</f>
        <v>1151.7048939128529</v>
      </c>
      <c r="L71" s="30"/>
      <c r="M71" s="162">
        <f t="shared" si="3"/>
        <v>18158.547160692648</v>
      </c>
    </row>
    <row r="72" spans="1:13" ht="15" thickBot="1" x14ac:dyDescent="0.35">
      <c r="A72" s="141"/>
      <c r="B72" s="110"/>
      <c r="C72" s="110"/>
      <c r="D72" s="110"/>
      <c r="E72" s="110"/>
      <c r="F72" s="148"/>
      <c r="H72" s="141"/>
      <c r="I72" s="110"/>
      <c r="J72" s="110"/>
      <c r="K72" s="110"/>
      <c r="L72" s="110"/>
      <c r="M72" s="148"/>
    </row>
    <row r="73" spans="1:13" x14ac:dyDescent="0.3">
      <c r="A73" s="132" t="s">
        <v>70</v>
      </c>
      <c r="B73" s="133"/>
      <c r="C73" s="133"/>
      <c r="D73" s="133"/>
      <c r="E73" s="133"/>
      <c r="F73" s="134"/>
      <c r="G73" s="3"/>
      <c r="H73" s="135" t="s">
        <v>71</v>
      </c>
      <c r="M73" s="146"/>
    </row>
    <row r="74" spans="1:13" x14ac:dyDescent="0.3">
      <c r="A74" s="135" t="s">
        <v>75</v>
      </c>
      <c r="B74" s="10" t="s">
        <v>63</v>
      </c>
      <c r="C74" s="10" t="s">
        <v>24</v>
      </c>
      <c r="D74" s="10" t="s">
        <v>64</v>
      </c>
      <c r="E74" s="10" t="s">
        <v>65</v>
      </c>
      <c r="F74" s="136" t="s">
        <v>66</v>
      </c>
      <c r="H74" s="135" t="s">
        <v>75</v>
      </c>
      <c r="I74" s="10" t="s">
        <v>63</v>
      </c>
      <c r="J74" s="10" t="s">
        <v>24</v>
      </c>
      <c r="K74" s="10" t="s">
        <v>64</v>
      </c>
      <c r="L74" s="10" t="s">
        <v>65</v>
      </c>
      <c r="M74" s="136" t="s">
        <v>66</v>
      </c>
    </row>
    <row r="75" spans="1:13" x14ac:dyDescent="0.3">
      <c r="A75" s="170">
        <v>2025</v>
      </c>
      <c r="B75" s="139">
        <f>B61</f>
        <v>10084.193191898465</v>
      </c>
      <c r="C75" s="139">
        <f t="shared" ref="C75:F75" si="4">C61</f>
        <v>5256.9184458557147</v>
      </c>
      <c r="D75" s="139">
        <f t="shared" si="4"/>
        <v>564.80919876572102</v>
      </c>
      <c r="E75" s="139">
        <f t="shared" si="4"/>
        <v>0</v>
      </c>
      <c r="F75" s="162">
        <f t="shared" si="4"/>
        <v>8905.1583672062025</v>
      </c>
      <c r="G75" s="30"/>
      <c r="H75" s="170">
        <v>2025</v>
      </c>
      <c r="I75" s="139">
        <f>I61</f>
        <v>10230.8251525916</v>
      </c>
      <c r="J75" s="139">
        <f t="shared" ref="J75:M75" si="5">J61</f>
        <v>5333.3581018848172</v>
      </c>
      <c r="K75" s="139">
        <f t="shared" si="5"/>
        <v>573.02196092294275</v>
      </c>
      <c r="L75" s="139">
        <f t="shared" si="5"/>
        <v>0</v>
      </c>
      <c r="M75" s="162">
        <f t="shared" si="5"/>
        <v>9034.646250551732</v>
      </c>
    </row>
    <row r="76" spans="1:13" x14ac:dyDescent="0.3">
      <c r="A76" s="170">
        <v>2026</v>
      </c>
      <c r="B76" s="139">
        <f>B62+B75</f>
        <v>21163.527531628439</v>
      </c>
      <c r="C76" s="139">
        <f t="shared" ref="C76:F76" si="6">C62+C75</f>
        <v>11032.606787995082</v>
      </c>
      <c r="D76" s="139">
        <f t="shared" si="6"/>
        <v>1185.3556155388351</v>
      </c>
      <c r="E76" s="139">
        <f t="shared" si="6"/>
        <v>0</v>
      </c>
      <c r="F76" s="162">
        <f t="shared" si="6"/>
        <v>18689.106871662305</v>
      </c>
      <c r="G76" s="30"/>
      <c r="H76" s="170">
        <v>2026</v>
      </c>
      <c r="I76" s="139">
        <f>I62+I75</f>
        <v>21589.828974153716</v>
      </c>
      <c r="J76" s="139">
        <f t="shared" ref="J76:J85" si="7">J62+J75</f>
        <v>11254.838936275071</v>
      </c>
      <c r="K76" s="139">
        <f t="shared" ref="K76:K85" si="8">K62+K75</f>
        <v>1209.2324861623388</v>
      </c>
      <c r="L76" s="139">
        <f t="shared" ref="L76:L85" si="9">L62+L75</f>
        <v>0</v>
      </c>
      <c r="M76" s="162">
        <f t="shared" ref="M76:M85" si="10">M62+M75</f>
        <v>19065.565531826207</v>
      </c>
    </row>
    <row r="77" spans="1:13" x14ac:dyDescent="0.3">
      <c r="A77" s="170">
        <v>2027</v>
      </c>
      <c r="B77" s="139">
        <f t="shared" ref="B77:B85" si="11">B63+B76</f>
        <v>33261.73726380938</v>
      </c>
      <c r="C77" s="139">
        <f t="shared" ref="C77:C85" si="12">C63+C76</f>
        <v>17339.437755298262</v>
      </c>
      <c r="D77" s="139">
        <f t="shared" ref="D77:D85" si="13">D63+D76</f>
        <v>1862.968590151665</v>
      </c>
      <c r="E77" s="139">
        <f t="shared" ref="E77:E85" si="14">E63+E76</f>
        <v>0</v>
      </c>
      <c r="F77" s="162">
        <f t="shared" ref="F77:F85" si="15">F63+F76</f>
        <v>29372.80477139126</v>
      </c>
      <c r="G77" s="30"/>
      <c r="H77" s="170">
        <v>2027</v>
      </c>
      <c r="I77" s="139">
        <f t="shared" ref="I77:I85" si="16">I63+I76</f>
        <v>34146.522672798688</v>
      </c>
      <c r="J77" s="139">
        <f t="shared" si="7"/>
        <v>17800.678892653366</v>
      </c>
      <c r="K77" s="139">
        <f t="shared" si="8"/>
        <v>1912.5248539420431</v>
      </c>
      <c r="L77" s="139">
        <f t="shared" si="9"/>
        <v>0</v>
      </c>
      <c r="M77" s="162">
        <f t="shared" si="10"/>
        <v>30154.141863819546</v>
      </c>
    </row>
    <row r="78" spans="1:13" x14ac:dyDescent="0.3">
      <c r="A78" s="170">
        <v>2028</v>
      </c>
      <c r="B78" s="139">
        <f t="shared" si="11"/>
        <v>46421.758405311877</v>
      </c>
      <c r="C78" s="139">
        <f t="shared" si="12"/>
        <v>24199.79401485456</v>
      </c>
      <c r="D78" s="139">
        <f t="shared" si="13"/>
        <v>2600.0529413958961</v>
      </c>
      <c r="E78" s="139">
        <f t="shared" si="14"/>
        <v>0</v>
      </c>
      <c r="F78" s="162">
        <f t="shared" si="15"/>
        <v>40994.168042675308</v>
      </c>
      <c r="G78" s="30"/>
      <c r="H78" s="170">
        <v>2028</v>
      </c>
      <c r="I78" s="139">
        <f t="shared" si="16"/>
        <v>47969.972023976588</v>
      </c>
      <c r="J78" s="139">
        <f t="shared" si="7"/>
        <v>25006.882155195046</v>
      </c>
      <c r="K78" s="139">
        <f t="shared" si="8"/>
        <v>2686.767394087929</v>
      </c>
      <c r="L78" s="139">
        <f t="shared" si="9"/>
        <v>0</v>
      </c>
      <c r="M78" s="162">
        <f t="shared" si="10"/>
        <v>42361.365913453017</v>
      </c>
    </row>
    <row r="79" spans="1:13" x14ac:dyDescent="0.3">
      <c r="A79" s="170">
        <v>2029</v>
      </c>
      <c r="B79" s="139">
        <f t="shared" si="11"/>
        <v>60630.139808308049</v>
      </c>
      <c r="C79" s="139">
        <f t="shared" si="12"/>
        <v>31606.663445239021</v>
      </c>
      <c r="D79" s="139">
        <f t="shared" si="13"/>
        <v>3395.8552791011334</v>
      </c>
      <c r="E79" s="139">
        <f t="shared" si="14"/>
        <v>0</v>
      </c>
      <c r="F79" s="162">
        <f t="shared" si="15"/>
        <v>53541.318233827886</v>
      </c>
      <c r="G79" s="30"/>
      <c r="H79" s="170">
        <v>2029</v>
      </c>
      <c r="I79" s="139">
        <f t="shared" si="16"/>
        <v>63102.91650790241</v>
      </c>
      <c r="J79" s="139">
        <f t="shared" si="7"/>
        <v>32895.728935874722</v>
      </c>
      <c r="K79" s="139">
        <f t="shared" si="8"/>
        <v>3534.3539174995426</v>
      </c>
      <c r="L79" s="139">
        <f t="shared" si="9"/>
        <v>0</v>
      </c>
      <c r="M79" s="162">
        <f t="shared" si="10"/>
        <v>55724.980099242792</v>
      </c>
    </row>
    <row r="80" spans="1:13" x14ac:dyDescent="0.3">
      <c r="A80" s="170">
        <v>2030</v>
      </c>
      <c r="B80" s="139">
        <f t="shared" si="11"/>
        <v>75936.173215388917</v>
      </c>
      <c r="C80" s="139">
        <f t="shared" si="12"/>
        <v>39585.74197134361</v>
      </c>
      <c r="D80" s="139">
        <f t="shared" si="13"/>
        <v>4253.136402183939</v>
      </c>
      <c r="E80" s="139">
        <f t="shared" si="14"/>
        <v>0</v>
      </c>
      <c r="F80" s="162">
        <f t="shared" si="15"/>
        <v>67057.783941100119</v>
      </c>
      <c r="G80" s="30"/>
      <c r="H80" s="170">
        <v>2030</v>
      </c>
      <c r="I80" s="139">
        <f t="shared" si="16"/>
        <v>79608.430768243124</v>
      </c>
      <c r="J80" s="139">
        <f t="shared" si="7"/>
        <v>41500.100224916292</v>
      </c>
      <c r="K80" s="139">
        <f t="shared" si="8"/>
        <v>4458.8171945506792</v>
      </c>
      <c r="L80" s="139">
        <f t="shared" si="9"/>
        <v>0</v>
      </c>
      <c r="M80" s="162">
        <f t="shared" si="10"/>
        <v>70300.684434082388</v>
      </c>
    </row>
    <row r="81" spans="1:13" x14ac:dyDescent="0.3">
      <c r="A81" s="170">
        <v>2031</v>
      </c>
      <c r="B81" s="139">
        <f t="shared" si="11"/>
        <v>92386.78888399314</v>
      </c>
      <c r="C81" s="139">
        <f t="shared" si="12"/>
        <v>48161.494469168159</v>
      </c>
      <c r="D81" s="139">
        <f t="shared" si="13"/>
        <v>5174.5248442907232</v>
      </c>
      <c r="E81" s="139">
        <f t="shared" si="14"/>
        <v>0</v>
      </c>
      <c r="F81" s="162">
        <f t="shared" si="15"/>
        <v>81585.008378317085</v>
      </c>
      <c r="G81" s="30"/>
      <c r="H81" s="170">
        <v>2031</v>
      </c>
      <c r="I81" s="139">
        <f t="shared" si="16"/>
        <v>97539.904351639896</v>
      </c>
      <c r="J81" s="139">
        <f t="shared" si="7"/>
        <v>50847.828144058483</v>
      </c>
      <c r="K81" s="139">
        <f t="shared" si="8"/>
        <v>5463.1475395368934</v>
      </c>
      <c r="L81" s="139">
        <f t="shared" si="9"/>
        <v>0</v>
      </c>
      <c r="M81" s="162">
        <f t="shared" si="10"/>
        <v>86135.626206698376</v>
      </c>
    </row>
    <row r="82" spans="1:13" x14ac:dyDescent="0.3">
      <c r="A82" s="170">
        <v>2032</v>
      </c>
      <c r="B82" s="139">
        <f t="shared" si="11"/>
        <v>110073.17119151233</v>
      </c>
      <c r="C82" s="139">
        <f t="shared" si="12"/>
        <v>57381.455612668426</v>
      </c>
      <c r="D82" s="139">
        <f t="shared" si="13"/>
        <v>6165.127783968589</v>
      </c>
      <c r="E82" s="139">
        <f t="shared" si="14"/>
        <v>0</v>
      </c>
      <c r="F82" s="162">
        <f t="shared" si="15"/>
        <v>97203.5147272381</v>
      </c>
      <c r="G82" s="30"/>
      <c r="H82" s="170">
        <v>2032</v>
      </c>
      <c r="I82" s="139">
        <f t="shared" si="16"/>
        <v>116973.43691905061</v>
      </c>
      <c r="J82" s="139">
        <f t="shared" si="7"/>
        <v>60978.583661895427</v>
      </c>
      <c r="K82" s="139">
        <f t="shared" si="8"/>
        <v>6551.6072457040646</v>
      </c>
      <c r="L82" s="139">
        <f t="shared" si="9"/>
        <v>0</v>
      </c>
      <c r="M82" s="162">
        <f t="shared" si="10"/>
        <v>103297.00757393411</v>
      </c>
    </row>
    <row r="83" spans="1:13" x14ac:dyDescent="0.3">
      <c r="A83" s="170">
        <v>2033</v>
      </c>
      <c r="B83" s="139">
        <f t="shared" si="11"/>
        <v>128001.02148353014</v>
      </c>
      <c r="C83" s="139">
        <f t="shared" si="12"/>
        <v>66727.29469976206</v>
      </c>
      <c r="D83" s="139">
        <f t="shared" si="13"/>
        <v>7169.2551907264597</v>
      </c>
      <c r="E83" s="139">
        <f t="shared" si="14"/>
        <v>0</v>
      </c>
      <c r="F83" s="162">
        <f t="shared" si="15"/>
        <v>113035.25684045386</v>
      </c>
      <c r="G83" s="30"/>
      <c r="H83" s="170">
        <v>2033</v>
      </c>
      <c r="I83" s="139">
        <f t="shared" si="16"/>
        <v>136784.97316745075</v>
      </c>
      <c r="J83" s="139">
        <f t="shared" si="7"/>
        <v>71306.393568257088</v>
      </c>
      <c r="K83" s="139">
        <f t="shared" si="8"/>
        <v>7661.2386958201378</v>
      </c>
      <c r="L83" s="139">
        <f t="shared" si="9"/>
        <v>0</v>
      </c>
      <c r="M83" s="162">
        <f t="shared" si="10"/>
        <v>120792.1967707642</v>
      </c>
    </row>
    <row r="84" spans="1:13" x14ac:dyDescent="0.3">
      <c r="A84" s="170">
        <v>2034</v>
      </c>
      <c r="B84" s="139">
        <f t="shared" si="11"/>
        <v>146206.12358824813</v>
      </c>
      <c r="C84" s="139">
        <f t="shared" si="12"/>
        <v>76217.665941346888</v>
      </c>
      <c r="D84" s="139">
        <f t="shared" si="13"/>
        <v>8188.9112938517637</v>
      </c>
      <c r="E84" s="139">
        <f t="shared" si="14"/>
        <v>0</v>
      </c>
      <c r="F84" s="162">
        <f t="shared" si="15"/>
        <v>129111.83473306283</v>
      </c>
      <c r="G84" s="30"/>
      <c r="H84" s="170">
        <v>2034</v>
      </c>
      <c r="I84" s="139">
        <f t="shared" si="16"/>
        <v>157000.83696384629</v>
      </c>
      <c r="J84" s="139">
        <f t="shared" si="7"/>
        <v>81844.98056950148</v>
      </c>
      <c r="K84" s="139">
        <f t="shared" si="8"/>
        <v>8793.5162728078831</v>
      </c>
      <c r="L84" s="139">
        <f t="shared" si="9"/>
        <v>0</v>
      </c>
      <c r="M84" s="162">
        <f t="shared" si="10"/>
        <v>138644.43990127099</v>
      </c>
    </row>
    <row r="85" spans="1:13" x14ac:dyDescent="0.3">
      <c r="A85" s="170">
        <v>2035</v>
      </c>
      <c r="B85" s="139">
        <f t="shared" si="11"/>
        <v>164694.22864412927</v>
      </c>
      <c r="C85" s="139">
        <f t="shared" si="12"/>
        <v>85855.567422177468</v>
      </c>
      <c r="D85" s="139">
        <f t="shared" si="13"/>
        <v>9224.4182109245048</v>
      </c>
      <c r="E85" s="139">
        <f t="shared" si="14"/>
        <v>0</v>
      </c>
      <c r="F85" s="162">
        <f t="shared" si="15"/>
        <v>145438.32712557638</v>
      </c>
      <c r="G85" s="30"/>
      <c r="H85" s="170">
        <v>2035</v>
      </c>
      <c r="I85" s="139">
        <f t="shared" si="16"/>
        <v>177563.55916393132</v>
      </c>
      <c r="J85" s="139">
        <f t="shared" si="7"/>
        <v>92564.385838083355</v>
      </c>
      <c r="K85" s="139">
        <f t="shared" si="8"/>
        <v>9945.2211667207357</v>
      </c>
      <c r="L85" s="139">
        <f t="shared" si="9"/>
        <v>0</v>
      </c>
      <c r="M85" s="162">
        <f t="shared" si="10"/>
        <v>156802.98706196365</v>
      </c>
    </row>
    <row r="86" spans="1:13" ht="15" thickBot="1" x14ac:dyDescent="0.35">
      <c r="A86" s="141"/>
      <c r="B86" s="110"/>
      <c r="C86" s="110"/>
      <c r="D86" s="110"/>
      <c r="E86" s="110"/>
      <c r="F86" s="148"/>
      <c r="H86" s="141"/>
      <c r="I86" s="110"/>
      <c r="J86" s="110"/>
      <c r="K86" s="110"/>
      <c r="L86" s="110"/>
      <c r="M86" s="148"/>
    </row>
    <row r="87" spans="1:13" x14ac:dyDescent="0.3">
      <c r="A87" s="132" t="s">
        <v>70</v>
      </c>
      <c r="B87" s="133"/>
      <c r="C87" s="133"/>
      <c r="D87" s="133"/>
      <c r="E87" s="133"/>
      <c r="F87" s="134"/>
      <c r="G87" s="3"/>
      <c r="H87" s="132" t="s">
        <v>71</v>
      </c>
      <c r="I87" s="163"/>
      <c r="J87" s="163"/>
      <c r="K87" s="163"/>
      <c r="L87" s="163"/>
      <c r="M87" s="164"/>
    </row>
    <row r="88" spans="1:13" x14ac:dyDescent="0.3">
      <c r="A88" s="135" t="s">
        <v>76</v>
      </c>
      <c r="B88" s="10" t="s">
        <v>63</v>
      </c>
      <c r="C88" s="10" t="s">
        <v>24</v>
      </c>
      <c r="E88" s="3"/>
      <c r="F88" s="136" t="s">
        <v>26</v>
      </c>
      <c r="H88" s="135" t="s">
        <v>76</v>
      </c>
      <c r="I88" s="10" t="s">
        <v>63</v>
      </c>
      <c r="J88" s="10" t="s">
        <v>24</v>
      </c>
      <c r="M88" s="136" t="s">
        <v>26</v>
      </c>
    </row>
    <row r="89" spans="1:13" x14ac:dyDescent="0.3">
      <c r="A89" s="170">
        <v>2025</v>
      </c>
      <c r="B89" s="138">
        <f>B61*'Tier III Planning Tool'!$E$10/1000</f>
        <v>17360.095778301653</v>
      </c>
      <c r="C89" s="139">
        <f>C61*'Tier III Planning Tool'!$E$17/1000</f>
        <v>14497.739966718726</v>
      </c>
      <c r="D89" s="30"/>
      <c r="E89" s="3"/>
      <c r="F89" s="140">
        <f t="shared" ref="F89:F99" si="17">B89+C89</f>
        <v>31857.835745020377</v>
      </c>
      <c r="G89" s="30"/>
      <c r="H89" s="170">
        <v>2025</v>
      </c>
      <c r="I89" s="139">
        <f>I61*'Tier III Planning Tool'!$E$10/1000</f>
        <v>17612.524984421787</v>
      </c>
      <c r="J89" s="139">
        <f>J61*'Tier III Planning Tool'!$E$17/1000</f>
        <v>14708.548307702025</v>
      </c>
      <c r="K89" s="30"/>
      <c r="L89" s="30"/>
      <c r="M89" s="140">
        <f t="shared" ref="M89:M99" si="18">I89+J89</f>
        <v>32321.073292123812</v>
      </c>
    </row>
    <row r="90" spans="1:13" x14ac:dyDescent="0.3">
      <c r="A90" s="170">
        <v>2026</v>
      </c>
      <c r="B90" s="139">
        <f>B89+(B62*'Tier III Planning Tool'!$E$10/1000)</f>
        <v>36433.342555451993</v>
      </c>
      <c r="C90" s="139">
        <f>C89+(C62*'Tier III Planning Tool'!$E$17/1000)</f>
        <v>30426.164304204358</v>
      </c>
      <c r="D90" s="30"/>
      <c r="E90" s="3"/>
      <c r="F90" s="140">
        <f t="shared" si="17"/>
        <v>66859.506859656351</v>
      </c>
      <c r="G90" s="30"/>
      <c r="H90" s="170">
        <v>2026</v>
      </c>
      <c r="I90" s="139">
        <f>I89+(I62*'Tier III Planning Tool'!$E$10/1000)</f>
        <v>37167.22713420169</v>
      </c>
      <c r="J90" s="139">
        <f>J89+(J62*'Tier III Planning Tool'!$E$17/1000)</f>
        <v>31039.045012016846</v>
      </c>
      <c r="K90" s="30"/>
      <c r="L90" s="30"/>
      <c r="M90" s="140">
        <f t="shared" si="18"/>
        <v>68206.272146218544</v>
      </c>
    </row>
    <row r="91" spans="1:13" x14ac:dyDescent="0.3">
      <c r="A91" s="170">
        <v>2027</v>
      </c>
      <c r="B91" s="139">
        <f>B90+(B63*'Tier III Planning Tool'!$E$10/1000)</f>
        <v>57260.599203547063</v>
      </c>
      <c r="C91" s="139">
        <f>C90+(C63*'Tier III Planning Tool'!$E$17/1000)</f>
        <v>47819.395019071759</v>
      </c>
      <c r="D91" s="30"/>
      <c r="E91" s="3"/>
      <c r="F91" s="140">
        <f t="shared" si="17"/>
        <v>105079.99422261881</v>
      </c>
      <c r="G91" s="30"/>
      <c r="H91" s="170">
        <v>2027</v>
      </c>
      <c r="I91" s="139">
        <f>I90+(I63*'Tier III Planning Tool'!$E$10/1000)</f>
        <v>58783.771077687488</v>
      </c>
      <c r="J91" s="139">
        <f>J90+(J63*'Tier III Planning Tool'!$E$17/1000)</f>
        <v>49091.424277315164</v>
      </c>
      <c r="K91" s="30"/>
      <c r="L91" s="30"/>
      <c r="M91" s="140">
        <f t="shared" si="18"/>
        <v>107875.19535500265</v>
      </c>
    </row>
    <row r="92" spans="1:13" x14ac:dyDescent="0.3">
      <c r="A92" s="170">
        <v>2028</v>
      </c>
      <c r="B92" s="139">
        <f>B91+(B64*'Tier III Planning Tool'!$E$10/1000)</f>
        <v>79915.780744941934</v>
      </c>
      <c r="C92" s="139">
        <f>C91+(C64*'Tier III Planning Tool'!$E$17/1000)</f>
        <v>66739.159925926506</v>
      </c>
      <c r="D92" s="30"/>
      <c r="E92" s="3"/>
      <c r="F92" s="140">
        <f t="shared" si="17"/>
        <v>146654.94067086844</v>
      </c>
      <c r="G92" s="30"/>
      <c r="H92" s="170">
        <v>2028</v>
      </c>
      <c r="I92" s="139">
        <f>I91+(I64*'Tier III Planning Tool'!$E$10/1000)</f>
        <v>82581.054623955191</v>
      </c>
      <c r="J92" s="139">
        <f>J91+(J64*'Tier III Planning Tool'!$E$17/1000)</f>
        <v>68964.979882883112</v>
      </c>
      <c r="K92" s="30"/>
      <c r="L92" s="30"/>
      <c r="M92" s="140">
        <f t="shared" si="18"/>
        <v>151546.0345068383</v>
      </c>
    </row>
    <row r="93" spans="1:13" x14ac:dyDescent="0.3">
      <c r="A93" s="170">
        <v>2029</v>
      </c>
      <c r="B93" s="139">
        <f>B92+(B65*'Tier III Planning Tool'!$E$10/1000)</f>
        <v>104375.73081896637</v>
      </c>
      <c r="C93" s="139">
        <f>C92+(C65*'Tier III Planning Tool'!$E$17/1000)</f>
        <v>87166.12071581799</v>
      </c>
      <c r="D93" s="30"/>
      <c r="E93" s="3"/>
      <c r="F93" s="140">
        <f t="shared" si="17"/>
        <v>191541.85153478436</v>
      </c>
      <c r="G93" s="30"/>
      <c r="H93" s="170">
        <v>2029</v>
      </c>
      <c r="I93" s="139">
        <f>I92+(I65*'Tier III Planning Tool'!$E$10/1000)</f>
        <v>108632.65445444355</v>
      </c>
      <c r="J93" s="139">
        <f>J92+(J65*'Tier III Planning Tool'!$E$17/1000)</f>
        <v>90721.157088512758</v>
      </c>
      <c r="K93" s="30"/>
      <c r="L93" s="30"/>
      <c r="M93" s="140">
        <f t="shared" si="18"/>
        <v>199353.8115429563</v>
      </c>
    </row>
    <row r="94" spans="1:13" x14ac:dyDescent="0.3">
      <c r="A94" s="170">
        <v>2030</v>
      </c>
      <c r="B94" s="139">
        <f>B93+(B66*'Tier III Planning Tool'!$E$10/1000)</f>
        <v>130725.30592888003</v>
      </c>
      <c r="C94" s="139">
        <f>C93+(C66*'Tier III Planning Tool'!$E$17/1000)</f>
        <v>109171.14263825028</v>
      </c>
      <c r="D94" s="30"/>
      <c r="E94" s="3"/>
      <c r="F94" s="140">
        <f t="shared" si="17"/>
        <v>239896.44856713031</v>
      </c>
      <c r="G94" s="30"/>
      <c r="H94" s="170">
        <v>2030</v>
      </c>
      <c r="I94" s="139">
        <f>I93+(I66*'Tier III Planning Tool'!$E$10/1000)</f>
        <v>137047.15455147059</v>
      </c>
      <c r="J94" s="139">
        <f>J93+(J66*'Tier III Planning Tool'!$E$17/1000)</f>
        <v>114450.63640428316</v>
      </c>
      <c r="K94" s="30"/>
      <c r="L94" s="30"/>
      <c r="M94" s="140">
        <f t="shared" si="18"/>
        <v>251497.79095575376</v>
      </c>
    </row>
    <row r="95" spans="1:13" x14ac:dyDescent="0.3">
      <c r="A95" s="170">
        <v>2031</v>
      </c>
      <c r="B95" s="139">
        <f>B94+(B67*'Tier III Planning Tool'!$E$10/1000)</f>
        <v>159045.29724444056</v>
      </c>
      <c r="C95" s="139">
        <f>C94+(C67*'Tier III Planning Tool'!$E$17/1000)</f>
        <v>132821.69590685074</v>
      </c>
      <c r="D95" s="30"/>
      <c r="E95" s="3"/>
      <c r="F95" s="140">
        <f t="shared" si="17"/>
        <v>291866.99315129127</v>
      </c>
      <c r="G95" s="30"/>
      <c r="H95" s="170">
        <v>2031</v>
      </c>
      <c r="I95" s="139">
        <f>I94+(I67*'Tier III Planning Tool'!$E$10/1000)</f>
        <v>167916.46585184737</v>
      </c>
      <c r="J95" s="139">
        <f>J94+(J67*'Tier III Planning Tool'!$E$17/1000)</f>
        <v>140230.17436881026</v>
      </c>
      <c r="K95" s="30"/>
      <c r="L95" s="30"/>
      <c r="M95" s="140">
        <f t="shared" si="18"/>
        <v>308146.64022065763</v>
      </c>
    </row>
    <row r="96" spans="1:13" x14ac:dyDescent="0.3">
      <c r="A96" s="170">
        <v>2032</v>
      </c>
      <c r="B96" s="139">
        <f>B95+(B68*'Tier III Planning Tool'!$E$10/1000)</f>
        <v>189492.68009276438</v>
      </c>
      <c r="C96" s="139">
        <f>C95+(C68*'Tier III Planning Tool'!$E$17/1000)</f>
        <v>158248.87354684153</v>
      </c>
      <c r="D96" s="30"/>
      <c r="E96" s="3"/>
      <c r="F96" s="140">
        <f t="shared" si="17"/>
        <v>347741.55363960587</v>
      </c>
      <c r="G96" s="30"/>
      <c r="H96" s="170">
        <v>2032</v>
      </c>
      <c r="I96" s="139">
        <f>I95+(I68*'Tier III Planning Tool'!$E$10/1000)</f>
        <v>201371.59510820001</v>
      </c>
      <c r="J96" s="139">
        <f>J95+(J68*'Tier III Planning Tool'!$E$17/1000)</f>
        <v>168169.17716612169</v>
      </c>
      <c r="K96" s="30"/>
      <c r="L96" s="30"/>
      <c r="M96" s="140">
        <f t="shared" si="18"/>
        <v>369540.7722743217</v>
      </c>
    </row>
    <row r="97" spans="1:13" x14ac:dyDescent="0.3">
      <c r="A97" s="170">
        <v>2033</v>
      </c>
      <c r="B97" s="139">
        <f>B96+(B69*'Tier III Planning Tool'!$E$10/1000)</f>
        <v>220355.75384055026</v>
      </c>
      <c r="C97" s="139">
        <f>C96+(C69*'Tier III Planning Tool'!$E$17/1000)</f>
        <v>184023.20241479186</v>
      </c>
      <c r="D97" s="30"/>
      <c r="E97" s="3"/>
      <c r="F97" s="140">
        <f t="shared" si="17"/>
        <v>404378.95625534211</v>
      </c>
      <c r="G97" s="30"/>
      <c r="H97" s="170">
        <v>2033</v>
      </c>
      <c r="I97" s="139">
        <f>I96+(I69*'Tier III Planning Tool'!$E$10/1000)</f>
        <v>235477.46359392392</v>
      </c>
      <c r="J97" s="139">
        <f>J96+(J69*'Tier III Planning Tool'!$E$17/1000)</f>
        <v>196651.62443828216</v>
      </c>
      <c r="K97" s="30"/>
      <c r="L97" s="30"/>
      <c r="M97" s="140">
        <f t="shared" si="18"/>
        <v>432129.08803220605</v>
      </c>
    </row>
    <row r="98" spans="1:13" x14ac:dyDescent="0.3">
      <c r="A98" s="170">
        <v>2034</v>
      </c>
      <c r="B98" s="139">
        <f>B97+(B70*'Tier III Planning Tool'!$E$10/1000)</f>
        <v>251696.12090586693</v>
      </c>
      <c r="C98" s="139">
        <f>C97+(C70*'Tier III Planning Tool'!$E$17/1000)</f>
        <v>210196.12783968417</v>
      </c>
      <c r="D98" s="30"/>
      <c r="E98" s="3"/>
      <c r="F98" s="140">
        <f t="shared" si="17"/>
        <v>461892.2487455511</v>
      </c>
      <c r="G98" s="30"/>
      <c r="H98" s="170">
        <v>2034</v>
      </c>
      <c r="I98" s="139">
        <f>I97+(I70*'Tier III Planning Tool'!$E$10/1000)</f>
        <v>270279.38825642207</v>
      </c>
      <c r="J98" s="139">
        <f>J97+(J70*'Tier III Planning Tool'!$E$17/1000)</f>
        <v>225715.36121379401</v>
      </c>
      <c r="K98" s="30"/>
      <c r="L98" s="30"/>
      <c r="M98" s="140">
        <f t="shared" si="18"/>
        <v>495994.74947021611</v>
      </c>
    </row>
    <row r="99" spans="1:13" x14ac:dyDescent="0.3">
      <c r="A99" s="170">
        <v>2035</v>
      </c>
      <c r="B99" s="139">
        <f>B98+(B71*'Tier III Planning Tool'!$E$10/1000)</f>
        <v>283523.6819632306</v>
      </c>
      <c r="C99" s="139">
        <f>C98+(C71*'Tier III Planning Tool'!$E$17/1000)</f>
        <v>236775.91805957796</v>
      </c>
      <c r="D99" s="30"/>
      <c r="E99" s="3"/>
      <c r="F99" s="140">
        <f t="shared" si="17"/>
        <v>520299.60002280853</v>
      </c>
      <c r="G99" s="30"/>
      <c r="H99" s="170">
        <v>2035</v>
      </c>
      <c r="I99" s="139">
        <f>I98+(I71*'Tier III Planning Tool'!$E$10/1000)</f>
        <v>305678.43506790843</v>
      </c>
      <c r="J99" s="139">
        <f>J98+(J71*'Tier III Planning Tool'!$E$17/1000)</f>
        <v>255277.76583969983</v>
      </c>
      <c r="K99" s="30"/>
      <c r="L99" s="30"/>
      <c r="M99" s="140">
        <f t="shared" si="18"/>
        <v>560956.20090760826</v>
      </c>
    </row>
    <row r="100" spans="1:13" ht="15" thickBot="1" x14ac:dyDescent="0.35">
      <c r="A100" s="141"/>
      <c r="B100" s="142"/>
      <c r="C100" s="142"/>
      <c r="D100" s="110"/>
      <c r="E100" s="143"/>
      <c r="F100" s="144"/>
      <c r="H100" s="141"/>
      <c r="I100" s="142"/>
      <c r="J100" s="142"/>
      <c r="K100" s="110"/>
      <c r="L100" s="110"/>
      <c r="M100" s="144"/>
    </row>
    <row r="101" spans="1:13" x14ac:dyDescent="0.3">
      <c r="A101" s="132" t="s">
        <v>70</v>
      </c>
      <c r="B101" s="133"/>
      <c r="C101" s="133"/>
      <c r="D101" s="133"/>
      <c r="E101" s="133"/>
      <c r="F101" s="134"/>
      <c r="G101" s="3"/>
      <c r="H101" s="132" t="s">
        <v>71</v>
      </c>
      <c r="I101" s="163"/>
      <c r="J101" s="163"/>
      <c r="K101" s="163"/>
      <c r="L101" s="163"/>
      <c r="M101" s="164"/>
    </row>
    <row r="102" spans="1:13" x14ac:dyDescent="0.3">
      <c r="A102" s="135" t="s">
        <v>77</v>
      </c>
      <c r="B102" s="10" t="s">
        <v>63</v>
      </c>
      <c r="C102" s="10" t="s">
        <v>24</v>
      </c>
      <c r="D102" s="10" t="s">
        <v>64</v>
      </c>
      <c r="E102" s="10" t="s">
        <v>65</v>
      </c>
      <c r="F102" s="136" t="s">
        <v>66</v>
      </c>
      <c r="H102" s="135" t="s">
        <v>74</v>
      </c>
      <c r="I102" s="10" t="s">
        <v>63</v>
      </c>
      <c r="J102" s="10" t="s">
        <v>24</v>
      </c>
      <c r="K102" s="10" t="s">
        <v>64</v>
      </c>
      <c r="L102" s="10" t="s">
        <v>65</v>
      </c>
      <c r="M102" s="136" t="s">
        <v>66</v>
      </c>
    </row>
    <row r="103" spans="1:13" x14ac:dyDescent="0.3">
      <c r="A103" s="170">
        <v>2025</v>
      </c>
      <c r="B103" s="145">
        <f>B75*'Tier III Planning Tool'!$D$10</f>
        <v>150623.07492353622</v>
      </c>
      <c r="C103" s="139">
        <f>C75*'Tier III Planning Tool'!$D$17</f>
        <v>228666.53883803636</v>
      </c>
      <c r="D103" s="139">
        <f>D75*'Tier III Planning Tool'!$D$47</f>
        <v>3288.4968818419065</v>
      </c>
      <c r="E103" s="30">
        <v>0</v>
      </c>
      <c r="F103" s="136"/>
      <c r="G103" s="30"/>
      <c r="H103" s="170">
        <v>2025</v>
      </c>
      <c r="I103" s="145">
        <f>I75*'Tier III Planning Tool'!$D$10</f>
        <v>152813.2508138009</v>
      </c>
      <c r="J103" s="139">
        <f>J75*'Tier III Planning Tool'!$D$17</f>
        <v>231991.52699491457</v>
      </c>
      <c r="K103" s="139">
        <f>K75*'Tier III Planning Tool'!$D$47</f>
        <v>3336.3141674037433</v>
      </c>
      <c r="L103" s="30">
        <v>0</v>
      </c>
      <c r="M103" s="136"/>
    </row>
    <row r="104" spans="1:13" x14ac:dyDescent="0.3">
      <c r="A104" s="170">
        <v>2026</v>
      </c>
      <c r="B104" s="145">
        <f>B76*'Tier III Planning Tool'!$D$10</f>
        <v>316110.12724387005</v>
      </c>
      <c r="C104" s="139">
        <f>C76*'Tier III Planning Tool'!$D$17</f>
        <v>479898.63920386625</v>
      </c>
      <c r="D104" s="139">
        <f>D76*'Tier III Planning Tool'!$D$47</f>
        <v>6901.5133855674549</v>
      </c>
      <c r="E104" s="30">
        <v>0</v>
      </c>
      <c r="F104" s="136"/>
      <c r="G104" s="30"/>
      <c r="H104" s="170">
        <v>2026</v>
      </c>
      <c r="I104" s="145">
        <f>I76*'Tier III Planning Tool'!$D$10</f>
        <v>322477.60086278908</v>
      </c>
      <c r="J104" s="139">
        <f>J76*'Tier III Planning Tool'!$D$17</f>
        <v>489565.33970324113</v>
      </c>
      <c r="K104" s="139">
        <f>K76*'Tier III Planning Tool'!$D$47</f>
        <v>7040.5320395927829</v>
      </c>
      <c r="L104" s="30">
        <v>0</v>
      </c>
      <c r="M104" s="136"/>
    </row>
    <row r="105" spans="1:13" x14ac:dyDescent="0.3">
      <c r="A105" s="170">
        <v>2027</v>
      </c>
      <c r="B105" s="145">
        <f>B77*'Tier III Planning Tool'!$D$10</f>
        <v>496815.66473743349</v>
      </c>
      <c r="C105" s="139">
        <f>C77*'Tier III Planning Tool'!$D$17</f>
        <v>754234.49264794798</v>
      </c>
      <c r="D105" s="139">
        <f>D77*'Tier III Planning Tool'!$D$47</f>
        <v>10846.789345979363</v>
      </c>
      <c r="E105" s="30">
        <v>0</v>
      </c>
      <c r="F105" s="172"/>
      <c r="G105" s="30"/>
      <c r="H105" s="170">
        <v>2027</v>
      </c>
      <c r="I105" s="145">
        <f>I77*'Tier III Planning Tool'!$D$10</f>
        <v>510031.30791417416</v>
      </c>
      <c r="J105" s="139">
        <f>J77*'Tier III Planning Tool'!$D$17</f>
        <v>774297.65617901972</v>
      </c>
      <c r="K105" s="139">
        <f>K77*'Tier III Planning Tool'!$D$47</f>
        <v>11135.321507471283</v>
      </c>
      <c r="L105" s="30">
        <v>0</v>
      </c>
      <c r="M105" s="172"/>
    </row>
    <row r="106" spans="1:13" x14ac:dyDescent="0.3">
      <c r="A106" s="170">
        <v>2028</v>
      </c>
      <c r="B106" s="145">
        <f>B78*'Tier III Planning Tool'!$D$10</f>
        <v>693381.00344835105</v>
      </c>
      <c r="C106" s="139">
        <f>C78*'Tier III Planning Tool'!$D$17</f>
        <v>1052647.7051080547</v>
      </c>
      <c r="D106" s="139">
        <f>D78*'Tier III Planning Tool'!$D$47</f>
        <v>15138.326374799135</v>
      </c>
      <c r="E106" s="30">
        <v>0</v>
      </c>
      <c r="F106" s="172"/>
      <c r="G106" s="30"/>
      <c r="H106" s="170">
        <v>2028</v>
      </c>
      <c r="I106" s="145">
        <f>I78*'Tier III Planning Tool'!$D$10</f>
        <v>716505.97650709038</v>
      </c>
      <c r="J106" s="139">
        <f>J78*'Tier III Planning Tool'!$D$17</f>
        <v>1087754.5939612344</v>
      </c>
      <c r="K106" s="139">
        <f>K78*'Tier III Planning Tool'!$D$47</f>
        <v>15643.205204519931</v>
      </c>
      <c r="L106" s="30">
        <v>0</v>
      </c>
      <c r="M106" s="172"/>
    </row>
    <row r="107" spans="1:13" x14ac:dyDescent="0.3">
      <c r="A107" s="170">
        <v>2029</v>
      </c>
      <c r="B107" s="145">
        <f>B79*'Tier III Planning Tool'!$D$10</f>
        <v>905605.22960905312</v>
      </c>
      <c r="C107" s="139">
        <f>C79*'Tier III Planning Tool'!$D$17</f>
        <v>1374833.2618587974</v>
      </c>
      <c r="D107" s="139">
        <f>D79*'Tier III Planning Tool'!$D$47</f>
        <v>19771.737997387958</v>
      </c>
      <c r="E107" s="30">
        <v>0</v>
      </c>
      <c r="F107" s="172"/>
      <c r="G107" s="30"/>
      <c r="H107" s="170">
        <v>2029</v>
      </c>
      <c r="I107" s="145">
        <f>I79*'Tier III Planning Tool'!$D$10</f>
        <v>942539.98710570682</v>
      </c>
      <c r="J107" s="139">
        <f>J79*'Tier III Planning Tool'!$D$17</f>
        <v>1430905.3023736356</v>
      </c>
      <c r="K107" s="139">
        <f>K79*'Tier III Planning Tool'!$D$47</f>
        <v>20578.120651048379</v>
      </c>
      <c r="L107" s="30">
        <v>0</v>
      </c>
      <c r="M107" s="172"/>
    </row>
    <row r="108" spans="1:13" x14ac:dyDescent="0.3">
      <c r="A108" s="170">
        <v>2030</v>
      </c>
      <c r="B108" s="145">
        <f>B80*'Tier III Planning Tool'!$D$10</f>
        <v>1134224.5918907137</v>
      </c>
      <c r="C108" s="139">
        <f>C80*'Tier III Planning Tool'!$D$17</f>
        <v>1721908.889619319</v>
      </c>
      <c r="D108" s="139">
        <f>D80*'Tier III Planning Tool'!$D$47</f>
        <v>24763.098453769449</v>
      </c>
      <c r="E108" s="30">
        <v>0</v>
      </c>
      <c r="F108" s="172"/>
      <c r="G108" s="30"/>
      <c r="H108" s="170">
        <v>2030</v>
      </c>
      <c r="I108" s="145">
        <f>I80*'Tier III Planning Tool'!$D$10</f>
        <v>1189075.4573983734</v>
      </c>
      <c r="J108" s="139">
        <f>J80*'Tier III Planning Tool'!$D$17</f>
        <v>1805180.0456110183</v>
      </c>
      <c r="K108" s="139">
        <f>K80*'Tier III Planning Tool'!$D$47</f>
        <v>25960.636747817942</v>
      </c>
      <c r="L108" s="30">
        <v>0</v>
      </c>
      <c r="M108" s="172"/>
    </row>
    <row r="109" spans="1:13" x14ac:dyDescent="0.3">
      <c r="A109" s="170">
        <v>2031</v>
      </c>
      <c r="B109" s="145">
        <f>B81*'Tier III Planning Tool'!$D$10</f>
        <v>1379940.0665189808</v>
      </c>
      <c r="C109" s="139">
        <f>C81*'Tier III Planning Tool'!$D$17</f>
        <v>2094938.7666863918</v>
      </c>
      <c r="D109" s="139">
        <f>D81*'Tier III Planning Tool'!$D$47</f>
        <v>30127.711893944928</v>
      </c>
      <c r="E109" s="30">
        <v>0</v>
      </c>
      <c r="F109" s="172"/>
      <c r="G109" s="30"/>
      <c r="H109" s="170">
        <v>2031</v>
      </c>
      <c r="I109" s="145">
        <f>I81*'Tier III Planning Tool'!$D$10</f>
        <v>1456909.8431191123</v>
      </c>
      <c r="J109" s="139">
        <f>J81*'Tier III Planning Tool'!$D$17</f>
        <v>2211789.4711300749</v>
      </c>
      <c r="K109" s="139">
        <f>K81*'Tier III Planning Tool'!$D$47</f>
        <v>31808.16404560957</v>
      </c>
      <c r="L109" s="30">
        <v>0</v>
      </c>
      <c r="M109" s="172"/>
    </row>
    <row r="110" spans="1:13" x14ac:dyDescent="0.3">
      <c r="A110" s="170">
        <v>2032</v>
      </c>
      <c r="B110" s="145">
        <f>B82*'Tier III Planning Tool'!$D$10</f>
        <v>1644113.6336787196</v>
      </c>
      <c r="C110" s="139">
        <f>C82*'Tier III Planning Tool'!$D$17</f>
        <v>2495990.5662568156</v>
      </c>
      <c r="D110" s="139">
        <f>D82*'Tier III Planning Tool'!$D$47</f>
        <v>35895.313918474487</v>
      </c>
      <c r="E110" s="30">
        <v>0</v>
      </c>
      <c r="F110" s="172"/>
      <c r="G110" s="30"/>
      <c r="H110" s="170">
        <v>2032</v>
      </c>
      <c r="I110" s="145">
        <f>I82*'Tier III Planning Tool'!$D$10</f>
        <v>1747179.810802964</v>
      </c>
      <c r="J110" s="139">
        <f>J82*'Tier III Planning Tool'!$D$17</f>
        <v>2652459.1950259008</v>
      </c>
      <c r="K110" s="139">
        <f>K82*'Tier III Planning Tool'!$D$47</f>
        <v>38145.518956902379</v>
      </c>
      <c r="L110" s="30">
        <v>0</v>
      </c>
      <c r="M110" s="172"/>
    </row>
    <row r="111" spans="1:13" x14ac:dyDescent="0.3">
      <c r="A111" s="170">
        <v>2033</v>
      </c>
      <c r="B111" s="145">
        <f>B83*'Tier III Planning Tool'!$D$10</f>
        <v>1911893.8999197483</v>
      </c>
      <c r="C111" s="139">
        <f>C83*'Tier III Planning Tool'!$D$17</f>
        <v>2902517.8309640889</v>
      </c>
      <c r="D111" s="139">
        <f>D83*'Tier III Planning Tool'!$D$47</f>
        <v>41741.659646042797</v>
      </c>
      <c r="E111" s="30">
        <v>0</v>
      </c>
      <c r="F111" s="172"/>
      <c r="G111" s="30"/>
      <c r="H111" s="170">
        <v>2033</v>
      </c>
      <c r="I111" s="145">
        <f>I83*'Tier III Planning Tool'!$D$10</f>
        <v>2043095.850084173</v>
      </c>
      <c r="J111" s="139">
        <f>J83*'Tier III Planning Tool'!$D$17</f>
        <v>3101700.4319575275</v>
      </c>
      <c r="K111" s="139">
        <f>K83*'Tier III Planning Tool'!$D$47</f>
        <v>44606.142423507794</v>
      </c>
      <c r="L111" s="30">
        <v>0</v>
      </c>
      <c r="M111" s="172"/>
    </row>
    <row r="112" spans="1:13" x14ac:dyDescent="0.3">
      <c r="A112" s="170">
        <v>2034</v>
      </c>
      <c r="B112" s="145">
        <f>B84*'Tier III Planning Tool'!$D$10</f>
        <v>2183815.3522489783</v>
      </c>
      <c r="C112" s="139">
        <f>C84*'Tier III Planning Tool'!$D$17</f>
        <v>3315331.9855781975</v>
      </c>
      <c r="D112" s="139">
        <f>D84*'Tier III Planning Tool'!$D$47</f>
        <v>47678.418330225439</v>
      </c>
      <c r="E112" s="30">
        <v>0</v>
      </c>
      <c r="F112" s="172"/>
      <c r="G112" s="30"/>
      <c r="H112" s="170">
        <v>2034</v>
      </c>
      <c r="I112" s="145">
        <f>I84*'Tier III Planning Tool'!$D$10</f>
        <v>2345051.1487683346</v>
      </c>
      <c r="J112" s="139">
        <f>J84*'Tier III Planning Tool'!$D$17</f>
        <v>3560110.095078297</v>
      </c>
      <c r="K112" s="139">
        <f>K84*'Tier III Planning Tool'!$D$47</f>
        <v>51198.618766741347</v>
      </c>
      <c r="L112" s="30">
        <v>0</v>
      </c>
      <c r="M112" s="172"/>
    </row>
    <row r="113" spans="1:13" x14ac:dyDescent="0.3">
      <c r="A113" s="170">
        <v>2035</v>
      </c>
      <c r="B113" s="145">
        <f>B85*'Tier III Planning Tool'!$D$10</f>
        <v>2459963.8928445135</v>
      </c>
      <c r="C113" s="139">
        <f>C85*'Tier III Planning Tool'!$D$17</f>
        <v>3734563.4414172983</v>
      </c>
      <c r="D113" s="139">
        <f>D85*'Tier III Planning Tool'!$D$47</f>
        <v>53707.465440932843</v>
      </c>
      <c r="E113" s="30">
        <v>0</v>
      </c>
      <c r="F113" s="172"/>
      <c r="G113" s="30"/>
      <c r="H113" s="170">
        <v>2035</v>
      </c>
      <c r="I113" s="145">
        <f>I85*'Tier III Planning Tool'!$D$10</f>
        <v>2652187.3159991987</v>
      </c>
      <c r="J113" s="139">
        <f>J85*'Tier III Planning Tool'!$D$17</f>
        <v>4026385.0290372218</v>
      </c>
      <c r="K113" s="139">
        <f>K85*'Tier III Planning Tool'!$D$47</f>
        <v>57904.207062241927</v>
      </c>
      <c r="L113" s="30">
        <v>0</v>
      </c>
      <c r="M113" s="172"/>
    </row>
    <row r="114" spans="1:13" ht="15" thickBot="1" x14ac:dyDescent="0.35">
      <c r="A114" s="141"/>
      <c r="B114" s="110"/>
      <c r="C114" s="110"/>
      <c r="D114" s="110"/>
      <c r="E114" s="110"/>
      <c r="F114" s="148"/>
      <c r="H114" s="141"/>
      <c r="I114" s="110"/>
      <c r="J114" s="110"/>
      <c r="K114" s="110"/>
      <c r="L114" s="110"/>
      <c r="M114" s="148"/>
    </row>
    <row r="115" spans="1:13" s="15" customFormat="1" x14ac:dyDescent="0.3">
      <c r="J115"/>
    </row>
    <row r="128" spans="1:13" s="15" customFormat="1" x14ac:dyDescent="0.3"/>
    <row r="140" spans="2:6" x14ac:dyDescent="0.3">
      <c r="B140" s="38"/>
      <c r="C140" s="38"/>
      <c r="D140" s="38"/>
      <c r="E140" s="38"/>
      <c r="F140" s="38"/>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D018A-27E7-479A-BA05-9AD06D2E6F68}">
  <sheetPr>
    <tabColor theme="4"/>
  </sheetPr>
  <dimension ref="A1:L50"/>
  <sheetViews>
    <sheetView zoomScale="85" zoomScaleNormal="85" workbookViewId="0">
      <pane ySplit="1" topLeftCell="A2" activePane="bottomLeft" state="frozen"/>
      <selection activeCell="C39" sqref="C39"/>
      <selection pane="bottomLeft"/>
    </sheetView>
  </sheetViews>
  <sheetFormatPr defaultRowHeight="14.4" x14ac:dyDescent="0.3"/>
  <cols>
    <col min="1" max="1" width="52.44140625" style="50" bestFit="1" customWidth="1"/>
    <col min="2" max="2" width="9" customWidth="1"/>
    <col min="3" max="4" width="23.44140625" bestFit="1" customWidth="1"/>
    <col min="5" max="5" width="23.44140625" style="11" bestFit="1" customWidth="1"/>
    <col min="6" max="6" width="23.44140625" bestFit="1" customWidth="1"/>
    <col min="8" max="8" width="12.6640625" bestFit="1" customWidth="1"/>
    <col min="9" max="12" width="10.44140625" bestFit="1" customWidth="1"/>
  </cols>
  <sheetData>
    <row r="1" spans="1:12" ht="69.45" customHeight="1" x14ac:dyDescent="0.3">
      <c r="A1" s="46" t="s">
        <v>78</v>
      </c>
      <c r="C1" s="47" t="s">
        <v>79</v>
      </c>
      <c r="D1" s="48" t="s">
        <v>80</v>
      </c>
      <c r="E1" s="49" t="s">
        <v>81</v>
      </c>
      <c r="F1" t="s">
        <v>82</v>
      </c>
    </row>
    <row r="2" spans="1:12" ht="28.8" x14ac:dyDescent="0.3">
      <c r="A2" s="50" t="s">
        <v>83</v>
      </c>
      <c r="C2" s="51">
        <v>82.8</v>
      </c>
      <c r="D2" s="51">
        <v>20.710808797885711</v>
      </c>
      <c r="E2" s="11">
        <v>2408.2335811495018</v>
      </c>
      <c r="F2" s="11">
        <v>34.78511269248736</v>
      </c>
      <c r="H2" s="52">
        <v>0</v>
      </c>
      <c r="I2" s="51"/>
      <c r="J2" s="51"/>
      <c r="K2" s="51"/>
      <c r="L2" s="53"/>
    </row>
    <row r="3" spans="1:12" ht="28.8" x14ac:dyDescent="0.3">
      <c r="A3" s="50" t="s">
        <v>84</v>
      </c>
      <c r="C3" s="51">
        <v>82.8</v>
      </c>
      <c r="D3" s="51">
        <v>15.936967369973054</v>
      </c>
      <c r="E3" s="11">
        <v>1853.1357406945415</v>
      </c>
      <c r="F3" s="11">
        <v>26.767144216869024</v>
      </c>
      <c r="H3" s="52">
        <v>6</v>
      </c>
      <c r="I3" s="51"/>
      <c r="J3" s="51"/>
      <c r="K3" s="51"/>
      <c r="L3" s="53"/>
    </row>
    <row r="4" spans="1:12" ht="28.8" x14ac:dyDescent="0.3">
      <c r="A4" s="50" t="s">
        <v>85</v>
      </c>
      <c r="C4" s="51">
        <v>82.8</v>
      </c>
      <c r="D4" s="51">
        <v>16.775755126287429</v>
      </c>
      <c r="E4" s="11">
        <v>1950.6692007310967</v>
      </c>
      <c r="F4" s="11">
        <v>28.175941280914767</v>
      </c>
      <c r="H4" s="52">
        <v>12</v>
      </c>
      <c r="L4" s="53"/>
    </row>
    <row r="5" spans="1:12" ht="28.8" x14ac:dyDescent="0.3">
      <c r="A5" s="50" t="s">
        <v>86</v>
      </c>
      <c r="C5" s="51">
        <v>82.8</v>
      </c>
      <c r="D5" s="51">
        <v>19.675268357991424</v>
      </c>
      <c r="E5" s="11">
        <v>2287.8219020920264</v>
      </c>
      <c r="F5" s="11">
        <v>33.045857057862989</v>
      </c>
      <c r="H5" s="52">
        <v>18</v>
      </c>
      <c r="L5" s="53"/>
    </row>
    <row r="6" spans="1:12" ht="28.8" x14ac:dyDescent="0.3">
      <c r="A6" s="50" t="s">
        <v>87</v>
      </c>
      <c r="C6" s="51">
        <v>82.8</v>
      </c>
      <c r="D6" s="51">
        <v>13.14452911254762</v>
      </c>
      <c r="E6" s="11">
        <v>1493.7708695646511</v>
      </c>
      <c r="F6" s="11">
        <v>22.078523463816783</v>
      </c>
      <c r="H6" s="52">
        <v>24</v>
      </c>
      <c r="L6" s="53"/>
    </row>
    <row r="7" spans="1:12" ht="28.8" x14ac:dyDescent="0.3">
      <c r="A7" s="50" t="s">
        <v>88</v>
      </c>
      <c r="C7" s="51">
        <v>82.8</v>
      </c>
      <c r="D7" s="51">
        <v>10.114715152105394</v>
      </c>
      <c r="E7" s="11">
        <v>1149.4566841299991</v>
      </c>
      <c r="F7" s="11">
        <v>16.989423805407011</v>
      </c>
      <c r="H7" s="52">
        <v>30</v>
      </c>
      <c r="L7" s="53"/>
    </row>
    <row r="8" spans="1:12" ht="28.8" x14ac:dyDescent="0.3">
      <c r="A8" s="50" t="s">
        <v>89</v>
      </c>
      <c r="C8" s="51">
        <v>82.8</v>
      </c>
      <c r="D8" s="51">
        <v>10.647068581163573</v>
      </c>
      <c r="E8" s="11">
        <v>1209.9544043473675</v>
      </c>
      <c r="F8" s="11">
        <v>17.883604005691595</v>
      </c>
      <c r="H8" s="52">
        <v>36</v>
      </c>
      <c r="I8" s="51"/>
      <c r="J8" s="51"/>
      <c r="K8" s="51"/>
      <c r="L8" s="53"/>
    </row>
    <row r="9" spans="1:12" ht="28.8" x14ac:dyDescent="0.3">
      <c r="A9" s="50" t="s">
        <v>90</v>
      </c>
      <c r="C9" s="51">
        <v>82.8</v>
      </c>
      <c r="D9" s="51">
        <v>12.487302656920239</v>
      </c>
      <c r="E9" s="11">
        <v>1419.0823260864186</v>
      </c>
      <c r="F9" s="11">
        <v>20.97459729062594</v>
      </c>
      <c r="H9" s="52">
        <v>42</v>
      </c>
      <c r="I9" s="51"/>
      <c r="J9" s="51"/>
      <c r="K9" s="54"/>
      <c r="L9" s="53"/>
    </row>
    <row r="10" spans="1:12" s="15" customFormat="1" x14ac:dyDescent="0.3">
      <c r="A10" s="21" t="s">
        <v>91</v>
      </c>
      <c r="C10" s="55">
        <f>AVERAGE(C2:C9)</f>
        <v>82.8</v>
      </c>
      <c r="D10" s="55">
        <f>AVERAGE(D2:D9)</f>
        <v>14.936551894359305</v>
      </c>
      <c r="E10" s="56">
        <f>AVERAGE(E2:E9)</f>
        <v>1721.51558859945</v>
      </c>
      <c r="F10" s="56">
        <f>AVERAGE(F2:F9)</f>
        <v>25.087525476709434</v>
      </c>
      <c r="H10" s="57"/>
      <c r="I10" s="57"/>
      <c r="J10" s="57"/>
      <c r="K10" s="54"/>
      <c r="L10" s="58"/>
    </row>
    <row r="11" spans="1:12" x14ac:dyDescent="0.3">
      <c r="C11" s="51"/>
      <c r="D11" s="51"/>
      <c r="F11" s="11"/>
      <c r="H11" s="51"/>
      <c r="I11" s="51"/>
      <c r="J11" s="51"/>
      <c r="K11" s="51"/>
      <c r="L11" s="53"/>
    </row>
    <row r="12" spans="1:12" x14ac:dyDescent="0.3">
      <c r="A12" s="50" t="s">
        <v>92</v>
      </c>
      <c r="C12" s="51">
        <v>14.693476388342223</v>
      </c>
      <c r="D12" s="51">
        <v>14.693476388342223</v>
      </c>
      <c r="E12" s="11">
        <v>1154.7398137480388</v>
      </c>
      <c r="F12" s="11">
        <v>19.755536697002618</v>
      </c>
    </row>
    <row r="13" spans="1:12" x14ac:dyDescent="0.3">
      <c r="F13" s="11"/>
    </row>
    <row r="14" spans="1:12" x14ac:dyDescent="0.3">
      <c r="A14" s="50" t="s">
        <v>93</v>
      </c>
      <c r="C14" s="51">
        <v>0.13847999999999999</v>
      </c>
      <c r="D14" s="51">
        <v>4.15E-3</v>
      </c>
      <c r="E14" s="11">
        <v>0</v>
      </c>
      <c r="F14" s="11">
        <v>4.6603032004491861E-4</v>
      </c>
    </row>
    <row r="15" spans="1:12" x14ac:dyDescent="0.3">
      <c r="A15" s="50" t="s">
        <v>94</v>
      </c>
      <c r="C15" s="51">
        <v>109.74666666666667</v>
      </c>
      <c r="D15" s="51">
        <v>98.772000000000006</v>
      </c>
      <c r="E15" s="11">
        <v>0</v>
      </c>
      <c r="F15" s="11">
        <v>221.83492419988772</v>
      </c>
    </row>
    <row r="16" spans="1:12" x14ac:dyDescent="0.3">
      <c r="F16" s="11"/>
    </row>
    <row r="17" spans="1:11" x14ac:dyDescent="0.3">
      <c r="A17" s="50" t="s">
        <v>95</v>
      </c>
      <c r="C17" s="55">
        <v>43.5</v>
      </c>
      <c r="D17" s="55">
        <v>43.498209301364632</v>
      </c>
      <c r="E17" s="56">
        <v>2757.84</v>
      </c>
      <c r="F17" s="56">
        <v>38.961731013196754</v>
      </c>
    </row>
    <row r="18" spans="1:11" x14ac:dyDescent="0.3">
      <c r="A18" s="50" t="s">
        <v>96</v>
      </c>
      <c r="C18" s="51" t="e">
        <v>#DIV/0!</v>
      </c>
      <c r="D18" s="51">
        <v>19.670000000000002</v>
      </c>
      <c r="E18" s="59">
        <v>1545</v>
      </c>
      <c r="F18" s="59">
        <v>22.023824205502528</v>
      </c>
    </row>
    <row r="19" spans="1:11" s="15" customFormat="1" x14ac:dyDescent="0.3">
      <c r="A19" s="21" t="s">
        <v>97</v>
      </c>
      <c r="C19" s="51">
        <v>82.8</v>
      </c>
      <c r="D19" s="51">
        <v>5.1065820000000004</v>
      </c>
      <c r="E19" s="59">
        <v>0</v>
      </c>
      <c r="F19" s="59">
        <v>5.7345109489051103</v>
      </c>
    </row>
    <row r="20" spans="1:11" x14ac:dyDescent="0.3">
      <c r="A20" s="50" t="s">
        <v>98</v>
      </c>
      <c r="C20" s="51">
        <v>38.299999999999997</v>
      </c>
      <c r="D20" s="51">
        <v>6.1589999999999998</v>
      </c>
      <c r="E20" s="59">
        <v>30</v>
      </c>
      <c r="F20" s="59">
        <v>5.5318113082537899</v>
      </c>
    </row>
    <row r="21" spans="1:11" x14ac:dyDescent="0.3">
      <c r="A21" s="50" t="s">
        <v>99</v>
      </c>
      <c r="C21" s="51" t="e">
        <v>#DIV/0!</v>
      </c>
      <c r="D21" s="51" t="e">
        <v>#DIV/0!</v>
      </c>
      <c r="E21" s="59" t="e">
        <v>#DIV/0!</v>
      </c>
      <c r="F21" s="59" t="e">
        <v>#VALUE!</v>
      </c>
    </row>
    <row r="22" spans="1:11" x14ac:dyDescent="0.3">
      <c r="A22" s="50" t="s">
        <v>100</v>
      </c>
      <c r="C22" s="51" t="e">
        <v>#DIV/0!</v>
      </c>
      <c r="D22" s="51" t="e">
        <v>#DIV/0!</v>
      </c>
      <c r="E22" s="59" t="e">
        <v>#DIV/0!</v>
      </c>
      <c r="F22" s="59" t="e">
        <v>#VALUE!</v>
      </c>
    </row>
    <row r="23" spans="1:11" x14ac:dyDescent="0.3">
      <c r="A23" s="50" t="s">
        <v>101</v>
      </c>
      <c r="C23" s="51" t="e">
        <v>#DIV/0!</v>
      </c>
      <c r="D23" s="51" t="e">
        <v>#DIV/0!</v>
      </c>
      <c r="E23" s="59" t="e">
        <v>#DIV/0!</v>
      </c>
      <c r="F23" s="59" t="e">
        <v>#VALUE!</v>
      </c>
    </row>
    <row r="24" spans="1:11" x14ac:dyDescent="0.3">
      <c r="A24" s="50" t="s">
        <v>102</v>
      </c>
      <c r="C24" s="51">
        <v>12.1</v>
      </c>
      <c r="D24" s="51">
        <v>0.1386</v>
      </c>
      <c r="E24" s="59">
        <v>0</v>
      </c>
      <c r="F24" s="59">
        <v>0.15564289724873667</v>
      </c>
      <c r="K24" s="51"/>
    </row>
    <row r="25" spans="1:11" x14ac:dyDescent="0.3">
      <c r="A25" s="50" t="s">
        <v>103</v>
      </c>
      <c r="C25" s="51">
        <v>12.1</v>
      </c>
      <c r="D25" s="51">
        <v>1.6</v>
      </c>
      <c r="E25" s="59">
        <v>0</v>
      </c>
      <c r="F25" s="59">
        <v>1.7967434025828188</v>
      </c>
      <c r="H25" s="51"/>
      <c r="I25" s="51"/>
      <c r="J25" s="51"/>
      <c r="K25" s="51"/>
    </row>
    <row r="26" spans="1:11" x14ac:dyDescent="0.3">
      <c r="A26" s="50" t="s">
        <v>104</v>
      </c>
      <c r="C26" s="51">
        <v>15.02</v>
      </c>
      <c r="D26" s="51">
        <v>7.69</v>
      </c>
      <c r="E26" s="59">
        <v>0</v>
      </c>
      <c r="F26" s="59">
        <v>17.271195957327347</v>
      </c>
      <c r="H26" s="51"/>
      <c r="I26" s="51"/>
      <c r="J26" s="51"/>
      <c r="K26" s="51"/>
    </row>
    <row r="27" spans="1:11" x14ac:dyDescent="0.3">
      <c r="A27" s="50" t="s">
        <v>105</v>
      </c>
      <c r="C27" s="51">
        <v>137.4</v>
      </c>
      <c r="D27" s="51">
        <v>137.4</v>
      </c>
      <c r="E27" s="59">
        <v>13885.505186780467</v>
      </c>
      <c r="F27" s="59">
        <v>122.85308053959488</v>
      </c>
    </row>
    <row r="28" spans="1:11" x14ac:dyDescent="0.3">
      <c r="A28" s="50" t="s">
        <v>106</v>
      </c>
      <c r="C28" s="51">
        <v>7.8324999999999996</v>
      </c>
      <c r="D28" s="51">
        <v>7.8324999999999996</v>
      </c>
      <c r="E28" s="59">
        <v>757.50812185089751</v>
      </c>
      <c r="F28" s="59">
        <v>4.3659948778603646</v>
      </c>
    </row>
    <row r="29" spans="1:11" x14ac:dyDescent="0.3">
      <c r="A29" s="50" t="s">
        <v>107</v>
      </c>
      <c r="C29" s="51">
        <v>82.8</v>
      </c>
      <c r="D29" s="51">
        <v>48.316750616466237</v>
      </c>
      <c r="E29" s="59">
        <v>4473.0651941800925</v>
      </c>
      <c r="F29" s="59">
        <v>97.47653452926636</v>
      </c>
    </row>
    <row r="30" spans="1:11" x14ac:dyDescent="0.3">
      <c r="A30" s="50" t="s">
        <v>108</v>
      </c>
      <c r="C30" s="51" t="e">
        <v>#DIV/0!</v>
      </c>
      <c r="D30" s="51" t="e">
        <v>#DIV/0!</v>
      </c>
      <c r="E30" s="59" t="e">
        <v>#DIV/0!</v>
      </c>
      <c r="F30" s="59" t="e">
        <v>#DIV/0!</v>
      </c>
    </row>
    <row r="31" spans="1:11" x14ac:dyDescent="0.3">
      <c r="A31" s="50" t="s">
        <v>109</v>
      </c>
      <c r="C31" s="51">
        <v>13.832890000000001</v>
      </c>
      <c r="D31" s="51">
        <v>13.832890000000001</v>
      </c>
      <c r="E31" s="59">
        <v>121.401</v>
      </c>
      <c r="F31" s="59">
        <v>3.102155992769231</v>
      </c>
    </row>
    <row r="32" spans="1:11" x14ac:dyDescent="0.3">
      <c r="A32" s="50" t="s">
        <v>110</v>
      </c>
      <c r="C32" s="51">
        <v>82.8</v>
      </c>
      <c r="D32" s="51">
        <v>14.115226927082663</v>
      </c>
      <c r="E32" s="59">
        <v>1584.480935551343</v>
      </c>
      <c r="F32" s="59">
        <v>28.46507276505136</v>
      </c>
    </row>
    <row r="33" spans="1:6" x14ac:dyDescent="0.3">
      <c r="A33" s="50" t="s">
        <v>111</v>
      </c>
      <c r="C33" s="51">
        <v>2.1190000000000002</v>
      </c>
      <c r="D33" s="51">
        <v>2.1190000000000002</v>
      </c>
      <c r="E33" s="59">
        <v>258.18</v>
      </c>
      <c r="F33" s="59">
        <v>3.5584995056934314</v>
      </c>
    </row>
    <row r="34" spans="1:6" x14ac:dyDescent="0.3">
      <c r="A34" s="50" t="s">
        <v>112</v>
      </c>
      <c r="C34" s="51">
        <v>2.06</v>
      </c>
      <c r="D34" s="51">
        <v>2.06</v>
      </c>
      <c r="E34" s="59">
        <v>90.12370967741937</v>
      </c>
      <c r="F34" s="59">
        <v>2.3095219350189273</v>
      </c>
    </row>
    <row r="35" spans="1:6" x14ac:dyDescent="0.3">
      <c r="A35" s="50" t="s">
        <v>113</v>
      </c>
      <c r="C35" s="51" t="e">
        <v>#DIV/0!</v>
      </c>
      <c r="D35" s="51" t="e">
        <v>#DIV/0!</v>
      </c>
      <c r="E35" s="59" t="e">
        <v>#DIV/0!</v>
      </c>
      <c r="F35" s="59" t="e">
        <v>#DIV/0!</v>
      </c>
    </row>
    <row r="38" spans="1:6" ht="15" thickBot="1" x14ac:dyDescent="0.35"/>
    <row r="39" spans="1:6" x14ac:dyDescent="0.3">
      <c r="C39" s="60"/>
      <c r="D39" s="61" t="s">
        <v>114</v>
      </c>
      <c r="E39" s="61" t="s">
        <v>115</v>
      </c>
      <c r="F39" s="62" t="s">
        <v>116</v>
      </c>
    </row>
    <row r="40" spans="1:6" x14ac:dyDescent="0.3">
      <c r="C40" s="63" t="s">
        <v>63</v>
      </c>
      <c r="D40" s="64">
        <f>D10</f>
        <v>14.936551894359305</v>
      </c>
      <c r="E40" s="64">
        <f>AVERAGE(139,161.3)</f>
        <v>150.15</v>
      </c>
      <c r="F40" s="65">
        <f>E40*D40</f>
        <v>2242.7232669380496</v>
      </c>
    </row>
    <row r="41" spans="1:6" x14ac:dyDescent="0.3">
      <c r="C41" s="66" t="s">
        <v>24</v>
      </c>
      <c r="D41" s="64">
        <f>D17</f>
        <v>43.498209301364632</v>
      </c>
      <c r="E41" s="67">
        <v>157.19999999999999</v>
      </c>
      <c r="F41" s="65">
        <f>E41*D41</f>
        <v>6837.9185021745197</v>
      </c>
    </row>
    <row r="42" spans="1:6" ht="15" thickBot="1" x14ac:dyDescent="0.35">
      <c r="C42" s="41" t="s">
        <v>117</v>
      </c>
      <c r="D42" s="64">
        <f>D12</f>
        <v>14.693476388342223</v>
      </c>
      <c r="E42" s="64">
        <f>AVERAGE(139,161.3)</f>
        <v>150.15</v>
      </c>
      <c r="F42" s="65">
        <f t="shared" ref="F42:F49" si="0">E42*D42</f>
        <v>2206.2254797095848</v>
      </c>
    </row>
    <row r="43" spans="1:6" x14ac:dyDescent="0.3">
      <c r="A43" s="68" t="s">
        <v>118</v>
      </c>
      <c r="B43" s="69"/>
      <c r="C43" s="41" t="s">
        <v>119</v>
      </c>
      <c r="D43" s="64" t="e">
        <f>AVERAGE(D21:D23)</f>
        <v>#DIV/0!</v>
      </c>
      <c r="E43" s="67">
        <v>157.19999999999999</v>
      </c>
      <c r="F43" s="65" t="e">
        <f t="shared" si="0"/>
        <v>#DIV/0!</v>
      </c>
    </row>
    <row r="44" spans="1:6" x14ac:dyDescent="0.3">
      <c r="A44" s="70" t="s">
        <v>120</v>
      </c>
      <c r="B44" s="71">
        <v>1</v>
      </c>
      <c r="C44" s="41" t="s">
        <v>121</v>
      </c>
      <c r="D44" s="64">
        <f>D25</f>
        <v>1.6</v>
      </c>
      <c r="E44" s="64">
        <f>AVERAGE(139,161.3,117)</f>
        <v>139.1</v>
      </c>
      <c r="F44" s="65">
        <f t="shared" si="0"/>
        <v>222.56</v>
      </c>
    </row>
    <row r="45" spans="1:6" x14ac:dyDescent="0.3">
      <c r="A45" s="70" t="s">
        <v>122</v>
      </c>
      <c r="B45" s="71">
        <v>25</v>
      </c>
      <c r="C45" s="41" t="s">
        <v>123</v>
      </c>
      <c r="D45" s="64"/>
      <c r="E45" s="72"/>
      <c r="F45" s="65">
        <f t="shared" si="0"/>
        <v>0</v>
      </c>
    </row>
    <row r="46" spans="1:6" x14ac:dyDescent="0.3">
      <c r="A46" s="70" t="s">
        <v>124</v>
      </c>
      <c r="B46" s="73">
        <v>9232</v>
      </c>
      <c r="C46" s="74" t="s">
        <v>65</v>
      </c>
      <c r="D46" s="75"/>
      <c r="E46" s="76"/>
      <c r="F46" s="77">
        <f t="shared" si="0"/>
        <v>0</v>
      </c>
    </row>
    <row r="47" spans="1:6" x14ac:dyDescent="0.3">
      <c r="A47" s="70" t="s">
        <v>125</v>
      </c>
      <c r="B47" s="78">
        <f>B44*B46/(B45*1000)</f>
        <v>0.36928</v>
      </c>
      <c r="C47" s="74" t="s">
        <v>64</v>
      </c>
      <c r="D47" s="75">
        <f>B50</f>
        <v>5.8223146666666672</v>
      </c>
      <c r="E47" s="76">
        <f>AVERAGE(139,161.3)</f>
        <v>150.15</v>
      </c>
      <c r="F47" s="77">
        <f>E47*D47</f>
        <v>874.22054720000006</v>
      </c>
    </row>
    <row r="48" spans="1:6" x14ac:dyDescent="0.3">
      <c r="A48" s="79"/>
      <c r="B48" s="71"/>
      <c r="C48" s="41" t="s">
        <v>126</v>
      </c>
      <c r="D48" s="64">
        <f>D15</f>
        <v>98.772000000000006</v>
      </c>
      <c r="E48" s="64">
        <f>AVERAGE(139,161.3)</f>
        <v>150.15</v>
      </c>
      <c r="F48" s="65">
        <f>E48*D48</f>
        <v>14830.615800000001</v>
      </c>
    </row>
    <row r="49" spans="1:6" ht="15" thickBot="1" x14ac:dyDescent="0.35">
      <c r="A49" s="70" t="s">
        <v>127</v>
      </c>
      <c r="B49" s="80">
        <f>(90+383)/(20+10)</f>
        <v>15.766666666666667</v>
      </c>
      <c r="C49" s="42" t="s">
        <v>66</v>
      </c>
      <c r="D49" s="81"/>
      <c r="E49" s="82"/>
      <c r="F49" s="83">
        <f t="shared" si="0"/>
        <v>0</v>
      </c>
    </row>
    <row r="50" spans="1:6" ht="15" thickBot="1" x14ac:dyDescent="0.35">
      <c r="A50" s="84" t="s">
        <v>128</v>
      </c>
      <c r="B50" s="85">
        <f>B49*B47</f>
        <v>5.8223146666666672</v>
      </c>
    </row>
  </sheetData>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DC702-0745-460C-92B3-F4102E258886}">
  <sheetPr>
    <tabColor theme="6"/>
  </sheetPr>
  <dimension ref="B1:E16"/>
  <sheetViews>
    <sheetView zoomScale="115" zoomScaleNormal="115" workbookViewId="0"/>
  </sheetViews>
  <sheetFormatPr defaultRowHeight="14.4" x14ac:dyDescent="0.3"/>
  <cols>
    <col min="2" max="2" width="47.21875" customWidth="1"/>
    <col min="3" max="5" width="20.109375" customWidth="1"/>
    <col min="6" max="6" width="20" customWidth="1"/>
    <col min="7" max="7" width="47.21875" customWidth="1"/>
    <col min="8" max="10" width="20.109375" customWidth="1"/>
  </cols>
  <sheetData>
    <row r="1" spans="2:5" ht="15" thickBot="1" x14ac:dyDescent="0.35"/>
    <row r="2" spans="2:5" ht="15" thickBot="1" x14ac:dyDescent="0.35">
      <c r="B2" s="275" t="s">
        <v>130</v>
      </c>
      <c r="C2" s="276"/>
      <c r="D2" s="276"/>
      <c r="E2" s="277"/>
    </row>
    <row r="3" spans="2:5" ht="15" thickBot="1" x14ac:dyDescent="0.35">
      <c r="B3" s="112" t="s">
        <v>132</v>
      </c>
      <c r="C3" s="113" t="s">
        <v>129</v>
      </c>
      <c r="D3" s="113" t="s">
        <v>133</v>
      </c>
      <c r="E3" s="114" t="s">
        <v>134</v>
      </c>
    </row>
    <row r="4" spans="2:5" x14ac:dyDescent="0.3">
      <c r="B4" s="116" t="s">
        <v>135</v>
      </c>
      <c r="C4" s="117">
        <f>'Rate Impact'!B124</f>
        <v>6.0053961392561805E-2</v>
      </c>
      <c r="D4" s="117">
        <f>'Rate Impact'!C124</f>
        <v>5.8271620612023713E-2</v>
      </c>
      <c r="E4" s="118">
        <f>'Rate Impact'!D124</f>
        <v>5.4586865076945969E-2</v>
      </c>
    </row>
    <row r="5" spans="2:5" x14ac:dyDescent="0.3">
      <c r="B5" s="119" t="s">
        <v>136</v>
      </c>
      <c r="C5" s="120"/>
      <c r="D5" s="121">
        <f>D7+D6*3.412</f>
        <v>225883252.57500213</v>
      </c>
      <c r="E5" s="122"/>
    </row>
    <row r="6" spans="2:5" x14ac:dyDescent="0.3">
      <c r="B6" s="119" t="s">
        <v>137</v>
      </c>
      <c r="C6" s="120"/>
      <c r="D6" s="121">
        <f>'Tier III'!F99*-1</f>
        <v>-520299.60002280853</v>
      </c>
      <c r="E6" s="122"/>
    </row>
    <row r="7" spans="2:5" x14ac:dyDescent="0.3">
      <c r="B7" s="119" t="s">
        <v>138</v>
      </c>
      <c r="C7" s="120"/>
      <c r="D7" s="121">
        <f>SUM('Emissions &amp; Energy Impact'!I58:I68)</f>
        <v>227658514.81027997</v>
      </c>
      <c r="E7" s="122"/>
    </row>
    <row r="8" spans="2:5" ht="15" thickBot="1" x14ac:dyDescent="0.35">
      <c r="B8" s="123" t="s">
        <v>139</v>
      </c>
      <c r="C8" s="124"/>
      <c r="D8" s="125">
        <f>SUM('Emissions &amp; Energy Impact'!H58:H68)</f>
        <v>30320437613.575367</v>
      </c>
      <c r="E8" s="126"/>
    </row>
    <row r="9" spans="2:5" ht="15" thickBot="1" x14ac:dyDescent="0.35"/>
    <row r="10" spans="2:5" ht="15" thickBot="1" x14ac:dyDescent="0.35">
      <c r="B10" s="275" t="s">
        <v>131</v>
      </c>
      <c r="C10" s="276"/>
      <c r="D10" s="276"/>
      <c r="E10" s="277"/>
    </row>
    <row r="11" spans="2:5" ht="15" thickBot="1" x14ac:dyDescent="0.35">
      <c r="B11" s="112" t="s">
        <v>132</v>
      </c>
      <c r="C11" s="113" t="s">
        <v>129</v>
      </c>
      <c r="D11" s="113" t="s">
        <v>133</v>
      </c>
      <c r="E11" s="114" t="s">
        <v>134</v>
      </c>
    </row>
    <row r="12" spans="2:5" x14ac:dyDescent="0.3">
      <c r="B12" s="116" t="s">
        <v>135</v>
      </c>
      <c r="C12" s="117">
        <f>'Rate Impact'!J124</f>
        <v>7.7871479724063622E-2</v>
      </c>
      <c r="D12" s="117">
        <f>'Rate Impact'!K124</f>
        <v>7.5560333036407579E-2</v>
      </c>
      <c r="E12" s="118">
        <f>'Rate Impact'!L124</f>
        <v>7.0761839679246749E-2</v>
      </c>
    </row>
    <row r="13" spans="2:5" x14ac:dyDescent="0.3">
      <c r="B13" s="119" t="s">
        <v>136</v>
      </c>
      <c r="C13" s="120"/>
      <c r="D13" s="121">
        <f>D15+D14*3.412</f>
        <v>244325222.76781583</v>
      </c>
      <c r="E13" s="122"/>
    </row>
    <row r="14" spans="2:5" x14ac:dyDescent="0.3">
      <c r="B14" s="119" t="s">
        <v>137</v>
      </c>
      <c r="C14" s="120"/>
      <c r="D14" s="121">
        <f>'Tier III'!M99*-1</f>
        <v>-560956.20090760826</v>
      </c>
      <c r="E14" s="122"/>
    </row>
    <row r="15" spans="2:5" x14ac:dyDescent="0.3">
      <c r="B15" s="119" t="s">
        <v>138</v>
      </c>
      <c r="C15" s="120"/>
      <c r="D15" s="121">
        <f>SUM('Emissions &amp; Energy Impact'!R58:R68)</f>
        <v>246239205.32531258</v>
      </c>
      <c r="E15" s="122"/>
    </row>
    <row r="16" spans="2:5" ht="15" thickBot="1" x14ac:dyDescent="0.35">
      <c r="B16" s="123" t="s">
        <v>139</v>
      </c>
      <c r="C16" s="124"/>
      <c r="D16" s="125">
        <f>SUM('Emissions &amp; Energy Impact'!Q58:Q68)</f>
        <v>32642308260.661484</v>
      </c>
      <c r="E16" s="126"/>
    </row>
  </sheetData>
  <mergeCells count="2">
    <mergeCell ref="B2:E2"/>
    <mergeCell ref="B10:E10"/>
  </mergeCells>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E1469-3270-469F-893A-FF9BD5ED975F}">
  <sheetPr>
    <tabColor theme="9"/>
  </sheetPr>
  <dimension ref="A1:O128"/>
  <sheetViews>
    <sheetView zoomScale="55" zoomScaleNormal="55" workbookViewId="0"/>
  </sheetViews>
  <sheetFormatPr defaultRowHeight="14.4" x14ac:dyDescent="0.3"/>
  <cols>
    <col min="1" max="1" width="25" bestFit="1" customWidth="1"/>
    <col min="2" max="7" width="16.44140625" customWidth="1"/>
    <col min="8" max="8" width="1.6640625" style="13" customWidth="1"/>
    <col min="9" max="9" width="26.6640625" customWidth="1"/>
    <col min="10" max="15" width="16.44140625" customWidth="1"/>
    <col min="18" max="18" width="22.6640625" bestFit="1" customWidth="1"/>
    <col min="19" max="19" width="12.109375" bestFit="1" customWidth="1"/>
    <col min="20" max="20" width="19.109375" customWidth="1"/>
    <col min="21" max="21" width="17.109375" bestFit="1" customWidth="1"/>
    <col min="22" max="22" width="33.44140625" bestFit="1" customWidth="1"/>
  </cols>
  <sheetData>
    <row r="1" spans="1:15" x14ac:dyDescent="0.3">
      <c r="A1" s="15" t="s">
        <v>43</v>
      </c>
      <c r="B1" s="3"/>
      <c r="C1" s="3"/>
      <c r="D1" s="3"/>
      <c r="E1" s="3"/>
      <c r="F1" s="3"/>
      <c r="G1" s="3"/>
      <c r="I1" s="15" t="s">
        <v>44</v>
      </c>
      <c r="J1" s="3"/>
      <c r="K1" s="3"/>
      <c r="L1" s="3"/>
      <c r="M1" s="3"/>
      <c r="N1" s="3"/>
      <c r="O1" s="3"/>
    </row>
    <row r="2" spans="1:15" s="15" customFormat="1" x14ac:dyDescent="0.3">
      <c r="A2" s="15" t="s">
        <v>21</v>
      </c>
      <c r="B2" s="10" t="s">
        <v>38</v>
      </c>
      <c r="C2" s="10" t="s">
        <v>39</v>
      </c>
      <c r="D2" s="10" t="s">
        <v>140</v>
      </c>
      <c r="E2" s="10" t="s">
        <v>40</v>
      </c>
      <c r="F2" s="10" t="s">
        <v>41</v>
      </c>
      <c r="G2" s="10" t="s">
        <v>26</v>
      </c>
      <c r="H2" s="20"/>
      <c r="I2" s="15" t="s">
        <v>21</v>
      </c>
      <c r="J2" s="10" t="s">
        <v>38</v>
      </c>
      <c r="K2" s="10" t="s">
        <v>39</v>
      </c>
      <c r="L2" s="10" t="s">
        <v>140</v>
      </c>
      <c r="M2" s="10" t="s">
        <v>40</v>
      </c>
      <c r="N2" s="10" t="s">
        <v>41</v>
      </c>
      <c r="O2" s="10" t="s">
        <v>26</v>
      </c>
    </row>
    <row r="3" spans="1:15" x14ac:dyDescent="0.3">
      <c r="A3" s="10">
        <v>2025</v>
      </c>
      <c r="B3" s="18">
        <f>(Requirements!C18-Requirements!G18-'REC prices'!D23)*'REC prices'!B2</f>
        <v>13597563.936342297</v>
      </c>
      <c r="C3" s="18">
        <f>Requirements!D18*'REC prices'!C2</f>
        <v>14664836.028007418</v>
      </c>
      <c r="D3" s="86">
        <f>(Requirements!E18*'Tier III'!B3)-('Tier III'!F89*'Rate Impact'!C98)</f>
        <v>12361790.4081997</v>
      </c>
      <c r="E3" s="18">
        <f>Requirements!F18*'REC prices'!D2</f>
        <v>0</v>
      </c>
      <c r="F3" s="264">
        <f>(Requirements!G18*Requirements!G87*'REC prices'!E2)+(Requirements!G18*(1-Requirements!G87)*'REC prices'!B2)</f>
        <v>604082.80812616367</v>
      </c>
      <c r="G3" s="173">
        <f>SUM(B3:F3)</f>
        <v>41228273.180675581</v>
      </c>
      <c r="I3" s="10">
        <v>2025</v>
      </c>
      <c r="J3" s="18">
        <f>(Requirements!K18-Requirements!O18)*'REC prices'!B2</f>
        <v>22402702.238055505</v>
      </c>
      <c r="K3" s="18">
        <f>Requirements!L18*'REC prices'!C2</f>
        <v>14878074.074830798</v>
      </c>
      <c r="L3" s="86">
        <f>Requirements!M18*'Tier III'!B3-('Tier III'!M89*'Rate Impact'!K98)</f>
        <v>12541540.392232945</v>
      </c>
      <c r="M3" s="18">
        <f>Requirements!N18*'REC prices'!D2</f>
        <v>0</v>
      </c>
      <c r="N3" s="173">
        <f>(Requirements!O18*Requirements!G87*'REC prices'!E2)+(Requirements!O18*(1-Requirements!G87)*'REC prices'!B2)</f>
        <v>773597.71349845524</v>
      </c>
      <c r="O3" s="173">
        <f>SUM(J3:N3)</f>
        <v>50595914.41861771</v>
      </c>
    </row>
    <row r="4" spans="1:15" x14ac:dyDescent="0.3">
      <c r="A4" s="10">
        <v>2026</v>
      </c>
      <c r="B4" s="18">
        <f>(Requirements!C19-Requirements!G19-'REC prices'!D24)*'REC prices'!B3</f>
        <v>13093149.879816234</v>
      </c>
      <c r="C4" s="18">
        <f>Requirements!D19*'REC prices'!C3</f>
        <v>19676141.7408888</v>
      </c>
      <c r="D4" s="86">
        <f>(Requirements!E19*'Tier III'!B4)-('Tier III'!F90*'Rate Impact'!C99)</f>
        <v>8677919.6150277834</v>
      </c>
      <c r="E4" s="18">
        <f>Requirements!F19*'REC prices'!D3</f>
        <v>0</v>
      </c>
      <c r="F4" s="264">
        <f>(Requirements!G19*Requirements!G88*'REC prices'!E3)+(Requirements!G19*(1-Requirements!G88)*'REC prices'!B3)</f>
        <v>941596.10221973003</v>
      </c>
      <c r="G4" s="173">
        <f t="shared" ref="G4:G12" si="0">SUM(B4:F4)</f>
        <v>42388807.337952547</v>
      </c>
      <c r="I4" s="10">
        <v>2026</v>
      </c>
      <c r="J4" s="18">
        <f>(Requirements!K19-Requirements!O19)*'REC prices'!B3</f>
        <v>22091613.081383623</v>
      </c>
      <c r="K4" s="18">
        <f>Requirements!L19*'REC prices'!C3</f>
        <v>20172815.65616161</v>
      </c>
      <c r="L4" s="86">
        <f>Requirements!M19*'Tier III'!B4-('Tier III'!M90*'Rate Impact'!K99)</f>
        <v>8955461.5521725826</v>
      </c>
      <c r="M4" s="18">
        <f>Requirements!N19*'REC prices'!D3</f>
        <v>0</v>
      </c>
      <c r="N4" s="173">
        <f>(Requirements!O19*Requirements!G88*'REC prices'!E3)+(Requirements!O19*(1-Requirements!G88)*'REC prices'!B3)</f>
        <v>1347704.5296190358</v>
      </c>
      <c r="O4" s="173">
        <f t="shared" ref="O4:O12" si="1">SUM(J4:N4)</f>
        <v>52567594.819336861</v>
      </c>
    </row>
    <row r="5" spans="1:15" x14ac:dyDescent="0.3">
      <c r="A5" s="10">
        <v>2027</v>
      </c>
      <c r="B5" s="18">
        <f>(Requirements!C20-Requirements!G20-'REC prices'!D25)*'REC prices'!B4</f>
        <v>11576565.344787147</v>
      </c>
      <c r="C5" s="18">
        <f>Requirements!D20*'REC prices'!C4</f>
        <v>24086164.006837498</v>
      </c>
      <c r="D5" s="86">
        <f>(Requirements!E20*'Tier III'!B5)-('Tier III'!F91*'Rate Impact'!C100)</f>
        <v>4374630.3796231821</v>
      </c>
      <c r="E5" s="18">
        <f>Requirements!F20*'REC prices'!D4</f>
        <v>6645939.7527425122</v>
      </c>
      <c r="F5" s="264">
        <f>(Requirements!G20*Requirements!G89*'REC prices'!E4)+(Requirements!G20*(1-Requirements!G89)*'REC prices'!B4)</f>
        <v>1208990.6134855943</v>
      </c>
      <c r="G5" s="173">
        <f t="shared" si="0"/>
        <v>47892290.097475938</v>
      </c>
      <c r="I5" s="10">
        <v>2027</v>
      </c>
      <c r="J5" s="18">
        <f>(Requirements!K20-Requirements!O20)*'REC prices'!B4</f>
        <v>20754828.462953534</v>
      </c>
      <c r="K5" s="18">
        <f>Requirements!L20*'REC prices'!C4</f>
        <v>24998953.605895575</v>
      </c>
      <c r="L5" s="86">
        <f>Requirements!M20*'Tier III'!B5-('Tier III'!M91*'Rate Impact'!K100)</f>
        <v>4745458.8958785571</v>
      </c>
      <c r="M5" s="18">
        <f>Requirements!N20*'REC prices'!D4</f>
        <v>6897799.8945462415</v>
      </c>
      <c r="N5" s="173">
        <f>(Requirements!O20*Requirements!G89*'REC prices'!E4)+(Requirements!O20*(1-Requirements!G89)*'REC prices'!B4)</f>
        <v>1903543.9999529365</v>
      </c>
      <c r="O5" s="173">
        <f t="shared" si="1"/>
        <v>59300584.859226845</v>
      </c>
    </row>
    <row r="6" spans="1:15" x14ac:dyDescent="0.3">
      <c r="A6" s="10">
        <v>2028</v>
      </c>
      <c r="B6" s="18">
        <f>(Requirements!C21-Requirements!G21-'REC prices'!D26)*'REC prices'!B5</f>
        <v>12452878.795287648</v>
      </c>
      <c r="C6" s="18">
        <f>Requirements!D21*'REC prices'!C5</f>
        <v>28904994.995377447</v>
      </c>
      <c r="D6" s="86">
        <f>(Requirements!E21*'Tier III'!B6)-('Tier III'!F92*'Rate Impact'!C101)</f>
        <v>-532992.38150086626</v>
      </c>
      <c r="E6" s="18">
        <f>Requirements!F21*'REC prices'!D5</f>
        <v>6648513.436142101</v>
      </c>
      <c r="F6" s="264">
        <f>(Requirements!G21*Requirements!G90*'REC prices'!E5)+(Requirements!G21*(1-Requirements!G90)*'REC prices'!B5)</f>
        <v>1507822.010160658</v>
      </c>
      <c r="G6" s="173">
        <f t="shared" si="0"/>
        <v>48981216.855466992</v>
      </c>
      <c r="I6" s="10">
        <v>2028</v>
      </c>
      <c r="J6" s="18">
        <f>(Requirements!K21-Requirements!O21)*'REC prices'!B5</f>
        <v>21891008.352419406</v>
      </c>
      <c r="K6" s="18">
        <f>Requirements!L21*'REC prices'!C5</f>
        <v>30362165.076965213</v>
      </c>
      <c r="L6" s="86">
        <f>Requirements!M21*'Tier III'!B6-('Tier III'!M92*'Rate Impact'!K101)</f>
        <v>-122792.48821920529</v>
      </c>
      <c r="M6" s="18">
        <f>Requirements!N21*'REC prices'!D5</f>
        <v>6983680.934622203</v>
      </c>
      <c r="N6" s="173">
        <f>(Requirements!O21*Requirements!G90*'REC prices'!E5)+(Requirements!O21*(1-Requirements!G90)*'REC prices'!B5)</f>
        <v>2517604.4148441697</v>
      </c>
      <c r="O6" s="173">
        <f t="shared" si="1"/>
        <v>61631666.290631793</v>
      </c>
    </row>
    <row r="7" spans="1:15" x14ac:dyDescent="0.3">
      <c r="A7" s="10">
        <v>2029</v>
      </c>
      <c r="B7" s="18">
        <f>(Requirements!C22-Requirements!G22-'REC prices'!D27)*'REC prices'!B6</f>
        <v>14171366.918608714</v>
      </c>
      <c r="C7" s="18">
        <f>Requirements!D22*'REC prices'!C6</f>
        <v>32658487.679333974</v>
      </c>
      <c r="D7" s="86">
        <f>(Requirements!E22*'Tier III'!B7)-('Tier III'!F93*'Rate Impact'!C102)</f>
        <v>-6101884.1924880557</v>
      </c>
      <c r="E7" s="18">
        <f>Requirements!F22*'REC prices'!D6</f>
        <v>6440267.6609963002</v>
      </c>
      <c r="F7" s="264">
        <f>(Requirements!G22*Requirements!G91*'REC prices'!E6)+(Requirements!G22*(1-Requirements!G91)*'REC prices'!B6)</f>
        <v>1597429.9978332806</v>
      </c>
      <c r="G7" s="173">
        <f t="shared" si="0"/>
        <v>48765668.06428422</v>
      </c>
      <c r="I7" s="10">
        <v>2029</v>
      </c>
      <c r="J7" s="18">
        <f>(Requirements!K22-Requirements!O22)*'REC prices'!B6</f>
        <v>25654291.010362141</v>
      </c>
      <c r="K7" s="18">
        <f>Requirements!L22*'REC prices'!C6</f>
        <v>34783629.954930596</v>
      </c>
      <c r="L7" s="86">
        <f>Requirements!M22*'Tier III'!B7-('Tier III'!M93*'Rate Impact'!K102)</f>
        <v>-5678137.5091358311</v>
      </c>
      <c r="M7" s="18">
        <f>Requirements!N22*'REC prices'!D6</f>
        <v>6859346.621630528</v>
      </c>
      <c r="N7" s="173">
        <f>(Requirements!O22*Requirements!G91*'REC prices'!E6)+(Requirements!O22*(1-Requirements!G91)*'REC prices'!B6)</f>
        <v>2860018.2933586561</v>
      </c>
      <c r="O7" s="173">
        <f t="shared" si="1"/>
        <v>64479148.37114609</v>
      </c>
    </row>
    <row r="8" spans="1:15" x14ac:dyDescent="0.3">
      <c r="A8" s="10">
        <v>2030</v>
      </c>
      <c r="B8" s="18">
        <f>(Requirements!C23-Requirements!G23-'REC prices'!D28)*'REC prices'!B7</f>
        <v>22773834.038724903</v>
      </c>
      <c r="C8" s="18">
        <f>Requirements!D23*'REC prices'!C7</f>
        <v>36928925.927821487</v>
      </c>
      <c r="D8" s="86">
        <f>(Requirements!E23*'Tier III'!B8)-('Tier III'!F94*'Rate Impact'!C103)</f>
        <v>-12038634.623013634</v>
      </c>
      <c r="E8" s="18">
        <f>Requirements!F23*'REC prices'!D7</f>
        <v>18460541.189508904</v>
      </c>
      <c r="F8" s="264">
        <f>(Requirements!G23*Requirements!G92*'REC prices'!E7)+(Requirements!G23*(1-Requirements!G92)*'REC prices'!B7)</f>
        <v>1753973.8207241716</v>
      </c>
      <c r="G8" s="173">
        <f t="shared" si="0"/>
        <v>67878640.35376583</v>
      </c>
      <c r="I8" s="10">
        <v>2030</v>
      </c>
      <c r="J8" s="18">
        <f>(Requirements!K23-Requirements!O23)*'REC prices'!B7</f>
        <v>35208623.20555459</v>
      </c>
      <c r="K8" s="18">
        <f>Requirements!L23*'REC prices'!C7</f>
        <v>39822918.016025148</v>
      </c>
      <c r="L8" s="86">
        <f>Requirements!M23*'Tier III'!B8-('Tier III'!M94*'Rate Impact'!K103)</f>
        <v>-11705500.789348356</v>
      </c>
      <c r="M8" s="18">
        <f>Requirements!N23*'REC prices'!D7</f>
        <v>19907229.89772686</v>
      </c>
      <c r="N8" s="173">
        <f>(Requirements!O23*Requirements!G92*'REC prices'!E7)+(Requirements!O23*(1-Requirements!G92)*'REC prices'!B7)</f>
        <v>3258696.2522328426</v>
      </c>
      <c r="O8" s="173">
        <f t="shared" si="1"/>
        <v>86491966.58219108</v>
      </c>
    </row>
    <row r="9" spans="1:15" x14ac:dyDescent="0.3">
      <c r="A9" s="10">
        <v>2031</v>
      </c>
      <c r="B9" s="18">
        <f>(Requirements!C24-Requirements!G24-'REC prices'!D29)*'REC prices'!B8</f>
        <v>22558375.310004205</v>
      </c>
      <c r="C9" s="18">
        <f>Requirements!D24*'REC prices'!C8</f>
        <v>40292558.300542779</v>
      </c>
      <c r="D9" s="86">
        <f>(Requirements!E24*'Tier III'!B9)-('Tier III'!F95*'Rate Impact'!C104)</f>
        <v>-19069856.923294909</v>
      </c>
      <c r="E9" s="18">
        <f>Requirements!F24*'REC prices'!D8</f>
        <v>17906477.820240527</v>
      </c>
      <c r="F9" s="264">
        <f>(Requirements!G24*Requirements!G93*'REC prices'!E8)+(Requirements!G24*(1-Requirements!G93)*'REC prices'!B8)</f>
        <v>1894688.7737888349</v>
      </c>
      <c r="G9" s="173">
        <f t="shared" si="0"/>
        <v>63582243.281281434</v>
      </c>
      <c r="I9" s="10">
        <v>2031</v>
      </c>
      <c r="J9" s="18">
        <f>(Requirements!K24-Requirements!O24)*'REC prices'!B8</f>
        <v>35317401.989535496</v>
      </c>
      <c r="K9" s="18">
        <f>Requirements!L24*'REC prices'!C8</f>
        <v>43919629.473354474</v>
      </c>
      <c r="L9" s="86">
        <f>Requirements!M24*'Tier III'!B9-('Tier III'!M95*'Rate Impact'!K104)</f>
        <v>-18986712.003676437</v>
      </c>
      <c r="M9" s="18">
        <f>Requirements!N24*'REC prices'!D8</f>
        <v>19518390.100020275</v>
      </c>
      <c r="N9" s="173">
        <f>(Requirements!O24*Requirements!G93*'REC prices'!E8)+(Requirements!O24*(1-Requirements!G93)*'REC prices'!B8)</f>
        <v>3571262.6982487803</v>
      </c>
      <c r="O9" s="173">
        <f t="shared" si="1"/>
        <v>83339972.257482588</v>
      </c>
    </row>
    <row r="10" spans="1:15" x14ac:dyDescent="0.3">
      <c r="A10" s="10">
        <v>2032</v>
      </c>
      <c r="B10" s="18">
        <f>(Requirements!C25-Requirements!G25-'REC prices'!D30)*'REC prices'!B9</f>
        <v>20528932.47745746</v>
      </c>
      <c r="C10" s="18">
        <f>Requirements!D25*'REC prices'!C9</f>
        <v>49997014.727410033</v>
      </c>
      <c r="D10" s="86">
        <f>(Requirements!E25*'Tier III'!B10)-('Tier III'!F96*'Rate Impact'!C105)</f>
        <v>-25449235.111318357</v>
      </c>
      <c r="E10" s="18">
        <f>Requirements!F25*'REC prices'!D9</f>
        <v>28378973.985198457</v>
      </c>
      <c r="F10" s="264">
        <f>(Requirements!G25*Requirements!G94*'REC prices'!E9)+(Requirements!G25*(1-Requirements!G94)*'REC prices'!B9)</f>
        <v>2378329.6480810819</v>
      </c>
      <c r="G10" s="173">
        <f t="shared" si="0"/>
        <v>75834015.726828679</v>
      </c>
      <c r="I10" s="10">
        <v>2032</v>
      </c>
      <c r="J10" s="18">
        <f>(Requirements!K25-Requirements!O25)*'REC prices'!B9</f>
        <v>33344135.504904609</v>
      </c>
      <c r="K10" s="18">
        <f>Requirements!L25*'REC prices'!C9</f>
        <v>54935972.607883848</v>
      </c>
      <c r="L10" s="86">
        <f>Requirements!M25*'Tier III'!B10-('Tier III'!M96*'Rate Impact'!K105)</f>
        <v>-25714322.584523633</v>
      </c>
      <c r="M10" s="18">
        <f>Requirements!N25*'REC prices'!D9</f>
        <v>31182392.508647125</v>
      </c>
      <c r="N10" s="173">
        <f>(Requirements!O25*Requirements!G94*'REC prices'!E9)+(Requirements!O25*(1-Requirements!G94)*'REC prices'!B9)</f>
        <v>4415204.9430647204</v>
      </c>
      <c r="O10" s="173">
        <f t="shared" si="1"/>
        <v>98163382.979976669</v>
      </c>
    </row>
    <row r="11" spans="1:15" x14ac:dyDescent="0.3">
      <c r="A11" s="10">
        <v>2033</v>
      </c>
      <c r="B11" s="18">
        <f>(Requirements!C26-Requirements!G26-'REC prices'!D31)*'REC prices'!B10</f>
        <v>20807416.449110139</v>
      </c>
      <c r="C11" s="18">
        <f>Requirements!D26*'REC prices'!C10</f>
        <v>51250550.094722539</v>
      </c>
      <c r="D11" s="86">
        <f>(Requirements!E26*'Tier III'!B11)-('Tier III'!F97*'Rate Impact'!C106)</f>
        <v>-35054555.079107732</v>
      </c>
      <c r="E11" s="18">
        <f>Requirements!F26*'REC prices'!D10</f>
        <v>28766425.388837487</v>
      </c>
      <c r="F11" s="264">
        <f>(Requirements!G26*Requirements!G95*'REC prices'!E10)+(Requirements!G26*(1-Requirements!G95)*'REC prices'!B10)</f>
        <v>2659839.5922717364</v>
      </c>
      <c r="G11" s="173">
        <f t="shared" si="0"/>
        <v>68429676.44583416</v>
      </c>
      <c r="I11" s="10">
        <v>2033</v>
      </c>
      <c r="J11" s="18">
        <f>(Requirements!K26-Requirements!O26)*'REC prices'!B10</f>
        <v>33823134.665448397</v>
      </c>
      <c r="K11" s="18">
        <f>Requirements!L26*'REC prices'!C10</f>
        <v>56635464.621439725</v>
      </c>
      <c r="L11" s="86">
        <f>Requirements!M26*'Tier III'!B11-('Tier III'!M97*'Rate Impact'!K106)</f>
        <v>-36069557.953210257</v>
      </c>
      <c r="M11" s="18">
        <f>Requirements!N26*'REC prices'!D10</f>
        <v>31788924.497076876</v>
      </c>
      <c r="N11" s="173">
        <f>(Requirements!O26*Requirements!G95*'REC prices'!E10)+(Requirements!O26*(1-Requirements!G95)*'REC prices'!B10)</f>
        <v>4855891.9159574015</v>
      </c>
      <c r="O11" s="173">
        <f t="shared" si="1"/>
        <v>91033857.746712148</v>
      </c>
    </row>
    <row r="12" spans="1:15" x14ac:dyDescent="0.3">
      <c r="A12" s="10">
        <v>2034</v>
      </c>
      <c r="B12" s="18">
        <f>(Requirements!C27-Requirements!G27-'REC prices'!D32)*'REC prices'!B11</f>
        <v>21391351.271243308</v>
      </c>
      <c r="C12" s="18">
        <f>Requirements!D27*'REC prices'!C11</f>
        <v>52622900.47206974</v>
      </c>
      <c r="D12" s="86">
        <f>(Requirements!E27*'Tier III'!B12)-('Tier III'!F98*'Rate Impact'!C107)</f>
        <v>-44426532.019591197</v>
      </c>
      <c r="E12" s="18">
        <f>Requirements!F27*'REC prices'!D11</f>
        <v>29211294.319247425</v>
      </c>
      <c r="F12" s="264">
        <f>(Requirements!G27*Requirements!G96*'REC prices'!E11)+(Requirements!G27*(1-Requirements!G96)*'REC prices'!B11)</f>
        <v>2983067.2966899439</v>
      </c>
      <c r="G12" s="173">
        <f t="shared" si="0"/>
        <v>61782081.339659214</v>
      </c>
      <c r="I12" s="10">
        <v>2034</v>
      </c>
      <c r="J12" s="18">
        <f>(Requirements!K27-Requirements!O27)*'REC prices'!B11</f>
        <v>34619653.333938412</v>
      </c>
      <c r="K12" s="18">
        <f>Requirements!L27*'REC prices'!C11</f>
        <v>58435123.428335167</v>
      </c>
      <c r="L12" s="86">
        <f>Requirements!M27*'Tier III'!B12-('Tier III'!M98*'Rate Impact'!K107)</f>
        <v>-46258194.899906337</v>
      </c>
      <c r="M12" s="18">
        <f>Requirements!N27*'REC prices'!D11</f>
        <v>32437694.876827288</v>
      </c>
      <c r="N12" s="173">
        <f>(Requirements!O27*Requirements!G96*'REC prices'!E11)+(Requirements!O27*(1-Requirements!G96)*'REC prices'!B11)</f>
        <v>5327267.9690075023</v>
      </c>
      <c r="O12" s="173">
        <f t="shared" si="1"/>
        <v>84561544.708202034</v>
      </c>
    </row>
    <row r="13" spans="1:15" x14ac:dyDescent="0.3">
      <c r="A13" s="10">
        <v>2035</v>
      </c>
      <c r="B13" s="18">
        <f>(Requirements!C28-Requirements!G28-'REC prices'!D33)*'REC prices'!B12</f>
        <v>21191087.289367057</v>
      </c>
      <c r="C13" s="18">
        <f>Requirements!D28*'REC prices'!C12</f>
        <v>53715700.911622837</v>
      </c>
      <c r="D13" s="86">
        <f>(Requirements!E28*'Tier III'!B13)-('Tier III'!F99*'Rate Impact'!C108)</f>
        <v>-54084814.705189206</v>
      </c>
      <c r="E13" s="18">
        <f>Requirements!F28*'REC prices'!D12</f>
        <v>41445298.890594706</v>
      </c>
      <c r="F13" s="264">
        <f>(Requirements!G28*Requirements!G97*'REC prices'!E12)+(Requirements!G28*(1-Requirements!G97)*'REC prices'!B12)</f>
        <v>3312999.8347576554</v>
      </c>
      <c r="G13" s="173">
        <f>SUM(B13:F13)</f>
        <v>65580272.221153058</v>
      </c>
      <c r="I13" s="10">
        <v>2035</v>
      </c>
      <c r="J13" s="18">
        <f>(Requirements!K28-Requirements!O28)*'REC prices'!B12</f>
        <v>34446478.283194892</v>
      </c>
      <c r="K13" s="18">
        <f>Requirements!L28*'REC prices'!C12</f>
        <v>59743334.013411842</v>
      </c>
      <c r="L13" s="86">
        <f>Requirements!M28*'Tier III'!B13-('Tier III'!M99*'Rate Impact'!K108)</f>
        <v>-56914275.527027853</v>
      </c>
      <c r="M13" s="18">
        <f>Requirements!N28*'REC prices'!D12</f>
        <v>46096025.796634816</v>
      </c>
      <c r="N13" s="173">
        <f>(Requirements!O28*Requirements!G97*'REC prices'!E12)+(Requirements!O28*(1-Requirements!G97)*'REC prices'!B12)</f>
        <v>5731644.9304810241</v>
      </c>
      <c r="O13" s="173">
        <f>SUM(J13:N13)</f>
        <v>89103207.496694714</v>
      </c>
    </row>
    <row r="35" spans="1:12" ht="15" thickBot="1" x14ac:dyDescent="0.35"/>
    <row r="36" spans="1:12" x14ac:dyDescent="0.3">
      <c r="A36" s="168"/>
      <c r="B36" s="174" t="s">
        <v>129</v>
      </c>
      <c r="C36" s="174" t="s">
        <v>133</v>
      </c>
      <c r="D36" s="174" t="s">
        <v>134</v>
      </c>
      <c r="E36" s="163"/>
      <c r="F36" s="163"/>
      <c r="G36" s="163"/>
      <c r="H36" s="175"/>
      <c r="I36" s="163"/>
      <c r="J36" s="174" t="s">
        <v>129</v>
      </c>
      <c r="K36" s="174" t="s">
        <v>133</v>
      </c>
      <c r="L36" s="176" t="s">
        <v>134</v>
      </c>
    </row>
    <row r="37" spans="1:12" x14ac:dyDescent="0.3">
      <c r="A37" s="135" t="s">
        <v>141</v>
      </c>
      <c r="B37" s="30" t="s">
        <v>142</v>
      </c>
      <c r="C37" s="30" t="s">
        <v>142</v>
      </c>
      <c r="D37" s="30" t="s">
        <v>142</v>
      </c>
      <c r="E37" s="30"/>
      <c r="I37" s="15" t="s">
        <v>141</v>
      </c>
      <c r="J37" s="30" t="s">
        <v>142</v>
      </c>
      <c r="K37" s="30" t="s">
        <v>142</v>
      </c>
      <c r="L37" s="172" t="s">
        <v>142</v>
      </c>
    </row>
    <row r="38" spans="1:12" s="33" customFormat="1" x14ac:dyDescent="0.3">
      <c r="A38" s="177">
        <v>2024</v>
      </c>
      <c r="B38" s="178">
        <f>C38</f>
        <v>64.278285150071198</v>
      </c>
      <c r="C38" s="178">
        <v>64.278285150071198</v>
      </c>
      <c r="D38" s="178">
        <v>62.253221960151748</v>
      </c>
      <c r="H38" s="179"/>
      <c r="I38" s="180">
        <v>2024</v>
      </c>
      <c r="J38" s="178">
        <f t="shared" ref="J38:L39" si="2">B38</f>
        <v>64.278285150071198</v>
      </c>
      <c r="K38" s="178">
        <f t="shared" si="2"/>
        <v>64.278285150071198</v>
      </c>
      <c r="L38" s="181">
        <f t="shared" si="2"/>
        <v>62.253221960151748</v>
      </c>
    </row>
    <row r="39" spans="1:12" s="30" customFormat="1" x14ac:dyDescent="0.3">
      <c r="A39" s="171">
        <v>2025</v>
      </c>
      <c r="B39" s="38">
        <f>C39*0.9</f>
        <v>58.639400133993696</v>
      </c>
      <c r="C39" s="38">
        <v>65.154889037770772</v>
      </c>
      <c r="D39" s="38">
        <v>63.151168195163407</v>
      </c>
      <c r="H39" s="179"/>
      <c r="I39" s="10">
        <v>2025</v>
      </c>
      <c r="J39" s="38">
        <f>B39</f>
        <v>58.639400133993696</v>
      </c>
      <c r="K39" s="38">
        <f t="shared" si="2"/>
        <v>65.154889037770772</v>
      </c>
      <c r="L39" s="155">
        <f t="shared" si="2"/>
        <v>63.151168195163407</v>
      </c>
    </row>
    <row r="40" spans="1:12" s="30" customFormat="1" x14ac:dyDescent="0.3">
      <c r="A40" s="171">
        <v>2026</v>
      </c>
      <c r="B40" s="38">
        <f t="shared" ref="B40:B49" si="3">C40*0.9</f>
        <v>46.463080669056637</v>
      </c>
      <c r="C40" s="38">
        <v>51.625645187840703</v>
      </c>
      <c r="D40" s="38">
        <v>63.791719058202219</v>
      </c>
      <c r="H40" s="179"/>
      <c r="I40" s="10">
        <v>2026</v>
      </c>
      <c r="J40" s="38">
        <f t="shared" ref="J40:J49" si="4">B40</f>
        <v>46.463080669056637</v>
      </c>
      <c r="K40" s="38">
        <f t="shared" ref="K40:K49" si="5">C40</f>
        <v>51.625645187840703</v>
      </c>
      <c r="L40" s="155">
        <f t="shared" ref="L40:L49" si="6">D40</f>
        <v>63.791719058202219</v>
      </c>
    </row>
    <row r="41" spans="1:12" s="30" customFormat="1" x14ac:dyDescent="0.3">
      <c r="A41" s="171">
        <v>2027</v>
      </c>
      <c r="B41" s="38">
        <f t="shared" si="3"/>
        <v>44.606384544306408</v>
      </c>
      <c r="C41" s="38">
        <v>49.562649493673788</v>
      </c>
      <c r="D41" s="38">
        <v>61.455807212466418</v>
      </c>
      <c r="H41" s="179"/>
      <c r="I41" s="10">
        <v>2027</v>
      </c>
      <c r="J41" s="38">
        <f t="shared" si="4"/>
        <v>44.606384544306408</v>
      </c>
      <c r="K41" s="38">
        <f t="shared" si="5"/>
        <v>49.562649493673788</v>
      </c>
      <c r="L41" s="155">
        <f t="shared" si="6"/>
        <v>61.455807212466418</v>
      </c>
    </row>
    <row r="42" spans="1:12" s="30" customFormat="1" x14ac:dyDescent="0.3">
      <c r="A42" s="171">
        <v>2028</v>
      </c>
      <c r="B42" s="38">
        <f t="shared" si="3"/>
        <v>44.433951684953065</v>
      </c>
      <c r="C42" s="38">
        <v>49.371057427725624</v>
      </c>
      <c r="D42" s="38">
        <v>61.850715148529773</v>
      </c>
      <c r="H42" s="179"/>
      <c r="I42" s="10">
        <v>2028</v>
      </c>
      <c r="J42" s="38">
        <f t="shared" si="4"/>
        <v>44.433951684953065</v>
      </c>
      <c r="K42" s="38">
        <f t="shared" si="5"/>
        <v>49.371057427725624</v>
      </c>
      <c r="L42" s="155">
        <f t="shared" si="6"/>
        <v>61.850715148529773</v>
      </c>
    </row>
    <row r="43" spans="1:12" s="30" customFormat="1" x14ac:dyDescent="0.3">
      <c r="A43" s="171">
        <v>2029</v>
      </c>
      <c r="B43" s="38">
        <f t="shared" si="3"/>
        <v>43.856982925392487</v>
      </c>
      <c r="C43" s="38">
        <v>48.729981028213871</v>
      </c>
      <c r="D43" s="38">
        <v>61.345107040816814</v>
      </c>
      <c r="H43" s="179"/>
      <c r="I43" s="10">
        <v>2029</v>
      </c>
      <c r="J43" s="38">
        <f t="shared" si="4"/>
        <v>43.856982925392487</v>
      </c>
      <c r="K43" s="38">
        <f t="shared" si="5"/>
        <v>48.729981028213871</v>
      </c>
      <c r="L43" s="155">
        <f t="shared" si="6"/>
        <v>61.345107040816814</v>
      </c>
    </row>
    <row r="44" spans="1:12" s="30" customFormat="1" x14ac:dyDescent="0.3">
      <c r="A44" s="171">
        <v>2030</v>
      </c>
      <c r="B44" s="38">
        <f t="shared" si="3"/>
        <v>43.160242917024362</v>
      </c>
      <c r="C44" s="38">
        <v>47.955825463360398</v>
      </c>
      <c r="D44" s="38">
        <v>59.968232034390184</v>
      </c>
      <c r="H44" s="179"/>
      <c r="I44" s="10">
        <v>2030</v>
      </c>
      <c r="J44" s="38">
        <f t="shared" si="4"/>
        <v>43.160242917024362</v>
      </c>
      <c r="K44" s="38">
        <f t="shared" si="5"/>
        <v>47.955825463360398</v>
      </c>
      <c r="L44" s="155">
        <f t="shared" si="6"/>
        <v>59.968232034390184</v>
      </c>
    </row>
    <row r="45" spans="1:12" s="30" customFormat="1" x14ac:dyDescent="0.3">
      <c r="A45" s="171">
        <v>2031</v>
      </c>
      <c r="B45" s="38">
        <f t="shared" si="3"/>
        <v>44.201111912651932</v>
      </c>
      <c r="C45" s="38">
        <v>49.112346569613258</v>
      </c>
      <c r="D45" s="38">
        <v>61.621107704590727</v>
      </c>
      <c r="H45" s="179"/>
      <c r="I45" s="10">
        <v>2031</v>
      </c>
      <c r="J45" s="38">
        <f t="shared" si="4"/>
        <v>44.201111912651932</v>
      </c>
      <c r="K45" s="38">
        <f t="shared" si="5"/>
        <v>49.112346569613258</v>
      </c>
      <c r="L45" s="155">
        <f t="shared" si="6"/>
        <v>61.621107704590727</v>
      </c>
    </row>
    <row r="46" spans="1:12" s="30" customFormat="1" x14ac:dyDescent="0.3">
      <c r="A46" s="171">
        <v>2032</v>
      </c>
      <c r="B46" s="38">
        <f t="shared" si="3"/>
        <v>42.602555303341205</v>
      </c>
      <c r="C46" s="38">
        <v>47.336172559268007</v>
      </c>
      <c r="D46" s="38">
        <v>59.805750972342921</v>
      </c>
      <c r="H46" s="179"/>
      <c r="I46" s="10">
        <v>2032</v>
      </c>
      <c r="J46" s="38">
        <f t="shared" si="4"/>
        <v>42.602555303341205</v>
      </c>
      <c r="K46" s="38">
        <f t="shared" si="5"/>
        <v>47.336172559268007</v>
      </c>
      <c r="L46" s="155">
        <f t="shared" si="6"/>
        <v>59.805750972342921</v>
      </c>
    </row>
    <row r="47" spans="1:12" s="30" customFormat="1" x14ac:dyDescent="0.3">
      <c r="A47" s="171">
        <v>2033</v>
      </c>
      <c r="B47" s="38">
        <f t="shared" si="3"/>
        <v>43.36842422758636</v>
      </c>
      <c r="C47" s="38">
        <v>48.187138030651511</v>
      </c>
      <c r="D47" s="38">
        <v>60.842352905888475</v>
      </c>
      <c r="H47" s="179"/>
      <c r="I47" s="10">
        <v>2033</v>
      </c>
      <c r="J47" s="38">
        <f t="shared" si="4"/>
        <v>43.36842422758636</v>
      </c>
      <c r="K47" s="38">
        <f t="shared" si="5"/>
        <v>48.187138030651511</v>
      </c>
      <c r="L47" s="155">
        <f t="shared" si="6"/>
        <v>60.842352905888475</v>
      </c>
    </row>
    <row r="48" spans="1:12" s="30" customFormat="1" x14ac:dyDescent="0.3">
      <c r="A48" s="171">
        <v>2034</v>
      </c>
      <c r="B48" s="38">
        <f t="shared" si="3"/>
        <v>43.597403398231549</v>
      </c>
      <c r="C48" s="38">
        <v>48.441559331368389</v>
      </c>
      <c r="D48" s="38">
        <v>60.617091015311807</v>
      </c>
      <c r="H48" s="179"/>
      <c r="I48" s="10">
        <v>2034</v>
      </c>
      <c r="J48" s="38">
        <f t="shared" si="4"/>
        <v>43.597403398231549</v>
      </c>
      <c r="K48" s="38">
        <f t="shared" si="5"/>
        <v>48.441559331368389</v>
      </c>
      <c r="L48" s="155">
        <f t="shared" si="6"/>
        <v>60.617091015311807</v>
      </c>
    </row>
    <row r="49" spans="1:12" s="30" customFormat="1" x14ac:dyDescent="0.3">
      <c r="A49" s="171">
        <v>2035</v>
      </c>
      <c r="B49" s="38">
        <f t="shared" si="3"/>
        <v>43.869525883031301</v>
      </c>
      <c r="C49" s="38">
        <v>48.743917647812552</v>
      </c>
      <c r="D49" s="38">
        <v>60.933778029310105</v>
      </c>
      <c r="H49" s="179"/>
      <c r="I49" s="10">
        <v>2035</v>
      </c>
      <c r="J49" s="38">
        <f t="shared" si="4"/>
        <v>43.869525883031301</v>
      </c>
      <c r="K49" s="38">
        <f t="shared" si="5"/>
        <v>48.743917647812552</v>
      </c>
      <c r="L49" s="155">
        <f t="shared" si="6"/>
        <v>60.933778029310105</v>
      </c>
    </row>
    <row r="50" spans="1:12" ht="15" thickBot="1" x14ac:dyDescent="0.35">
      <c r="A50" s="141"/>
      <c r="B50" s="110"/>
      <c r="C50" s="110"/>
      <c r="D50" s="110"/>
      <c r="E50" s="110"/>
      <c r="F50" s="110"/>
      <c r="G50" s="110"/>
      <c r="H50" s="182"/>
      <c r="I50" s="110"/>
      <c r="J50" s="110"/>
      <c r="K50" s="110"/>
      <c r="L50" s="148"/>
    </row>
    <row r="51" spans="1:12" x14ac:dyDescent="0.3">
      <c r="A51" s="168"/>
      <c r="B51" s="174" t="s">
        <v>129</v>
      </c>
      <c r="C51" s="174" t="s">
        <v>133</v>
      </c>
      <c r="D51" s="174" t="s">
        <v>134</v>
      </c>
      <c r="E51" s="163"/>
      <c r="F51" s="163"/>
      <c r="G51" s="163"/>
      <c r="H51" s="175"/>
      <c r="I51" s="163"/>
      <c r="J51" s="174" t="s">
        <v>129</v>
      </c>
      <c r="K51" s="174" t="s">
        <v>133</v>
      </c>
      <c r="L51" s="176" t="s">
        <v>134</v>
      </c>
    </row>
    <row r="52" spans="1:12" x14ac:dyDescent="0.3">
      <c r="A52" s="135" t="s">
        <v>143</v>
      </c>
      <c r="B52" t="s">
        <v>144</v>
      </c>
      <c r="C52" t="s">
        <v>144</v>
      </c>
      <c r="D52" t="s">
        <v>144</v>
      </c>
      <c r="I52" s="15" t="s">
        <v>143</v>
      </c>
      <c r="J52" t="s">
        <v>144</v>
      </c>
      <c r="K52" t="s">
        <v>144</v>
      </c>
      <c r="L52" s="146" t="s">
        <v>144</v>
      </c>
    </row>
    <row r="53" spans="1:12" s="33" customFormat="1" x14ac:dyDescent="0.3">
      <c r="A53" s="177">
        <v>2024</v>
      </c>
      <c r="H53" s="179"/>
      <c r="I53" s="180">
        <v>2024</v>
      </c>
      <c r="L53" s="183"/>
    </row>
    <row r="54" spans="1:12" s="30" customFormat="1" x14ac:dyDescent="0.3">
      <c r="A54" s="171">
        <v>2025</v>
      </c>
      <c r="B54" s="184">
        <f>(B39-B38)/B38</f>
        <v>-8.7726127150286243E-2</v>
      </c>
      <c r="C54" s="184">
        <f t="shared" ref="C54:D54" si="7">(C39-C38)/C38</f>
        <v>1.3637636499681926E-2</v>
      </c>
      <c r="D54" s="184">
        <f t="shared" si="7"/>
        <v>1.4424092548758906E-2</v>
      </c>
      <c r="H54" s="179"/>
      <c r="I54" s="10">
        <v>2025</v>
      </c>
      <c r="J54" s="3">
        <f>B54</f>
        <v>-8.7726127150286243E-2</v>
      </c>
      <c r="K54" s="3">
        <f t="shared" ref="K54:L64" si="8">C54</f>
        <v>1.3637636499681926E-2</v>
      </c>
      <c r="L54" s="185">
        <f t="shared" si="8"/>
        <v>1.4424092548758906E-2</v>
      </c>
    </row>
    <row r="55" spans="1:12" s="30" customFormat="1" x14ac:dyDescent="0.3">
      <c r="A55" s="171">
        <v>2026</v>
      </c>
      <c r="B55" s="184">
        <f t="shared" ref="B55" si="9">(B40-B39)/B39</f>
        <v>-0.20764740834854406</v>
      </c>
      <c r="C55" s="184">
        <f>(C40-C39)/C39</f>
        <v>-0.20764740834854412</v>
      </c>
      <c r="D55" s="184">
        <f>(D40-D39)/D39</f>
        <v>1.0143135611668217E-2</v>
      </c>
      <c r="H55" s="179"/>
      <c r="I55" s="10">
        <v>2026</v>
      </c>
      <c r="J55" s="3">
        <f t="shared" ref="J55:J64" si="10">B55</f>
        <v>-0.20764740834854406</v>
      </c>
      <c r="K55" s="3">
        <f t="shared" si="8"/>
        <v>-0.20764740834854412</v>
      </c>
      <c r="L55" s="185">
        <f t="shared" si="8"/>
        <v>1.0143135611668217E-2</v>
      </c>
    </row>
    <row r="56" spans="1:12" s="30" customFormat="1" x14ac:dyDescent="0.3">
      <c r="A56" s="171">
        <v>2027</v>
      </c>
      <c r="B56" s="184">
        <f t="shared" ref="B56:D56" si="11">(B41-B40)/B40</f>
        <v>-3.9960676261975601E-2</v>
      </c>
      <c r="C56" s="184">
        <f t="shared" si="11"/>
        <v>-3.9960676261975484E-2</v>
      </c>
      <c r="D56" s="184">
        <f t="shared" si="11"/>
        <v>-3.6617791152556402E-2</v>
      </c>
      <c r="H56" s="179"/>
      <c r="I56" s="10">
        <v>2027</v>
      </c>
      <c r="J56" s="3">
        <f t="shared" si="10"/>
        <v>-3.9960676261975601E-2</v>
      </c>
      <c r="K56" s="3">
        <f t="shared" si="8"/>
        <v>-3.9960676261975484E-2</v>
      </c>
      <c r="L56" s="185">
        <f t="shared" si="8"/>
        <v>-3.6617791152556402E-2</v>
      </c>
    </row>
    <row r="57" spans="1:12" s="30" customFormat="1" x14ac:dyDescent="0.3">
      <c r="A57" s="171">
        <v>2028</v>
      </c>
      <c r="B57" s="184">
        <f t="shared" ref="B57:D57" si="12">(B42-B41)/B41</f>
        <v>-3.8656542357085586E-3</v>
      </c>
      <c r="C57" s="184">
        <f t="shared" si="12"/>
        <v>-3.8656542357086701E-3</v>
      </c>
      <c r="D57" s="184">
        <f t="shared" si="12"/>
        <v>6.4258847776267917E-3</v>
      </c>
      <c r="H57" s="179"/>
      <c r="I57" s="10">
        <v>2028</v>
      </c>
      <c r="J57" s="3">
        <f t="shared" si="10"/>
        <v>-3.8656542357085586E-3</v>
      </c>
      <c r="K57" s="3">
        <f t="shared" si="8"/>
        <v>-3.8656542357086701E-3</v>
      </c>
      <c r="L57" s="185">
        <f t="shared" si="8"/>
        <v>6.4258847776267917E-3</v>
      </c>
    </row>
    <row r="58" spans="1:12" s="30" customFormat="1" x14ac:dyDescent="0.3">
      <c r="A58" s="171">
        <v>2029</v>
      </c>
      <c r="B58" s="184">
        <f t="shared" ref="B58:D58" si="13">(B43-B42)/B42</f>
        <v>-1.2984862648531015E-2</v>
      </c>
      <c r="C58" s="184">
        <f t="shared" si="13"/>
        <v>-1.2984862648531E-2</v>
      </c>
      <c r="D58" s="184">
        <f t="shared" si="13"/>
        <v>-8.1746525727112405E-3</v>
      </c>
      <c r="H58" s="179"/>
      <c r="I58" s="10">
        <v>2029</v>
      </c>
      <c r="J58" s="3">
        <f t="shared" si="10"/>
        <v>-1.2984862648531015E-2</v>
      </c>
      <c r="K58" s="3">
        <f t="shared" si="8"/>
        <v>-1.2984862648531E-2</v>
      </c>
      <c r="L58" s="185">
        <f t="shared" si="8"/>
        <v>-8.1746525727112405E-3</v>
      </c>
    </row>
    <row r="59" spans="1:12" s="30" customFormat="1" x14ac:dyDescent="0.3">
      <c r="A59" s="171">
        <v>2030</v>
      </c>
      <c r="B59" s="184">
        <f t="shared" ref="B59:D59" si="14">(B44-B43)/B43</f>
        <v>-1.5886637928408952E-2</v>
      </c>
      <c r="C59" s="184">
        <f t="shared" si="14"/>
        <v>-1.5886637928408987E-2</v>
      </c>
      <c r="D59" s="184">
        <f t="shared" si="14"/>
        <v>-2.2444740466595114E-2</v>
      </c>
      <c r="H59" s="179"/>
      <c r="I59" s="10">
        <v>2030</v>
      </c>
      <c r="J59" s="3">
        <f t="shared" si="10"/>
        <v>-1.5886637928408952E-2</v>
      </c>
      <c r="K59" s="3">
        <f t="shared" si="8"/>
        <v>-1.5886637928408987E-2</v>
      </c>
      <c r="L59" s="185">
        <f t="shared" si="8"/>
        <v>-2.2444740466595114E-2</v>
      </c>
    </row>
    <row r="60" spans="1:12" s="30" customFormat="1" x14ac:dyDescent="0.3">
      <c r="A60" s="171">
        <v>2031</v>
      </c>
      <c r="B60" s="184">
        <f t="shared" ref="B60:D60" si="15">(B45-B44)/B44</f>
        <v>2.4116384090530765E-2</v>
      </c>
      <c r="C60" s="184">
        <f t="shared" si="15"/>
        <v>2.4116384090530883E-2</v>
      </c>
      <c r="D60" s="184">
        <f t="shared" si="15"/>
        <v>2.7562521257132672E-2</v>
      </c>
      <c r="H60" s="179"/>
      <c r="I60" s="10">
        <v>2031</v>
      </c>
      <c r="J60" s="3">
        <f t="shared" si="10"/>
        <v>2.4116384090530765E-2</v>
      </c>
      <c r="K60" s="3">
        <f t="shared" si="8"/>
        <v>2.4116384090530883E-2</v>
      </c>
      <c r="L60" s="185">
        <f t="shared" si="8"/>
        <v>2.7562521257132672E-2</v>
      </c>
    </row>
    <row r="61" spans="1:12" s="30" customFormat="1" x14ac:dyDescent="0.3">
      <c r="A61" s="171">
        <v>2032</v>
      </c>
      <c r="B61" s="184">
        <f t="shared" ref="B61:D61" si="16">(B46-B45)/B45</f>
        <v>-3.6165529330341638E-2</v>
      </c>
      <c r="C61" s="184">
        <f t="shared" si="16"/>
        <v>-3.6165529330341624E-2</v>
      </c>
      <c r="D61" s="184">
        <f t="shared" si="16"/>
        <v>-2.9459982137136492E-2</v>
      </c>
      <c r="H61" s="179"/>
      <c r="I61" s="10">
        <v>2032</v>
      </c>
      <c r="J61" s="3">
        <f t="shared" si="10"/>
        <v>-3.6165529330341638E-2</v>
      </c>
      <c r="K61" s="3">
        <f t="shared" si="8"/>
        <v>-3.6165529330341624E-2</v>
      </c>
      <c r="L61" s="185">
        <f t="shared" si="8"/>
        <v>-2.9459982137136492E-2</v>
      </c>
    </row>
    <row r="62" spans="1:12" s="30" customFormat="1" x14ac:dyDescent="0.3">
      <c r="A62" s="171">
        <v>2033</v>
      </c>
      <c r="B62" s="184">
        <f t="shared" ref="B62:D62" si="17">(B47-B46)/B46</f>
        <v>1.7977065431685254E-2</v>
      </c>
      <c r="C62" s="184">
        <f t="shared" si="17"/>
        <v>1.7977065431685219E-2</v>
      </c>
      <c r="D62" s="184">
        <f t="shared" si="17"/>
        <v>1.7332813595550865E-2</v>
      </c>
      <c r="H62" s="179"/>
      <c r="I62" s="10">
        <v>2033</v>
      </c>
      <c r="J62" s="3">
        <f t="shared" si="10"/>
        <v>1.7977065431685254E-2</v>
      </c>
      <c r="K62" s="3">
        <f t="shared" si="8"/>
        <v>1.7977065431685219E-2</v>
      </c>
      <c r="L62" s="185">
        <f t="shared" si="8"/>
        <v>1.7332813595550865E-2</v>
      </c>
    </row>
    <row r="63" spans="1:12" s="30" customFormat="1" x14ac:dyDescent="0.3">
      <c r="A63" s="171">
        <v>2034</v>
      </c>
      <c r="B63" s="184">
        <f t="shared" ref="B63:D63" si="18">(B48-B47)/B47</f>
        <v>5.2798591307713976E-3</v>
      </c>
      <c r="C63" s="184">
        <f t="shared" si="18"/>
        <v>5.2798591307714141E-3</v>
      </c>
      <c r="D63" s="184">
        <f t="shared" si="18"/>
        <v>-3.7023862460596377E-3</v>
      </c>
      <c r="H63" s="179"/>
      <c r="I63" s="10">
        <v>2034</v>
      </c>
      <c r="J63" s="3">
        <f t="shared" si="10"/>
        <v>5.2798591307713976E-3</v>
      </c>
      <c r="K63" s="3">
        <f t="shared" si="8"/>
        <v>5.2798591307714141E-3</v>
      </c>
      <c r="L63" s="185">
        <f t="shared" si="8"/>
        <v>-3.7023862460596377E-3</v>
      </c>
    </row>
    <row r="64" spans="1:12" s="30" customFormat="1" ht="15" thickBot="1" x14ac:dyDescent="0.35">
      <c r="A64" s="186">
        <v>2035</v>
      </c>
      <c r="B64" s="187">
        <f t="shared" ref="B64:D64" si="19">(B49-B48)/B48</f>
        <v>6.2417131202540848E-3</v>
      </c>
      <c r="C64" s="187">
        <f t="shared" si="19"/>
        <v>6.2417131202539703E-3</v>
      </c>
      <c r="D64" s="187">
        <f t="shared" si="19"/>
        <v>5.2243848837665733E-3</v>
      </c>
      <c r="E64" s="147"/>
      <c r="F64" s="147"/>
      <c r="G64" s="147"/>
      <c r="H64" s="188"/>
      <c r="I64" s="189">
        <v>2035</v>
      </c>
      <c r="J64" s="143">
        <f t="shared" si="10"/>
        <v>6.2417131202540848E-3</v>
      </c>
      <c r="K64" s="143">
        <f t="shared" si="8"/>
        <v>6.2417131202539703E-3</v>
      </c>
      <c r="L64" s="190">
        <f t="shared" si="8"/>
        <v>5.2243848837665733E-3</v>
      </c>
    </row>
    <row r="65" spans="1:12" x14ac:dyDescent="0.3">
      <c r="A65" s="132" t="s">
        <v>18</v>
      </c>
      <c r="B65" s="163" t="s">
        <v>145</v>
      </c>
      <c r="C65" s="191" t="s">
        <v>146</v>
      </c>
      <c r="D65" s="163"/>
      <c r="E65" s="163"/>
      <c r="F65" s="163"/>
      <c r="G65" s="163"/>
      <c r="H65" s="175"/>
      <c r="I65" s="169" t="s">
        <v>18</v>
      </c>
      <c r="J65" s="163" t="s">
        <v>147</v>
      </c>
      <c r="K65" s="163"/>
      <c r="L65" s="164"/>
    </row>
    <row r="66" spans="1:12" s="33" customFormat="1" x14ac:dyDescent="0.3">
      <c r="A66" s="177">
        <v>2024</v>
      </c>
      <c r="H66" s="179"/>
      <c r="I66" s="180">
        <v>2024</v>
      </c>
      <c r="L66" s="183"/>
    </row>
    <row r="67" spans="1:12" s="30" customFormat="1" x14ac:dyDescent="0.3">
      <c r="A67" s="171">
        <v>2025</v>
      </c>
      <c r="B67" s="192">
        <v>2.93E-2</v>
      </c>
      <c r="C67" s="193">
        <f>B67</f>
        <v>2.93E-2</v>
      </c>
      <c r="D67" s="193">
        <f>C67</f>
        <v>2.93E-2</v>
      </c>
      <c r="H67" s="179"/>
      <c r="I67" s="10">
        <v>2025</v>
      </c>
      <c r="J67" s="193">
        <f>C67</f>
        <v>2.93E-2</v>
      </c>
      <c r="K67" s="193">
        <f>J67</f>
        <v>2.93E-2</v>
      </c>
      <c r="L67" s="194">
        <f>K67</f>
        <v>2.93E-2</v>
      </c>
    </row>
    <row r="68" spans="1:12" s="30" customFormat="1" x14ac:dyDescent="0.3">
      <c r="A68" s="171">
        <v>2026</v>
      </c>
      <c r="B68" s="193">
        <f>B67</f>
        <v>2.93E-2</v>
      </c>
      <c r="C68" s="193">
        <f t="shared" ref="C68:D77" si="20">B68</f>
        <v>2.93E-2</v>
      </c>
      <c r="D68" s="193">
        <f t="shared" si="20"/>
        <v>2.93E-2</v>
      </c>
      <c r="H68" s="179"/>
      <c r="I68" s="10">
        <v>2026</v>
      </c>
      <c r="J68" s="193">
        <f>J67</f>
        <v>2.93E-2</v>
      </c>
      <c r="K68" s="193">
        <f>J68</f>
        <v>2.93E-2</v>
      </c>
      <c r="L68" s="194">
        <f>K68</f>
        <v>2.93E-2</v>
      </c>
    </row>
    <row r="69" spans="1:12" s="30" customFormat="1" x14ac:dyDescent="0.3">
      <c r="A69" s="171">
        <v>2027</v>
      </c>
      <c r="B69" s="193">
        <f t="shared" ref="B69:B77" si="21">B68</f>
        <v>2.93E-2</v>
      </c>
      <c r="C69" s="193">
        <f t="shared" si="20"/>
        <v>2.93E-2</v>
      </c>
      <c r="D69" s="193">
        <f t="shared" si="20"/>
        <v>2.93E-2</v>
      </c>
      <c r="H69" s="179"/>
      <c r="I69" s="10">
        <v>2027</v>
      </c>
      <c r="J69" s="193">
        <f t="shared" ref="J69:J77" si="22">J68</f>
        <v>2.93E-2</v>
      </c>
      <c r="K69" s="193">
        <f t="shared" ref="K69:L77" si="23">J69</f>
        <v>2.93E-2</v>
      </c>
      <c r="L69" s="194">
        <f t="shared" si="23"/>
        <v>2.93E-2</v>
      </c>
    </row>
    <row r="70" spans="1:12" s="30" customFormat="1" x14ac:dyDescent="0.3">
      <c r="A70" s="171">
        <v>2028</v>
      </c>
      <c r="B70" s="193">
        <f t="shared" si="21"/>
        <v>2.93E-2</v>
      </c>
      <c r="C70" s="193">
        <f t="shared" si="20"/>
        <v>2.93E-2</v>
      </c>
      <c r="D70" s="193">
        <f t="shared" si="20"/>
        <v>2.93E-2</v>
      </c>
      <c r="H70" s="179"/>
      <c r="I70" s="10">
        <v>2028</v>
      </c>
      <c r="J70" s="193">
        <f t="shared" si="22"/>
        <v>2.93E-2</v>
      </c>
      <c r="K70" s="193">
        <f t="shared" si="23"/>
        <v>2.93E-2</v>
      </c>
      <c r="L70" s="194">
        <f t="shared" si="23"/>
        <v>2.93E-2</v>
      </c>
    </row>
    <row r="71" spans="1:12" s="30" customFormat="1" x14ac:dyDescent="0.3">
      <c r="A71" s="171">
        <v>2029</v>
      </c>
      <c r="B71" s="193">
        <f t="shared" si="21"/>
        <v>2.93E-2</v>
      </c>
      <c r="C71" s="193">
        <f t="shared" si="20"/>
        <v>2.93E-2</v>
      </c>
      <c r="D71" s="193">
        <f t="shared" si="20"/>
        <v>2.93E-2</v>
      </c>
      <c r="H71" s="179"/>
      <c r="I71" s="10">
        <v>2029</v>
      </c>
      <c r="J71" s="193">
        <f t="shared" si="22"/>
        <v>2.93E-2</v>
      </c>
      <c r="K71" s="193">
        <f t="shared" si="23"/>
        <v>2.93E-2</v>
      </c>
      <c r="L71" s="194">
        <f t="shared" si="23"/>
        <v>2.93E-2</v>
      </c>
    </row>
    <row r="72" spans="1:12" s="30" customFormat="1" x14ac:dyDescent="0.3">
      <c r="A72" s="171">
        <v>2030</v>
      </c>
      <c r="B72" s="193">
        <f t="shared" si="21"/>
        <v>2.93E-2</v>
      </c>
      <c r="C72" s="193">
        <f t="shared" si="20"/>
        <v>2.93E-2</v>
      </c>
      <c r="D72" s="193">
        <f t="shared" si="20"/>
        <v>2.93E-2</v>
      </c>
      <c r="H72" s="179"/>
      <c r="I72" s="10">
        <v>2030</v>
      </c>
      <c r="J72" s="193">
        <f t="shared" si="22"/>
        <v>2.93E-2</v>
      </c>
      <c r="K72" s="193">
        <f t="shared" si="23"/>
        <v>2.93E-2</v>
      </c>
      <c r="L72" s="194">
        <f t="shared" si="23"/>
        <v>2.93E-2</v>
      </c>
    </row>
    <row r="73" spans="1:12" s="30" customFormat="1" x14ac:dyDescent="0.3">
      <c r="A73" s="171">
        <v>2031</v>
      </c>
      <c r="B73" s="193">
        <f t="shared" si="21"/>
        <v>2.93E-2</v>
      </c>
      <c r="C73" s="193">
        <f t="shared" si="20"/>
        <v>2.93E-2</v>
      </c>
      <c r="D73" s="193">
        <f t="shared" si="20"/>
        <v>2.93E-2</v>
      </c>
      <c r="H73" s="179"/>
      <c r="I73" s="10">
        <v>2031</v>
      </c>
      <c r="J73" s="193">
        <f t="shared" si="22"/>
        <v>2.93E-2</v>
      </c>
      <c r="K73" s="193">
        <f t="shared" si="23"/>
        <v>2.93E-2</v>
      </c>
      <c r="L73" s="194">
        <f t="shared" si="23"/>
        <v>2.93E-2</v>
      </c>
    </row>
    <row r="74" spans="1:12" s="30" customFormat="1" x14ac:dyDescent="0.3">
      <c r="A74" s="171">
        <v>2032</v>
      </c>
      <c r="B74" s="193">
        <f t="shared" si="21"/>
        <v>2.93E-2</v>
      </c>
      <c r="C74" s="193">
        <f t="shared" si="20"/>
        <v>2.93E-2</v>
      </c>
      <c r="D74" s="193">
        <f t="shared" si="20"/>
        <v>2.93E-2</v>
      </c>
      <c r="H74" s="179"/>
      <c r="I74" s="10">
        <v>2032</v>
      </c>
      <c r="J74" s="193">
        <f t="shared" si="22"/>
        <v>2.93E-2</v>
      </c>
      <c r="K74" s="193">
        <f t="shared" si="23"/>
        <v>2.93E-2</v>
      </c>
      <c r="L74" s="194">
        <f t="shared" si="23"/>
        <v>2.93E-2</v>
      </c>
    </row>
    <row r="75" spans="1:12" s="30" customFormat="1" x14ac:dyDescent="0.3">
      <c r="A75" s="171">
        <v>2033</v>
      </c>
      <c r="B75" s="193">
        <f t="shared" si="21"/>
        <v>2.93E-2</v>
      </c>
      <c r="C75" s="193">
        <f t="shared" si="20"/>
        <v>2.93E-2</v>
      </c>
      <c r="D75" s="193">
        <f t="shared" si="20"/>
        <v>2.93E-2</v>
      </c>
      <c r="H75" s="179"/>
      <c r="I75" s="10">
        <v>2033</v>
      </c>
      <c r="J75" s="193">
        <f t="shared" si="22"/>
        <v>2.93E-2</v>
      </c>
      <c r="K75" s="193">
        <f t="shared" si="23"/>
        <v>2.93E-2</v>
      </c>
      <c r="L75" s="194">
        <f t="shared" si="23"/>
        <v>2.93E-2</v>
      </c>
    </row>
    <row r="76" spans="1:12" s="30" customFormat="1" x14ac:dyDescent="0.3">
      <c r="A76" s="171">
        <v>2034</v>
      </c>
      <c r="B76" s="193">
        <f t="shared" si="21"/>
        <v>2.93E-2</v>
      </c>
      <c r="C76" s="193">
        <f t="shared" si="20"/>
        <v>2.93E-2</v>
      </c>
      <c r="D76" s="193">
        <f t="shared" si="20"/>
        <v>2.93E-2</v>
      </c>
      <c r="H76" s="179"/>
      <c r="I76" s="10">
        <v>2034</v>
      </c>
      <c r="J76" s="193">
        <f t="shared" si="22"/>
        <v>2.93E-2</v>
      </c>
      <c r="K76" s="193">
        <f t="shared" si="23"/>
        <v>2.93E-2</v>
      </c>
      <c r="L76" s="194">
        <f t="shared" si="23"/>
        <v>2.93E-2</v>
      </c>
    </row>
    <row r="77" spans="1:12" s="30" customFormat="1" x14ac:dyDescent="0.3">
      <c r="A77" s="171">
        <v>2035</v>
      </c>
      <c r="B77" s="193">
        <f t="shared" si="21"/>
        <v>2.93E-2</v>
      </c>
      <c r="C77" s="193">
        <f t="shared" si="20"/>
        <v>2.93E-2</v>
      </c>
      <c r="D77" s="193">
        <f t="shared" si="20"/>
        <v>2.93E-2</v>
      </c>
      <c r="H77" s="179"/>
      <c r="I77" s="10">
        <v>2035</v>
      </c>
      <c r="J77" s="193">
        <f t="shared" si="22"/>
        <v>2.93E-2</v>
      </c>
      <c r="K77" s="193">
        <f t="shared" si="23"/>
        <v>2.93E-2</v>
      </c>
      <c r="L77" s="194">
        <f t="shared" si="23"/>
        <v>2.93E-2</v>
      </c>
    </row>
    <row r="78" spans="1:12" ht="15" thickBot="1" x14ac:dyDescent="0.35">
      <c r="A78" s="141"/>
      <c r="B78" s="110"/>
      <c r="C78" s="110"/>
      <c r="D78" s="110"/>
      <c r="E78" s="110"/>
      <c r="F78" s="110"/>
      <c r="G78" s="110"/>
      <c r="H78" s="182"/>
      <c r="I78" s="110"/>
      <c r="J78" s="110"/>
      <c r="K78" s="110"/>
      <c r="L78" s="148"/>
    </row>
    <row r="79" spans="1:12" x14ac:dyDescent="0.3">
      <c r="A79" s="195" t="s">
        <v>148</v>
      </c>
      <c r="B79" s="196">
        <v>0.3</v>
      </c>
      <c r="C79" s="163"/>
      <c r="D79" s="163"/>
      <c r="E79" s="163"/>
      <c r="F79" s="163"/>
      <c r="G79" s="163"/>
      <c r="H79" s="175"/>
      <c r="I79" s="197" t="s">
        <v>149</v>
      </c>
      <c r="J79" s="196">
        <f>B79</f>
        <v>0.3</v>
      </c>
      <c r="K79" s="163"/>
      <c r="L79" s="164"/>
    </row>
    <row r="80" spans="1:12" x14ac:dyDescent="0.3">
      <c r="A80" s="198" t="s">
        <v>150</v>
      </c>
      <c r="B80" s="44">
        <v>0.7</v>
      </c>
      <c r="I80" s="36" t="s">
        <v>151</v>
      </c>
      <c r="J80" s="44">
        <f>B80</f>
        <v>0.7</v>
      </c>
      <c r="L80" s="146"/>
    </row>
    <row r="81" spans="1:12" x14ac:dyDescent="0.3">
      <c r="A81" s="137"/>
      <c r="L81" s="146"/>
    </row>
    <row r="82" spans="1:12" x14ac:dyDescent="0.3">
      <c r="A82" s="135" t="s">
        <v>152</v>
      </c>
      <c r="B82" s="30" t="s">
        <v>129</v>
      </c>
      <c r="C82" s="30" t="s">
        <v>133</v>
      </c>
      <c r="D82" s="30" t="s">
        <v>134</v>
      </c>
      <c r="I82" s="15" t="s">
        <v>152</v>
      </c>
      <c r="J82" s="30" t="s">
        <v>129</v>
      </c>
      <c r="K82" s="30" t="s">
        <v>133</v>
      </c>
      <c r="L82" s="172" t="s">
        <v>134</v>
      </c>
    </row>
    <row r="83" spans="1:12" s="30" customFormat="1" x14ac:dyDescent="0.3">
      <c r="A83" s="170" t="s">
        <v>153</v>
      </c>
      <c r="B83" s="173">
        <v>928505242.66999996</v>
      </c>
      <c r="C83" s="173">
        <f>B83</f>
        <v>928505242.66999996</v>
      </c>
      <c r="D83" s="173">
        <f>C83</f>
        <v>928505242.66999996</v>
      </c>
      <c r="E83" s="173"/>
      <c r="F83" s="282"/>
      <c r="G83" s="173"/>
      <c r="H83" s="199"/>
      <c r="I83" s="173" t="s">
        <v>153</v>
      </c>
      <c r="J83" s="173">
        <f>B83</f>
        <v>928505242.66999996</v>
      </c>
      <c r="K83" s="173">
        <f>B83</f>
        <v>928505242.66999996</v>
      </c>
      <c r="L83" s="200">
        <f>B83</f>
        <v>928505242.66999996</v>
      </c>
    </row>
    <row r="84" spans="1:12" s="33" customFormat="1" x14ac:dyDescent="0.3">
      <c r="A84" s="177">
        <v>2024</v>
      </c>
      <c r="B84" s="201"/>
      <c r="C84" s="201"/>
      <c r="D84" s="201"/>
      <c r="E84" s="201"/>
      <c r="F84" s="201"/>
      <c r="G84" s="201"/>
      <c r="H84" s="199"/>
      <c r="I84" s="202">
        <v>2024</v>
      </c>
      <c r="J84" s="201"/>
      <c r="K84" s="201"/>
      <c r="L84" s="203"/>
    </row>
    <row r="85" spans="1:12" s="30" customFormat="1" x14ac:dyDescent="0.3">
      <c r="A85" s="171">
        <v>2025</v>
      </c>
      <c r="B85" s="173">
        <f>((B83)*((1+B54)*$B$79))+((B83)*((1+B67)*$B$80))</f>
        <v>923112634.50370896</v>
      </c>
      <c r="C85" s="173">
        <f t="shared" ref="C85:D85" si="24">((C83)*((1+C54)*$B$79))+((C83)*((1+C67)*$B$80))</f>
        <v>951347670.29343629</v>
      </c>
      <c r="D85" s="173">
        <f t="shared" si="24"/>
        <v>951566738.86284566</v>
      </c>
      <c r="E85" s="173"/>
      <c r="F85" s="173"/>
      <c r="G85" s="173"/>
      <c r="H85" s="199"/>
      <c r="I85" s="204">
        <v>2025</v>
      </c>
      <c r="J85" s="173">
        <f>B85</f>
        <v>923112634.50370896</v>
      </c>
      <c r="K85" s="173">
        <f t="shared" ref="K85:L85" si="25">C85</f>
        <v>951347670.29343629</v>
      </c>
      <c r="L85" s="200">
        <f t="shared" si="25"/>
        <v>951566738.86284566</v>
      </c>
    </row>
    <row r="86" spans="1:12" s="30" customFormat="1" x14ac:dyDescent="0.3">
      <c r="A86" s="171">
        <v>2026</v>
      </c>
      <c r="B86" s="173">
        <f>((B85)*((1+B55)*$B$79))+((B85)*((1+B68)*$B$80))</f>
        <v>884541090.78683233</v>
      </c>
      <c r="C86" s="173">
        <f t="shared" ref="C86:D95" si="26">((C85)*((1+C55)*$B$79))+((C85)*((1+C68)*$B$80))</f>
        <v>911596347.55869746</v>
      </c>
      <c r="D86" s="173">
        <f t="shared" si="26"/>
        <v>973978933.81967425</v>
      </c>
      <c r="E86" s="173"/>
      <c r="F86" s="45"/>
      <c r="G86" s="173"/>
      <c r="H86" s="199"/>
      <c r="I86" s="204">
        <v>2026</v>
      </c>
      <c r="J86" s="173">
        <f t="shared" ref="J86:J95" si="27">B86</f>
        <v>884541090.78683233</v>
      </c>
      <c r="K86" s="173">
        <f t="shared" ref="K86:K95" si="28">C86</f>
        <v>911596347.55869746</v>
      </c>
      <c r="L86" s="200">
        <f t="shared" ref="L86:L95" si="29">D86</f>
        <v>973978933.81967425</v>
      </c>
    </row>
    <row r="87" spans="1:12" s="30" customFormat="1" x14ac:dyDescent="0.3">
      <c r="A87" s="171">
        <v>2027</v>
      </c>
      <c r="B87" s="173">
        <f t="shared" ref="B87:B95" si="30">((B86)*((1+B56)*$B$79))+((B86)*((1+B69)*$B$80))</f>
        <v>892078970.50806594</v>
      </c>
      <c r="C87" s="173">
        <f t="shared" si="26"/>
        <v>919364786.68920863</v>
      </c>
      <c r="D87" s="173">
        <f t="shared" si="26"/>
        <v>983255754.5966363</v>
      </c>
      <c r="E87" s="173"/>
      <c r="F87" s="173"/>
      <c r="G87" s="173"/>
      <c r="H87" s="199"/>
      <c r="I87" s="204">
        <v>2027</v>
      </c>
      <c r="J87" s="173">
        <f t="shared" si="27"/>
        <v>892078970.50806594</v>
      </c>
      <c r="K87" s="173">
        <f t="shared" si="28"/>
        <v>919364786.68920863</v>
      </c>
      <c r="L87" s="200">
        <f t="shared" si="29"/>
        <v>983255754.5966363</v>
      </c>
    </row>
    <row r="88" spans="1:12" s="30" customFormat="1" x14ac:dyDescent="0.3">
      <c r="A88" s="171">
        <v>2028</v>
      </c>
      <c r="B88" s="173">
        <f t="shared" si="30"/>
        <v>909340969.53790712</v>
      </c>
      <c r="C88" s="173">
        <f t="shared" si="26"/>
        <v>937154774.54965627</v>
      </c>
      <c r="D88" s="173">
        <f t="shared" si="26"/>
        <v>1005317816.5792062</v>
      </c>
      <c r="E88" s="173"/>
      <c r="F88" s="45"/>
      <c r="G88" s="173"/>
      <c r="H88" s="199"/>
      <c r="I88" s="204">
        <v>2028</v>
      </c>
      <c r="J88" s="173">
        <f t="shared" si="27"/>
        <v>909340969.53790712</v>
      </c>
      <c r="K88" s="173">
        <f t="shared" si="28"/>
        <v>937154774.54965627</v>
      </c>
      <c r="L88" s="200">
        <f t="shared" si="29"/>
        <v>1005317816.5792062</v>
      </c>
    </row>
    <row r="89" spans="1:12" s="30" customFormat="1" x14ac:dyDescent="0.3">
      <c r="A89" s="171">
        <v>2029</v>
      </c>
      <c r="B89" s="173">
        <f t="shared" si="30"/>
        <v>924449252.54609001</v>
      </c>
      <c r="C89" s="173">
        <f t="shared" si="26"/>
        <v>952725171.16728699</v>
      </c>
      <c r="D89" s="173">
        <f t="shared" si="26"/>
        <v>1023471447.8345382</v>
      </c>
      <c r="E89" s="173"/>
      <c r="F89" s="173"/>
      <c r="G89" s="173"/>
      <c r="H89" s="199"/>
      <c r="I89" s="204">
        <v>2029</v>
      </c>
      <c r="J89" s="173">
        <f t="shared" si="27"/>
        <v>924449252.54609001</v>
      </c>
      <c r="K89" s="173">
        <f t="shared" si="28"/>
        <v>952725171.16728699</v>
      </c>
      <c r="L89" s="200">
        <f t="shared" si="29"/>
        <v>1023471447.8345382</v>
      </c>
    </row>
    <row r="90" spans="1:12" s="30" customFormat="1" x14ac:dyDescent="0.3">
      <c r="A90" s="171">
        <v>2030</v>
      </c>
      <c r="B90" s="173">
        <f t="shared" si="30"/>
        <v>939003789.54829395</v>
      </c>
      <c r="C90" s="173">
        <f t="shared" si="26"/>
        <v>967724884.47604322</v>
      </c>
      <c r="D90" s="173">
        <f t="shared" si="26"/>
        <v>1037571381.9231397</v>
      </c>
      <c r="E90" s="173"/>
      <c r="F90" s="173"/>
      <c r="G90" s="173"/>
      <c r="H90" s="199"/>
      <c r="I90" s="204">
        <v>2030</v>
      </c>
      <c r="J90" s="173">
        <f t="shared" si="27"/>
        <v>939003789.54829395</v>
      </c>
      <c r="K90" s="173">
        <f t="shared" si="28"/>
        <v>967724884.47604322</v>
      </c>
      <c r="L90" s="200">
        <f t="shared" si="29"/>
        <v>1037571381.9231397</v>
      </c>
    </row>
    <row r="91" spans="1:12" s="30" customFormat="1" x14ac:dyDescent="0.3">
      <c r="A91" s="171">
        <v>2031</v>
      </c>
      <c r="B91" s="173">
        <f t="shared" si="30"/>
        <v>965056370.08729267</v>
      </c>
      <c r="C91" s="173">
        <f t="shared" si="26"/>
        <v>994574329.3590436</v>
      </c>
      <c r="D91" s="173">
        <f t="shared" si="26"/>
        <v>1067431395.9473979</v>
      </c>
      <c r="E91" s="173"/>
      <c r="F91" s="173"/>
      <c r="G91" s="173"/>
      <c r="H91" s="199"/>
      <c r="I91" s="204">
        <v>2031</v>
      </c>
      <c r="J91" s="173">
        <f t="shared" si="27"/>
        <v>965056370.08729267</v>
      </c>
      <c r="K91" s="173">
        <f t="shared" si="28"/>
        <v>994574329.3590436</v>
      </c>
      <c r="L91" s="200">
        <f t="shared" si="29"/>
        <v>1067431395.9473979</v>
      </c>
    </row>
    <row r="92" spans="1:12" s="30" customFormat="1" x14ac:dyDescent="0.3">
      <c r="A92" s="171">
        <v>2032</v>
      </c>
      <c r="B92" s="173">
        <f t="shared" si="30"/>
        <v>974379143.90043545</v>
      </c>
      <c r="C92" s="173">
        <f t="shared" si="26"/>
        <v>1004182256.7303057</v>
      </c>
      <c r="D92" s="173">
        <f t="shared" si="26"/>
        <v>1079890460.9211104</v>
      </c>
      <c r="E92" s="173"/>
      <c r="F92" s="173"/>
      <c r="G92" s="173"/>
      <c r="H92" s="199"/>
      <c r="I92" s="204">
        <v>2032</v>
      </c>
      <c r="J92" s="173">
        <f t="shared" si="27"/>
        <v>974379143.90043545</v>
      </c>
      <c r="K92" s="173">
        <f t="shared" si="28"/>
        <v>1004182256.7303057</v>
      </c>
      <c r="L92" s="200">
        <f t="shared" si="29"/>
        <v>1079890460.9211104</v>
      </c>
    </row>
    <row r="93" spans="1:12" s="30" customFormat="1" x14ac:dyDescent="0.3">
      <c r="A93" s="171">
        <v>2033</v>
      </c>
      <c r="B93" s="173">
        <f t="shared" si="30"/>
        <v>999618603.42938364</v>
      </c>
      <c r="C93" s="173">
        <f t="shared" si="26"/>
        <v>1030193709.8562177</v>
      </c>
      <c r="D93" s="173">
        <f t="shared" si="26"/>
        <v>1107654276.2934301</v>
      </c>
      <c r="E93" s="173"/>
      <c r="F93" s="173"/>
      <c r="G93" s="173"/>
      <c r="H93" s="199"/>
      <c r="I93" s="204">
        <v>2033</v>
      </c>
      <c r="J93" s="173">
        <f t="shared" si="27"/>
        <v>999618603.42938364</v>
      </c>
      <c r="K93" s="173">
        <f t="shared" si="28"/>
        <v>1030193709.8562177</v>
      </c>
      <c r="L93" s="200">
        <f t="shared" si="29"/>
        <v>1107654276.2934301</v>
      </c>
    </row>
    <row r="94" spans="1:12" s="30" customFormat="1" x14ac:dyDescent="0.3">
      <c r="A94" s="171">
        <v>2034</v>
      </c>
      <c r="B94" s="173">
        <f t="shared" si="30"/>
        <v>1021704134.608902</v>
      </c>
      <c r="C94" s="173">
        <f t="shared" si="26"/>
        <v>1052954766.1450031</v>
      </c>
      <c r="D94" s="173">
        <f t="shared" si="26"/>
        <v>1129141976.3128269</v>
      </c>
      <c r="E94" s="173"/>
      <c r="F94" s="173"/>
      <c r="G94" s="173"/>
      <c r="H94" s="199"/>
      <c r="I94" s="204">
        <v>2034</v>
      </c>
      <c r="J94" s="173">
        <f t="shared" si="27"/>
        <v>1021704134.608902</v>
      </c>
      <c r="K94" s="173">
        <f t="shared" si="28"/>
        <v>1052954766.1450031</v>
      </c>
      <c r="L94" s="200">
        <f t="shared" si="29"/>
        <v>1129141976.3128269</v>
      </c>
    </row>
    <row r="95" spans="1:12" s="30" customFormat="1" x14ac:dyDescent="0.3">
      <c r="A95" s="171">
        <v>2035</v>
      </c>
      <c r="B95" s="173">
        <f t="shared" si="30"/>
        <v>1044572441.6403325</v>
      </c>
      <c r="C95" s="173">
        <f t="shared" si="26"/>
        <v>1076522540.8723016</v>
      </c>
      <c r="D95" s="173">
        <f t="shared" si="26"/>
        <v>1154070399.9288054</v>
      </c>
      <c r="E95" s="173"/>
      <c r="F95" s="173"/>
      <c r="G95" s="173"/>
      <c r="H95" s="199"/>
      <c r="I95" s="204">
        <v>2035</v>
      </c>
      <c r="J95" s="173">
        <f t="shared" si="27"/>
        <v>1044572441.6403325</v>
      </c>
      <c r="K95" s="173">
        <f t="shared" si="28"/>
        <v>1076522540.8723016</v>
      </c>
      <c r="L95" s="200">
        <f t="shared" si="29"/>
        <v>1154070399.9288054</v>
      </c>
    </row>
    <row r="96" spans="1:12" ht="15" thickBot="1" x14ac:dyDescent="0.35">
      <c r="A96" s="205"/>
      <c r="B96" s="206"/>
      <c r="C96" s="206"/>
      <c r="D96" s="206"/>
      <c r="E96" s="206"/>
      <c r="F96" s="206"/>
      <c r="G96" s="206"/>
      <c r="H96" s="207"/>
      <c r="I96" s="208"/>
      <c r="J96" s="206"/>
      <c r="K96" s="206"/>
      <c r="L96" s="209"/>
    </row>
    <row r="97" spans="1:15" s="30" customFormat="1" x14ac:dyDescent="0.3">
      <c r="A97" s="210" t="s">
        <v>154</v>
      </c>
      <c r="B97" s="211" t="s">
        <v>129</v>
      </c>
      <c r="C97" s="211" t="s">
        <v>133</v>
      </c>
      <c r="D97" s="211" t="s">
        <v>134</v>
      </c>
      <c r="E97" s="211"/>
      <c r="F97" s="211"/>
      <c r="G97" s="211"/>
      <c r="H97" s="212"/>
      <c r="I97" s="152" t="s">
        <v>154</v>
      </c>
      <c r="J97" s="211" t="s">
        <v>129</v>
      </c>
      <c r="K97" s="211" t="s">
        <v>133</v>
      </c>
      <c r="L97" s="213" t="s">
        <v>134</v>
      </c>
    </row>
    <row r="98" spans="1:15" s="30" customFormat="1" x14ac:dyDescent="0.3">
      <c r="A98" s="171">
        <v>2025</v>
      </c>
      <c r="B98" s="38">
        <f>B85/('Load Forecast'!$F6)</f>
        <v>170.87614876262282</v>
      </c>
      <c r="C98" s="38">
        <f>AVERAGE(B98,D98)</f>
        <v>173.50969941919737</v>
      </c>
      <c r="D98" s="38">
        <f>D85/('Load Forecast'!$F6)</f>
        <v>176.14325007577196</v>
      </c>
      <c r="E98" s="173"/>
      <c r="F98" s="173"/>
      <c r="G98" s="173"/>
      <c r="H98" s="199"/>
      <c r="I98" s="204">
        <v>2025</v>
      </c>
      <c r="J98" s="38">
        <f>B98</f>
        <v>170.87614876262282</v>
      </c>
      <c r="K98" s="38">
        <f t="shared" ref="K98:L108" si="31">C98</f>
        <v>173.50969941919737</v>
      </c>
      <c r="L98" s="155">
        <f t="shared" si="31"/>
        <v>176.14325007577196</v>
      </c>
    </row>
    <row r="99" spans="1:15" s="30" customFormat="1" x14ac:dyDescent="0.3">
      <c r="A99" s="171">
        <v>2026</v>
      </c>
      <c r="B99" s="38">
        <f>B86/('Load Forecast'!$F7)</f>
        <v>163.30321469566852</v>
      </c>
      <c r="C99" s="38">
        <f t="shared" ref="C99:C108" si="32">AVERAGE(B99,D99)</f>
        <v>171.55918348832097</v>
      </c>
      <c r="D99" s="38">
        <f>D86/('Load Forecast'!$F7)</f>
        <v>179.81515228097339</v>
      </c>
      <c r="E99" s="173"/>
      <c r="F99" s="173"/>
      <c r="G99" s="173"/>
      <c r="H99" s="199"/>
      <c r="I99" s="204">
        <v>2026</v>
      </c>
      <c r="J99" s="38">
        <f t="shared" ref="J99:J108" si="33">B99</f>
        <v>163.30321469566852</v>
      </c>
      <c r="K99" s="38">
        <f t="shared" si="31"/>
        <v>171.55918348832097</v>
      </c>
      <c r="L99" s="155">
        <f t="shared" si="31"/>
        <v>179.81515228097339</v>
      </c>
    </row>
    <row r="100" spans="1:15" s="30" customFormat="1" x14ac:dyDescent="0.3">
      <c r="A100" s="171">
        <v>2027</v>
      </c>
      <c r="B100" s="38">
        <f>B87/('Load Forecast'!$F8)</f>
        <v>164.34286452381406</v>
      </c>
      <c r="C100" s="38">
        <f t="shared" si="32"/>
        <v>172.74136643371278</v>
      </c>
      <c r="D100" s="38">
        <f>D87/('Load Forecast'!$F8)</f>
        <v>181.13986834361151</v>
      </c>
      <c r="E100" s="173"/>
      <c r="F100" s="173"/>
      <c r="G100" s="173"/>
      <c r="H100" s="199"/>
      <c r="I100" s="204">
        <v>2027</v>
      </c>
      <c r="J100" s="38">
        <f t="shared" si="33"/>
        <v>164.34286452381406</v>
      </c>
      <c r="K100" s="38">
        <f t="shared" si="31"/>
        <v>172.74136643371278</v>
      </c>
      <c r="L100" s="155">
        <f t="shared" si="31"/>
        <v>181.13986834361151</v>
      </c>
    </row>
    <row r="101" spans="1:15" s="30" customFormat="1" x14ac:dyDescent="0.3">
      <c r="A101" s="171">
        <v>2028</v>
      </c>
      <c r="B101" s="38">
        <f>B88/('Load Forecast'!$F9)</f>
        <v>165.92248760747319</v>
      </c>
      <c r="C101" s="38">
        <f t="shared" si="32"/>
        <v>174.67867354172546</v>
      </c>
      <c r="D101" s="38">
        <f>D88/('Load Forecast'!$F9)</f>
        <v>183.43485947597773</v>
      </c>
      <c r="E101" s="173"/>
      <c r="F101" s="173"/>
      <c r="G101" s="173"/>
      <c r="H101" s="199"/>
      <c r="I101" s="204">
        <v>2028</v>
      </c>
      <c r="J101" s="38">
        <f t="shared" si="33"/>
        <v>165.92248760747319</v>
      </c>
      <c r="K101" s="38">
        <f t="shared" si="31"/>
        <v>174.67867354172546</v>
      </c>
      <c r="L101" s="155">
        <f t="shared" si="31"/>
        <v>183.43485947597773</v>
      </c>
    </row>
    <row r="102" spans="1:15" s="30" customFormat="1" x14ac:dyDescent="0.3">
      <c r="A102" s="171">
        <v>2029</v>
      </c>
      <c r="B102" s="38">
        <f>B89/('Load Forecast'!$F10)</f>
        <v>167.47269151912118</v>
      </c>
      <c r="C102" s="38">
        <f t="shared" si="32"/>
        <v>176.44209331127723</v>
      </c>
      <c r="D102" s="38">
        <f>D89/('Load Forecast'!$F10)</f>
        <v>185.41149510343331</v>
      </c>
      <c r="E102" s="173"/>
      <c r="F102" s="173"/>
      <c r="G102" s="173"/>
      <c r="H102" s="199"/>
      <c r="I102" s="204">
        <v>2029</v>
      </c>
      <c r="J102" s="38">
        <f t="shared" si="33"/>
        <v>167.47269151912118</v>
      </c>
      <c r="K102" s="38">
        <f t="shared" si="31"/>
        <v>176.44209331127723</v>
      </c>
      <c r="L102" s="155">
        <f t="shared" si="31"/>
        <v>185.41149510343331</v>
      </c>
    </row>
    <row r="103" spans="1:15" s="30" customFormat="1" x14ac:dyDescent="0.3">
      <c r="A103" s="171">
        <v>2030</v>
      </c>
      <c r="B103" s="38">
        <f>B90/('Load Forecast'!$F11)</f>
        <v>168.49324658307131</v>
      </c>
      <c r="C103" s="38">
        <f t="shared" si="32"/>
        <v>177.33664734032692</v>
      </c>
      <c r="D103" s="38">
        <f>D90/('Load Forecast'!$F11)</f>
        <v>186.18004809758253</v>
      </c>
      <c r="E103" s="173"/>
      <c r="F103" s="173"/>
      <c r="G103" s="173"/>
      <c r="H103" s="199"/>
      <c r="I103" s="204">
        <v>2030</v>
      </c>
      <c r="J103" s="38">
        <f t="shared" si="33"/>
        <v>168.49324658307131</v>
      </c>
      <c r="K103" s="38">
        <f t="shared" si="31"/>
        <v>177.33664734032692</v>
      </c>
      <c r="L103" s="155">
        <f t="shared" si="31"/>
        <v>186.18004809758253</v>
      </c>
    </row>
    <row r="104" spans="1:15" s="30" customFormat="1" x14ac:dyDescent="0.3">
      <c r="A104" s="171">
        <v>2031</v>
      </c>
      <c r="B104" s="38">
        <f>B91/('Load Forecast'!$F12)</f>
        <v>171.01978651317503</v>
      </c>
      <c r="C104" s="38">
        <f t="shared" si="32"/>
        <v>180.09083956746051</v>
      </c>
      <c r="D104" s="38">
        <f>D91/('Load Forecast'!$F12)</f>
        <v>189.16189262174598</v>
      </c>
      <c r="E104" s="173"/>
      <c r="F104" s="173"/>
      <c r="G104" s="173"/>
      <c r="H104" s="199"/>
      <c r="I104" s="204">
        <v>2031</v>
      </c>
      <c r="J104" s="38">
        <f t="shared" si="33"/>
        <v>171.01978651317503</v>
      </c>
      <c r="K104" s="38">
        <f t="shared" si="31"/>
        <v>180.09083956746051</v>
      </c>
      <c r="L104" s="155">
        <f t="shared" si="31"/>
        <v>189.16189262174598</v>
      </c>
    </row>
    <row r="105" spans="1:15" s="30" customFormat="1" x14ac:dyDescent="0.3">
      <c r="A105" s="171">
        <v>2032</v>
      </c>
      <c r="B105" s="38">
        <f>B92/('Load Forecast'!$F13)</f>
        <v>169.95947791544259</v>
      </c>
      <c r="C105" s="38">
        <f t="shared" si="32"/>
        <v>179.16156750616409</v>
      </c>
      <c r="D105" s="38">
        <f>D92/('Load Forecast'!$F13)</f>
        <v>188.36365709688562</v>
      </c>
      <c r="E105" s="173"/>
      <c r="F105" s="173"/>
      <c r="G105" s="173"/>
      <c r="H105" s="199"/>
      <c r="I105" s="204">
        <v>2032</v>
      </c>
      <c r="J105" s="38">
        <f t="shared" si="33"/>
        <v>169.95947791544259</v>
      </c>
      <c r="K105" s="38">
        <f t="shared" si="31"/>
        <v>179.16156750616409</v>
      </c>
      <c r="L105" s="155">
        <f t="shared" si="31"/>
        <v>188.36365709688562</v>
      </c>
    </row>
    <row r="106" spans="1:15" s="30" customFormat="1" x14ac:dyDescent="0.3">
      <c r="A106" s="171">
        <v>2033</v>
      </c>
      <c r="B106" s="38">
        <f>B93/('Load Forecast'!$F14)</f>
        <v>171.75867895253862</v>
      </c>
      <c r="C106" s="38">
        <f t="shared" si="32"/>
        <v>181.04025113777863</v>
      </c>
      <c r="D106" s="38">
        <f>D93/('Load Forecast'!$F14)</f>
        <v>190.32182332301861</v>
      </c>
      <c r="E106" s="173"/>
      <c r="F106" s="173"/>
      <c r="G106" s="173"/>
      <c r="H106" s="199"/>
      <c r="I106" s="204">
        <v>2033</v>
      </c>
      <c r="J106" s="38">
        <f t="shared" si="33"/>
        <v>171.75867895253862</v>
      </c>
      <c r="K106" s="38">
        <f t="shared" si="31"/>
        <v>181.04025113777863</v>
      </c>
      <c r="L106" s="155">
        <f t="shared" si="31"/>
        <v>190.32182332301861</v>
      </c>
    </row>
    <row r="107" spans="1:15" s="30" customFormat="1" x14ac:dyDescent="0.3">
      <c r="A107" s="171">
        <v>2034</v>
      </c>
      <c r="B107" s="38">
        <f>B94/('Load Forecast'!$F15)</f>
        <v>172.73881987623119</v>
      </c>
      <c r="C107" s="38">
        <f t="shared" si="32"/>
        <v>181.82104111686922</v>
      </c>
      <c r="D107" s="38">
        <f>D94/('Load Forecast'!$F15)</f>
        <v>190.90326235750726</v>
      </c>
      <c r="E107" s="173"/>
      <c r="F107" s="173"/>
      <c r="G107" s="173"/>
      <c r="H107" s="199"/>
      <c r="I107" s="204">
        <v>2034</v>
      </c>
      <c r="J107" s="38">
        <f t="shared" si="33"/>
        <v>172.73881987623119</v>
      </c>
      <c r="K107" s="38">
        <f t="shared" si="31"/>
        <v>181.82104111686922</v>
      </c>
      <c r="L107" s="155">
        <f t="shared" si="31"/>
        <v>190.90326235750726</v>
      </c>
    </row>
    <row r="108" spans="1:15" s="30" customFormat="1" x14ac:dyDescent="0.3">
      <c r="A108" s="171">
        <v>2035</v>
      </c>
      <c r="B108" s="38">
        <f>B95/('Load Forecast'!$F16)</f>
        <v>173.63689021316387</v>
      </c>
      <c r="C108" s="38">
        <f t="shared" si="32"/>
        <v>182.73768791946964</v>
      </c>
      <c r="D108" s="38">
        <f>D95/('Load Forecast'!$F16)</f>
        <v>191.83848562577543</v>
      </c>
      <c r="E108" s="173"/>
      <c r="F108" s="173"/>
      <c r="G108" s="173"/>
      <c r="H108" s="199"/>
      <c r="I108" s="204">
        <v>2035</v>
      </c>
      <c r="J108" s="38">
        <f t="shared" si="33"/>
        <v>173.63689021316387</v>
      </c>
      <c r="K108" s="38">
        <f t="shared" si="31"/>
        <v>182.73768791946964</v>
      </c>
      <c r="L108" s="155">
        <f t="shared" si="31"/>
        <v>191.83848562577543</v>
      </c>
    </row>
    <row r="109" spans="1:15" ht="15" thickBot="1" x14ac:dyDescent="0.35">
      <c r="A109" s="141"/>
      <c r="B109" s="110"/>
      <c r="C109" s="110"/>
      <c r="D109" s="110"/>
      <c r="E109" s="110"/>
      <c r="F109" s="110"/>
      <c r="G109" s="110"/>
      <c r="H109" s="182"/>
      <c r="I109" s="110"/>
      <c r="J109" s="110"/>
      <c r="K109" s="110"/>
      <c r="L109" s="148"/>
    </row>
    <row r="110" spans="1:15" x14ac:dyDescent="0.3">
      <c r="A110" s="132" t="s">
        <v>155</v>
      </c>
      <c r="B110" s="174" t="s">
        <v>129</v>
      </c>
      <c r="C110" s="174" t="s">
        <v>133</v>
      </c>
      <c r="D110" s="174" t="s">
        <v>134</v>
      </c>
      <c r="E110" s="163"/>
      <c r="F110" s="163"/>
      <c r="G110" s="163"/>
      <c r="H110" s="175"/>
      <c r="I110" s="169" t="s">
        <v>155</v>
      </c>
      <c r="J110" s="174" t="s">
        <v>129</v>
      </c>
      <c r="K110" s="174" t="s">
        <v>133</v>
      </c>
      <c r="L110" s="176" t="s">
        <v>134</v>
      </c>
    </row>
    <row r="111" spans="1:15" s="30" customFormat="1" x14ac:dyDescent="0.3">
      <c r="A111" s="177">
        <v>2024</v>
      </c>
      <c r="B111" s="33"/>
      <c r="C111" s="33"/>
      <c r="D111" s="33"/>
      <c r="E111" s="33"/>
      <c r="F111" s="33"/>
      <c r="G111" s="33"/>
      <c r="H111" s="179"/>
      <c r="I111" s="180">
        <v>2024</v>
      </c>
      <c r="J111" s="33"/>
      <c r="K111" s="33"/>
      <c r="L111" s="183"/>
      <c r="M111" s="33"/>
      <c r="N111" s="33"/>
      <c r="O111" s="33"/>
    </row>
    <row r="112" spans="1:15" s="30" customFormat="1" x14ac:dyDescent="0.3">
      <c r="A112" s="171">
        <v>2025</v>
      </c>
      <c r="B112" s="184">
        <f t="shared" ref="B112:D122" si="34">$G3/B85</f>
        <v>4.4662234747595071E-2</v>
      </c>
      <c r="C112" s="184">
        <f t="shared" si="34"/>
        <v>4.3336704832586621E-2</v>
      </c>
      <c r="D112" s="184">
        <f t="shared" si="34"/>
        <v>4.3326727907644982E-2</v>
      </c>
      <c r="H112" s="179"/>
      <c r="I112" s="10">
        <v>2025</v>
      </c>
      <c r="J112" s="184">
        <f t="shared" ref="J112:L122" si="35">$O3/J85</f>
        <v>5.4810120160276518E-2</v>
      </c>
      <c r="K112" s="184">
        <f t="shared" si="35"/>
        <v>5.3183411279087663E-2</v>
      </c>
      <c r="L112" s="214">
        <f t="shared" si="35"/>
        <v>5.317116745703148E-2</v>
      </c>
    </row>
    <row r="113" spans="1:12" s="30" customFormat="1" x14ac:dyDescent="0.3">
      <c r="A113" s="171">
        <v>2026</v>
      </c>
      <c r="B113" s="184">
        <f t="shared" si="34"/>
        <v>4.7921806888864958E-2</v>
      </c>
      <c r="C113" s="184">
        <f t="shared" si="34"/>
        <v>4.649953617242103E-2</v>
      </c>
      <c r="D113" s="184">
        <f t="shared" si="34"/>
        <v>4.3521277376827282E-2</v>
      </c>
      <c r="H113" s="179"/>
      <c r="I113" s="10">
        <v>2026</v>
      </c>
      <c r="J113" s="184">
        <f t="shared" si="35"/>
        <v>5.942922874569459E-2</v>
      </c>
      <c r="K113" s="184">
        <f t="shared" si="35"/>
        <v>5.7665429397688595E-2</v>
      </c>
      <c r="L113" s="214">
        <f t="shared" si="35"/>
        <v>5.3972003904829223E-2</v>
      </c>
    </row>
    <row r="114" spans="1:12" s="30" customFormat="1" x14ac:dyDescent="0.3">
      <c r="A114" s="171">
        <v>2027</v>
      </c>
      <c r="B114" s="184">
        <f t="shared" si="34"/>
        <v>5.3686155240493826E-2</v>
      </c>
      <c r="C114" s="184">
        <f t="shared" si="34"/>
        <v>5.2092804500316295E-2</v>
      </c>
      <c r="D114" s="184">
        <f t="shared" si="34"/>
        <v>4.870786656837104E-2</v>
      </c>
      <c r="H114" s="179"/>
      <c r="I114" s="10">
        <v>2027</v>
      </c>
      <c r="J114" s="184">
        <f t="shared" si="35"/>
        <v>6.6474591173753789E-2</v>
      </c>
      <c r="K114" s="184">
        <f t="shared" si="35"/>
        <v>6.4501692601016944E-2</v>
      </c>
      <c r="L114" s="214">
        <f t="shared" si="35"/>
        <v>6.0310437627241642E-2</v>
      </c>
    </row>
    <row r="115" spans="1:12" s="30" customFormat="1" x14ac:dyDescent="0.3">
      <c r="A115" s="171">
        <v>2028</v>
      </c>
      <c r="B115" s="184">
        <f t="shared" si="34"/>
        <v>5.3864522215860793E-2</v>
      </c>
      <c r="C115" s="184">
        <f t="shared" si="34"/>
        <v>5.2265877724418146E-2</v>
      </c>
      <c r="D115" s="184">
        <f t="shared" si="34"/>
        <v>4.8722121549715815E-2</v>
      </c>
      <c r="H115" s="179"/>
      <c r="I115" s="10">
        <v>2028</v>
      </c>
      <c r="J115" s="184">
        <f t="shared" si="35"/>
        <v>6.7776189960901775E-2</v>
      </c>
      <c r="K115" s="184">
        <f t="shared" si="35"/>
        <v>6.5764661253791823E-2</v>
      </c>
      <c r="L115" s="214">
        <f t="shared" si="35"/>
        <v>6.1305654067035031E-2</v>
      </c>
    </row>
    <row r="116" spans="1:12" s="30" customFormat="1" x14ac:dyDescent="0.3">
      <c r="A116" s="171">
        <v>2029</v>
      </c>
      <c r="B116" s="184">
        <f t="shared" si="34"/>
        <v>5.2751049265252044E-2</v>
      </c>
      <c r="C116" s="184">
        <f t="shared" si="34"/>
        <v>5.1185451523796846E-2</v>
      </c>
      <c r="D116" s="184">
        <f t="shared" si="34"/>
        <v>4.7647316559209014E-2</v>
      </c>
      <c r="H116" s="179"/>
      <c r="I116" s="10">
        <v>2029</v>
      </c>
      <c r="J116" s="184">
        <f t="shared" si="35"/>
        <v>6.9748715998806401E-2</v>
      </c>
      <c r="K116" s="184">
        <f t="shared" si="35"/>
        <v>6.7678644715711347E-2</v>
      </c>
      <c r="L116" s="214">
        <f t="shared" si="35"/>
        <v>6.3000436902828236E-2</v>
      </c>
    </row>
    <row r="117" spans="1:12" s="30" customFormat="1" x14ac:dyDescent="0.3">
      <c r="A117" s="171">
        <v>2030</v>
      </c>
      <c r="B117" s="184">
        <f t="shared" si="34"/>
        <v>7.2287930154593658E-2</v>
      </c>
      <c r="C117" s="184">
        <f t="shared" si="34"/>
        <v>7.0142497565842246E-2</v>
      </c>
      <c r="D117" s="184">
        <f t="shared" si="34"/>
        <v>6.5420694456657713E-2</v>
      </c>
      <c r="H117" s="179"/>
      <c r="I117" s="10">
        <v>2030</v>
      </c>
      <c r="J117" s="184">
        <f t="shared" si="35"/>
        <v>9.2110348802530273E-2</v>
      </c>
      <c r="K117" s="184">
        <f t="shared" si="35"/>
        <v>8.9376606894862029E-2</v>
      </c>
      <c r="L117" s="214">
        <f t="shared" si="35"/>
        <v>8.3360015599002094E-2</v>
      </c>
    </row>
    <row r="118" spans="1:12" s="30" customFormat="1" x14ac:dyDescent="0.3">
      <c r="A118" s="171">
        <v>2031</v>
      </c>
      <c r="B118" s="184">
        <f t="shared" si="34"/>
        <v>6.5884486390707112E-2</v>
      </c>
      <c r="C118" s="184">
        <f t="shared" si="34"/>
        <v>6.3929101530558502E-2</v>
      </c>
      <c r="D118" s="184">
        <f t="shared" si="34"/>
        <v>5.9565648455420464E-2</v>
      </c>
      <c r="H118" s="179"/>
      <c r="I118" s="10">
        <v>2031</v>
      </c>
      <c r="J118" s="184">
        <f t="shared" si="35"/>
        <v>8.635762100606019E-2</v>
      </c>
      <c r="K118" s="184">
        <f t="shared" si="35"/>
        <v>8.3794614235812095E-2</v>
      </c>
      <c r="L118" s="214">
        <f t="shared" si="35"/>
        <v>7.8075249214038953E-2</v>
      </c>
    </row>
    <row r="119" spans="1:12" s="30" customFormat="1" x14ac:dyDescent="0.3">
      <c r="A119" s="171">
        <v>2032</v>
      </c>
      <c r="B119" s="184">
        <f t="shared" si="34"/>
        <v>7.7828036654464347E-2</v>
      </c>
      <c r="C119" s="184">
        <f t="shared" si="34"/>
        <v>7.5518179313135883E-2</v>
      </c>
      <c r="D119" s="184">
        <f t="shared" si="34"/>
        <v>7.0223803682963187E-2</v>
      </c>
      <c r="H119" s="179"/>
      <c r="I119" s="10">
        <v>2032</v>
      </c>
      <c r="J119" s="184">
        <f t="shared" si="35"/>
        <v>0.10074454445630791</v>
      </c>
      <c r="K119" s="184">
        <f t="shared" si="35"/>
        <v>9.7754548362170984E-2</v>
      </c>
      <c r="L119" s="214">
        <f t="shared" si="35"/>
        <v>9.0901240942758754E-2</v>
      </c>
    </row>
    <row r="120" spans="1:12" s="30" customFormat="1" x14ac:dyDescent="0.3">
      <c r="A120" s="171">
        <v>2033</v>
      </c>
      <c r="B120" s="184">
        <f t="shared" si="34"/>
        <v>6.8455785247566431E-2</v>
      </c>
      <c r="C120" s="184">
        <f t="shared" si="34"/>
        <v>6.642408684031352E-2</v>
      </c>
      <c r="D120" s="184">
        <f t="shared" si="34"/>
        <v>6.1778912346930143E-2</v>
      </c>
      <c r="H120" s="179"/>
      <c r="I120" s="10">
        <v>2033</v>
      </c>
      <c r="J120" s="184">
        <f t="shared" si="35"/>
        <v>9.1068590995008511E-2</v>
      </c>
      <c r="K120" s="184">
        <f t="shared" si="35"/>
        <v>8.8365767404479281E-2</v>
      </c>
      <c r="L120" s="214">
        <f t="shared" si="35"/>
        <v>8.2186165570850248E-2</v>
      </c>
    </row>
    <row r="121" spans="1:12" s="30" customFormat="1" x14ac:dyDescent="0.3">
      <c r="A121" s="171">
        <v>2034</v>
      </c>
      <c r="B121" s="184">
        <f t="shared" si="34"/>
        <v>6.046964013051466E-2</v>
      </c>
      <c r="C121" s="184">
        <f t="shared" si="34"/>
        <v>5.8674962425832415E-2</v>
      </c>
      <c r="D121" s="184">
        <f t="shared" si="34"/>
        <v>5.471595480083595E-2</v>
      </c>
      <c r="H121" s="179"/>
      <c r="I121" s="10">
        <v>2034</v>
      </c>
      <c r="J121" s="184">
        <f t="shared" si="35"/>
        <v>8.2765197716040698E-2</v>
      </c>
      <c r="K121" s="184">
        <f t="shared" si="35"/>
        <v>8.0308810432372368E-2</v>
      </c>
      <c r="L121" s="214">
        <f t="shared" si="35"/>
        <v>7.4890090424531694E-2</v>
      </c>
    </row>
    <row r="122" spans="1:12" s="30" customFormat="1" x14ac:dyDescent="0.3">
      <c r="A122" s="171">
        <v>2035</v>
      </c>
      <c r="B122" s="184">
        <f t="shared" si="34"/>
        <v>6.2781928382266927E-2</v>
      </c>
      <c r="C122" s="184">
        <f t="shared" si="34"/>
        <v>6.0918624303039348E-2</v>
      </c>
      <c r="D122" s="184">
        <f t="shared" si="34"/>
        <v>5.6825192141830086E-2</v>
      </c>
      <c r="H122" s="179"/>
      <c r="I122" s="10">
        <v>2035</v>
      </c>
      <c r="J122" s="184">
        <f t="shared" si="35"/>
        <v>8.5301127949319155E-2</v>
      </c>
      <c r="K122" s="184">
        <f t="shared" si="35"/>
        <v>8.2769476823490173E-2</v>
      </c>
      <c r="L122" s="214">
        <f t="shared" si="35"/>
        <v>7.7207774761566969E-2</v>
      </c>
    </row>
    <row r="123" spans="1:12" s="30" customFormat="1" ht="15" thickBot="1" x14ac:dyDescent="0.35">
      <c r="A123" s="215"/>
      <c r="B123" s="147"/>
      <c r="C123" s="147"/>
      <c r="D123" s="147"/>
      <c r="E123" s="147"/>
      <c r="F123" s="147"/>
      <c r="G123" s="147"/>
      <c r="H123" s="188"/>
      <c r="I123" s="147"/>
      <c r="J123" s="147"/>
      <c r="K123" s="147"/>
      <c r="L123" s="216"/>
    </row>
    <row r="124" spans="1:12" s="30" customFormat="1" ht="15" thickBot="1" x14ac:dyDescent="0.35">
      <c r="A124" s="217" t="s">
        <v>156</v>
      </c>
      <c r="B124" s="221">
        <f>AVERAGE(B112:B122)</f>
        <v>6.0053961392561805E-2</v>
      </c>
      <c r="C124" s="221">
        <f t="shared" ref="C124:D124" si="36">AVERAGE(C112:C122)</f>
        <v>5.8271620612023713E-2</v>
      </c>
      <c r="D124" s="221">
        <f t="shared" si="36"/>
        <v>5.4586865076945969E-2</v>
      </c>
      <c r="E124" s="218"/>
      <c r="F124" s="218"/>
      <c r="G124" s="218"/>
      <c r="H124" s="219"/>
      <c r="I124" s="220" t="s">
        <v>156</v>
      </c>
      <c r="J124" s="221">
        <f>AVERAGE(J112:J122)</f>
        <v>7.7871479724063622E-2</v>
      </c>
      <c r="K124" s="221">
        <f>AVERAGE(K112:K122)</f>
        <v>7.5560333036407579E-2</v>
      </c>
      <c r="L124" s="222">
        <f t="shared" ref="L124" si="37">AVERAGE(L112:L122)</f>
        <v>7.0761839679246749E-2</v>
      </c>
    </row>
    <row r="128" spans="1:12" x14ac:dyDescent="0.3">
      <c r="C128" s="115"/>
    </row>
  </sheetData>
  <phoneticPr fontId="11" type="noConversion"/>
  <hyperlinks>
    <hyperlink ref="C65" r:id="rId1" xr:uid="{B30FFFA7-5E24-4480-9E69-66B10D40DC44}"/>
  </hyperlinks>
  <pageMargins left="0.7" right="0.7" top="0.75" bottom="0.75" header="0.3" footer="0.3"/>
  <pageSetup orientation="portrait" horizontalDpi="1200" verticalDpi="1200" r:id="rId2"/>
  <drawing r:id="rId3"/>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TaxCatchAll xmlns="18dbc17e-cec9-4211-a89f-0bf74a616302" xsi:nil="true"/>
    <_ip_UnifiedCompliancePolicyProperties xmlns="http://schemas.microsoft.com/sharepoint/v3" xsi:nil="true"/>
    <lcf76f155ced4ddcb4097134ff3c332f xmlns="2819d22d-c924-42b3-954a-d3b43813cc6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8CAE338EA9D064E9C17BF7952C6204F" ma:contentTypeVersion="18" ma:contentTypeDescription="Create a new document." ma:contentTypeScope="" ma:versionID="8f2ff194326f942072399809d3727fb8">
  <xsd:schema xmlns:xsd="http://www.w3.org/2001/XMLSchema" xmlns:xs="http://www.w3.org/2001/XMLSchema" xmlns:p="http://schemas.microsoft.com/office/2006/metadata/properties" xmlns:ns1="http://schemas.microsoft.com/sharepoint/v3" xmlns:ns2="2819d22d-c924-42b3-954a-d3b43813cc67" xmlns:ns3="18dbc17e-cec9-4211-a89f-0bf74a616302" targetNamespace="http://schemas.microsoft.com/office/2006/metadata/properties" ma:root="true" ma:fieldsID="c4cf105b917835d7082fd50f5f6e6811" ns1:_="" ns2:_="" ns3:_="">
    <xsd:import namespace="http://schemas.microsoft.com/sharepoint/v3"/>
    <xsd:import namespace="2819d22d-c924-42b3-954a-d3b43813cc67"/>
    <xsd:import namespace="18dbc17e-cec9-4211-a89f-0bf74a61630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element ref="ns2:MediaServiceLocation"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Unified Compliance Policy Properties" ma:hidden="true" ma:internalName="_ip_UnifiedCompliancePolicyProperties">
      <xsd:simpleType>
        <xsd:restriction base="dms:Note"/>
      </xsd:simpleType>
    </xsd:element>
    <xsd:element name="_ip_UnifiedCompliancePolicyUIAction" ma:index="24"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819d22d-c924-42b3-954a-d3b43813cc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0b405ef0-1b2e-414d-886f-c62305e7680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Location" ma:index="22" nillable="true" ma:displayName="Location"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8dbc17e-cec9-4211-a89f-0bf74a61630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29ce464a-492c-41bd-8c04-ef1f2b52060e}" ma:internalName="TaxCatchAll" ma:showField="CatchAllData" ma:web="18dbc17e-cec9-4211-a89f-0bf74a61630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3A0C8E6-AAC2-4EDB-BC87-0A98A4CED917}">
  <ds:schemaRefs>
    <ds:schemaRef ds:uri="http://purl.org/dc/terms/"/>
    <ds:schemaRef ds:uri="2819d22d-c924-42b3-954a-d3b43813cc67"/>
    <ds:schemaRef ds:uri="http://schemas.microsoft.com/office/2006/documentManagement/types"/>
    <ds:schemaRef ds:uri="18dbc17e-cec9-4211-a89f-0bf74a616302"/>
    <ds:schemaRef ds:uri="http://schemas.microsoft.com/sharepoint/v3"/>
    <ds:schemaRef ds:uri="http://purl.org/dc/elements/1.1/"/>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F830B879-8ADB-4A0C-BDF1-0BF1BF6C433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819d22d-c924-42b3-954a-d3b43813cc67"/>
    <ds:schemaRef ds:uri="18dbc17e-cec9-4211-a89f-0bf74a61630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16BA2D2-AB9A-42B7-A0A9-F38DB1D9BA4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Statute</vt:lpstr>
      <vt:lpstr>Request for Input</vt:lpstr>
      <vt:lpstr>Load Forecast</vt:lpstr>
      <vt:lpstr>Requirements</vt:lpstr>
      <vt:lpstr>REC prices</vt:lpstr>
      <vt:lpstr>Tier III</vt:lpstr>
      <vt:lpstr>Tier III Planning Tool</vt:lpstr>
      <vt:lpstr>Summary</vt:lpstr>
      <vt:lpstr>Rate Impact</vt:lpstr>
      <vt:lpstr>Emissions &amp; Energy Impact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Jacobs, Adam</dc:creator>
  <cp:keywords/>
  <dc:description/>
  <cp:lastModifiedBy>Jacobs, Adam</cp:lastModifiedBy>
  <cp:revision/>
  <dcterms:created xsi:type="dcterms:W3CDTF">2024-09-09T13:28:19Z</dcterms:created>
  <dcterms:modified xsi:type="dcterms:W3CDTF">2024-10-10T15:16:10Z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0x010100D8CAE338EA9D064E9C17BF7952C6204F</vt:lpwstr>
  </property>
  <property fmtid="{D5CDD505-2E9C-101B-9397-08002B2CF9AE}" pid="3" name="MediaServiceImageTags">
    <vt:lpwstr/>
  </property>
</Properties>
</file>