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C:\Users\john.woodward\Desktop\transfer\rpc\"/>
    </mc:Choice>
  </mc:AlternateContent>
  <bookViews>
    <workbookView xWindow="0" yWindow="0" windowWidth="9600" windowHeight="636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71" r:id="rId8"/>
    <sheet name="Exchange Example" sheetId="193" r:id="rId9"/>
  </sheets>
  <definedNames>
    <definedName name="COP">2.5</definedName>
    <definedName name="fossilBtu">(0.95*120400)+(0.05*137570)</definedName>
    <definedName name="VTpopulation2013">627129</definedName>
    <definedName name="VTpopulation2014">626767</definedName>
    <definedName name="VTpopulation2015">626042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86" l="1"/>
  <c r="D18" i="185" l="1"/>
  <c r="E23" i="189" l="1"/>
  <c r="E24" i="189" s="1"/>
  <c r="D23" i="189"/>
  <c r="D24" i="189" s="1"/>
  <c r="C23" i="189"/>
  <c r="C24" i="189" s="1"/>
  <c r="B23" i="189"/>
  <c r="B24" i="189" s="1"/>
  <c r="E18" i="189"/>
  <c r="D18" i="189"/>
  <c r="C18" i="189"/>
  <c r="B18" i="189"/>
  <c r="B46" i="186" l="1"/>
  <c r="B72" i="188" l="1"/>
  <c r="B39" i="188" l="1"/>
  <c r="E43" i="188"/>
  <c r="E39" i="188" l="1"/>
  <c r="B43" i="188" l="1"/>
  <c r="B44" i="188"/>
  <c r="B40" i="188"/>
  <c r="E40" i="188" l="1"/>
  <c r="E44" i="188" l="1"/>
  <c r="E45" i="188" s="1"/>
  <c r="C5" i="190" l="1"/>
  <c r="D5" i="190"/>
  <c r="E5" i="190"/>
  <c r="B5" i="190"/>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B7" i="190" l="1"/>
  <c r="B9" i="190" s="1"/>
  <c r="D7" i="190"/>
  <c r="D9" i="190" s="1"/>
  <c r="E7" i="190"/>
  <c r="E9" i="190" s="1"/>
  <c r="C7" i="190"/>
  <c r="C9" i="190" s="1"/>
  <c r="B27" i="188" l="1"/>
  <c r="E25" i="188"/>
  <c r="D25" i="188"/>
  <c r="C25" i="188"/>
  <c r="B25" i="188"/>
  <c r="P7" i="193"/>
  <c r="Q7" i="193"/>
  <c r="R7" i="193"/>
  <c r="O7" i="193"/>
  <c r="P6" i="193"/>
  <c r="Q6" i="193"/>
  <c r="R6" i="193"/>
  <c r="O6" i="193"/>
  <c r="O34" i="193"/>
  <c r="T35" i="193"/>
  <c r="T36" i="193"/>
  <c r="T37" i="193"/>
  <c r="T38" i="193"/>
  <c r="T39" i="193"/>
  <c r="T40" i="193"/>
  <c r="T41" i="193"/>
  <c r="T42" i="193"/>
  <c r="T43" i="193"/>
  <c r="T44" i="193"/>
  <c r="T45" i="193"/>
  <c r="T46" i="193"/>
  <c r="T47" i="193"/>
  <c r="T34" i="193"/>
  <c r="T24" i="193"/>
  <c r="R22" i="193"/>
  <c r="Q22" i="193"/>
  <c r="P22" i="193"/>
  <c r="O22" i="193"/>
  <c r="B29" i="188"/>
  <c r="D27" i="188"/>
  <c r="C27" i="188"/>
  <c r="E27" i="188"/>
  <c r="J33" i="193"/>
  <c r="K33" i="193"/>
  <c r="L33" i="193"/>
  <c r="I33" i="193"/>
  <c r="T29" i="193"/>
  <c r="T28" i="193"/>
  <c r="T27" i="193"/>
  <c r="T26" i="193"/>
  <c r="T25" i="193"/>
  <c r="T23" i="193"/>
  <c r="T22" i="193"/>
  <c r="T21" i="193"/>
  <c r="B48" i="188"/>
  <c r="O48" i="188" s="1"/>
  <c r="E77" i="188"/>
  <c r="D77" i="188"/>
  <c r="C77" i="188"/>
  <c r="B77" i="188"/>
  <c r="E83" i="188"/>
  <c r="D83" i="188"/>
  <c r="C83" i="188"/>
  <c r="B83" i="188"/>
  <c r="B73" i="188"/>
  <c r="B74" i="188" s="1"/>
  <c r="C73" i="188"/>
  <c r="C74" i="188" s="1"/>
  <c r="D73" i="188"/>
  <c r="D74" i="188" s="1"/>
  <c r="E73" i="188"/>
  <c r="E74" i="188" s="1"/>
  <c r="B46" i="188" l="1"/>
  <c r="P15" i="193" l="1"/>
  <c r="P39" i="193" s="1"/>
  <c r="Q15" i="193"/>
  <c r="Q39" i="193" s="1"/>
  <c r="R15" i="193"/>
  <c r="R39" i="193" s="1"/>
  <c r="O15" i="193"/>
  <c r="O39" i="193" s="1"/>
  <c r="O40" i="193" s="1"/>
  <c r="P13" i="193"/>
  <c r="Q13" i="193"/>
  <c r="R13" i="193"/>
  <c r="O13" i="193"/>
  <c r="P9" i="193"/>
  <c r="Q9" i="193"/>
  <c r="R9" i="193"/>
  <c r="O9" i="193"/>
  <c r="I20" i="193"/>
  <c r="J20" i="193"/>
  <c r="K20" i="193"/>
  <c r="L20" i="193"/>
  <c r="I26" i="193"/>
  <c r="O26" i="193" s="1"/>
  <c r="J26" i="193"/>
  <c r="K26" i="193"/>
  <c r="L26" i="193"/>
  <c r="J28" i="193"/>
  <c r="K28" i="193"/>
  <c r="L28" i="193"/>
  <c r="P28" i="193"/>
  <c r="Q28" i="193"/>
  <c r="R28" i="193"/>
  <c r="P21" i="193"/>
  <c r="F16" i="193"/>
  <c r="R21" i="193" s="1"/>
  <c r="E16" i="193"/>
  <c r="Q21" i="193" s="1"/>
  <c r="D16" i="193"/>
  <c r="C16" i="193"/>
  <c r="O21" i="193" s="1"/>
  <c r="L16" i="193"/>
  <c r="K16" i="193"/>
  <c r="J16" i="193"/>
  <c r="I16" i="193"/>
  <c r="R14" i="193"/>
  <c r="Q14" i="193"/>
  <c r="P14" i="193"/>
  <c r="O14" i="193"/>
  <c r="R12" i="193"/>
  <c r="R45" i="193" s="1"/>
  <c r="Q12" i="193"/>
  <c r="Q45" i="193" s="1"/>
  <c r="P12" i="193"/>
  <c r="P45" i="193" s="1"/>
  <c r="O12" i="193"/>
  <c r="R11" i="193"/>
  <c r="R35" i="193" s="1"/>
  <c r="R36" i="193" s="1"/>
  <c r="Q11" i="193"/>
  <c r="Q35" i="193" s="1"/>
  <c r="Q36" i="193" s="1"/>
  <c r="P11" i="193"/>
  <c r="P35" i="193" s="1"/>
  <c r="P36" i="193" s="1"/>
  <c r="O11" i="193"/>
  <c r="O35" i="193" s="1"/>
  <c r="R10" i="193"/>
  <c r="Q10" i="193"/>
  <c r="P10" i="193"/>
  <c r="O10" i="193"/>
  <c r="O8" i="193"/>
  <c r="P8" i="193"/>
  <c r="Q8" i="193"/>
  <c r="R8" i="193"/>
  <c r="O24" i="193" l="1"/>
  <c r="O42" i="193"/>
  <c r="O43" i="193" s="1"/>
  <c r="R42" i="193"/>
  <c r="R24" i="193"/>
  <c r="O36" i="193"/>
  <c r="O37" i="193"/>
  <c r="O45" i="193"/>
  <c r="O46" i="193" s="1"/>
  <c r="Q24" i="193"/>
  <c r="Q42" i="193"/>
  <c r="P42" i="193"/>
  <c r="P24" i="193"/>
  <c r="Q16" i="193"/>
  <c r="Q23" i="193" s="1"/>
  <c r="Q25" i="193" s="1"/>
  <c r="P16" i="193"/>
  <c r="P23" i="193" s="1"/>
  <c r="O16" i="193"/>
  <c r="O23" i="193" s="1"/>
  <c r="O25" i="193" s="1"/>
  <c r="O27" i="193" s="1"/>
  <c r="R16" i="193"/>
  <c r="R23" i="193" s="1"/>
  <c r="E19" i="189"/>
  <c r="R25" i="193" l="1"/>
  <c r="P25" i="193"/>
  <c r="R27" i="193"/>
  <c r="R29" i="193" s="1"/>
  <c r="R34" i="193" s="1"/>
  <c r="P27" i="193"/>
  <c r="P29" i="193" s="1"/>
  <c r="P34" i="193" s="1"/>
  <c r="Q27" i="193"/>
  <c r="Q29" i="193" s="1"/>
  <c r="Q34" i="193" s="1"/>
  <c r="J24" i="193"/>
  <c r="K24" i="193"/>
  <c r="L24" i="193"/>
  <c r="I24" i="193"/>
  <c r="J22" i="193"/>
  <c r="K22" i="193"/>
  <c r="L22" i="193"/>
  <c r="I22" i="193"/>
  <c r="R43" i="193" l="1"/>
  <c r="R44" i="193" s="1"/>
  <c r="R37" i="193"/>
  <c r="R38" i="193" s="1"/>
  <c r="R40" i="193"/>
  <c r="R41" i="193" s="1"/>
  <c r="R46" i="193"/>
  <c r="R47" i="193" s="1"/>
  <c r="Q46" i="193"/>
  <c r="Q47" i="193" s="1"/>
  <c r="Q37" i="193"/>
  <c r="Q38" i="193" s="1"/>
  <c r="Q40" i="193"/>
  <c r="Q41" i="193" s="1"/>
  <c r="Q43" i="193"/>
  <c r="Q44" i="193" s="1"/>
  <c r="P46" i="193"/>
  <c r="P47" i="193" s="1"/>
  <c r="P37" i="193"/>
  <c r="P38" i="193" s="1"/>
  <c r="P43" i="193"/>
  <c r="P44" i="193" s="1"/>
  <c r="P40" i="193"/>
  <c r="P41" i="193" s="1"/>
  <c r="C62" i="188" l="1"/>
  <c r="J42" i="193" s="1"/>
  <c r="D62" i="188"/>
  <c r="K42" i="193" s="1"/>
  <c r="E62" i="188"/>
  <c r="L42" i="193" s="1"/>
  <c r="B62" i="188"/>
  <c r="C65" i="188"/>
  <c r="J45" i="193" s="1"/>
  <c r="D65" i="188"/>
  <c r="K45" i="193" s="1"/>
  <c r="E65" i="188"/>
  <c r="L45" i="193" s="1"/>
  <c r="B65" i="188"/>
  <c r="I45" i="193" s="1"/>
  <c r="C55" i="188"/>
  <c r="D55" i="188"/>
  <c r="E55" i="188"/>
  <c r="B55" i="188"/>
  <c r="B31" i="188"/>
  <c r="O31" i="188" s="1"/>
  <c r="D19" i="186"/>
  <c r="B23" i="185"/>
  <c r="E25" i="189" s="1"/>
  <c r="D56" i="188" l="1"/>
  <c r="K36" i="193" s="1"/>
  <c r="K35" i="193"/>
  <c r="J35" i="193"/>
  <c r="C56" i="188"/>
  <c r="J36" i="193" s="1"/>
  <c r="B56" i="188"/>
  <c r="I36" i="193" s="1"/>
  <c r="I35" i="193"/>
  <c r="I42" i="193"/>
  <c r="L35" i="193"/>
  <c r="E56" i="188"/>
  <c r="L36" i="193" s="1"/>
  <c r="O28" i="193"/>
  <c r="I28" i="193"/>
  <c r="B21" i="189"/>
  <c r="O21" i="189" s="1"/>
  <c r="B19" i="189"/>
  <c r="C42" i="188"/>
  <c r="D42" i="188"/>
  <c r="E42" i="188"/>
  <c r="B42" i="188"/>
  <c r="E80" i="188" s="1"/>
  <c r="C41" i="188"/>
  <c r="D41" i="188"/>
  <c r="E41" i="188"/>
  <c r="B41" i="188"/>
  <c r="C38" i="188"/>
  <c r="D38" i="188"/>
  <c r="E38" i="188"/>
  <c r="B38" i="188"/>
  <c r="C37" i="188"/>
  <c r="D37" i="188"/>
  <c r="E37" i="188"/>
  <c r="B37" i="188"/>
  <c r="C59" i="188"/>
  <c r="J39" i="193" s="1"/>
  <c r="D59" i="188"/>
  <c r="K39" i="193" s="1"/>
  <c r="E59" i="188"/>
  <c r="L39" i="193" s="1"/>
  <c r="B59" i="188"/>
  <c r="I39" i="193" s="1"/>
  <c r="B54" i="188"/>
  <c r="B63" i="188" s="1"/>
  <c r="I43" i="193" s="1"/>
  <c r="B20" i="189" l="1"/>
  <c r="B22" i="189" s="1"/>
  <c r="O29" i="193"/>
  <c r="O41" i="193"/>
  <c r="O47" i="193"/>
  <c r="O38" i="193"/>
  <c r="O44" i="193"/>
  <c r="B66" i="188"/>
  <c r="I46" i="193" s="1"/>
  <c r="I34" i="193"/>
  <c r="B80" i="188"/>
  <c r="B64" i="188"/>
  <c r="I44" i="193" s="1"/>
  <c r="B57" i="188"/>
  <c r="B60" i="188"/>
  <c r="C19" i="189"/>
  <c r="D19" i="189" s="1"/>
  <c r="D20" i="189" s="1"/>
  <c r="D22" i="189" s="1"/>
  <c r="E26" i="189"/>
  <c r="E27" i="189" s="1"/>
  <c r="E20" i="189"/>
  <c r="E22" i="189" s="1"/>
  <c r="C24" i="188"/>
  <c r="J21" i="193" s="1"/>
  <c r="D24" i="188"/>
  <c r="K21" i="193" s="1"/>
  <c r="E24" i="188"/>
  <c r="L21" i="193" s="1"/>
  <c r="C26" i="188"/>
  <c r="J23" i="193" s="1"/>
  <c r="D26" i="188"/>
  <c r="K23" i="193" s="1"/>
  <c r="B26" i="188"/>
  <c r="I23" i="193" s="1"/>
  <c r="B24" i="188"/>
  <c r="I21" i="193" s="1"/>
  <c r="J44" i="186"/>
  <c r="C20" i="189" l="1"/>
  <c r="C22" i="189" s="1"/>
  <c r="B61" i="188"/>
  <c r="I41" i="193" s="1"/>
  <c r="I40" i="193"/>
  <c r="B58" i="188"/>
  <c r="I38" i="193" s="1"/>
  <c r="I37" i="193"/>
  <c r="B67" i="188"/>
  <c r="I47" i="193" s="1"/>
  <c r="C43" i="188"/>
  <c r="C39" i="188"/>
  <c r="C40" i="188" s="1"/>
  <c r="B28" i="188"/>
  <c r="B30" i="188" s="1"/>
  <c r="D28" i="188"/>
  <c r="C28" i="188"/>
  <c r="B21" i="186"/>
  <c r="B7" i="186" s="1"/>
  <c r="K31" i="186"/>
  <c r="G43" i="186"/>
  <c r="G42" i="186"/>
  <c r="G41" i="186"/>
  <c r="G40" i="186"/>
  <c r="G39" i="186"/>
  <c r="G38" i="186"/>
  <c r="G37" i="186"/>
  <c r="G36" i="186"/>
  <c r="G35" i="186"/>
  <c r="G34" i="186"/>
  <c r="G33" i="186"/>
  <c r="G32" i="186"/>
  <c r="G31" i="186"/>
  <c r="G30" i="186"/>
  <c r="B38" i="185"/>
  <c r="B40" i="185" s="1"/>
  <c r="B20" i="185"/>
  <c r="B22" i="185" s="1"/>
  <c r="C80" i="188" l="1"/>
  <c r="D43" i="188"/>
  <c r="C44" i="188"/>
  <c r="C45" i="188" s="1"/>
  <c r="B45" i="188"/>
  <c r="B47" i="188" s="1"/>
  <c r="B49" i="188" s="1"/>
  <c r="E47" i="188"/>
  <c r="E49" i="188" s="1"/>
  <c r="D39" i="188"/>
  <c r="D40" i="188" s="1"/>
  <c r="C30" i="188"/>
  <c r="J25" i="193"/>
  <c r="D30" i="188"/>
  <c r="K25" i="193"/>
  <c r="I25" i="193"/>
  <c r="B24" i="185"/>
  <c r="B25" i="185"/>
  <c r="B27" i="185" s="1"/>
  <c r="K40" i="186"/>
  <c r="K34" i="186"/>
  <c r="H33" i="186"/>
  <c r="I33" i="186" s="1"/>
  <c r="H37" i="186"/>
  <c r="I37" i="186" s="1"/>
  <c r="H41" i="186"/>
  <c r="I41" i="186" s="1"/>
  <c r="K30" i="186"/>
  <c r="K38" i="186"/>
  <c r="K33" i="186"/>
  <c r="H31" i="186"/>
  <c r="H34" i="186"/>
  <c r="I34" i="186" s="1"/>
  <c r="H38" i="186"/>
  <c r="I38" i="186" s="1"/>
  <c r="H42" i="186"/>
  <c r="I42" i="186" s="1"/>
  <c r="K42" i="186"/>
  <c r="K37" i="186"/>
  <c r="K32" i="186"/>
  <c r="K41" i="186"/>
  <c r="K36" i="186"/>
  <c r="H30" i="186"/>
  <c r="I30" i="186" s="1"/>
  <c r="H40" i="186"/>
  <c r="I40" i="186" s="1"/>
  <c r="H36" i="186"/>
  <c r="I36" i="186" s="1"/>
  <c r="H32" i="186"/>
  <c r="I32" i="186" s="1"/>
  <c r="H43" i="186"/>
  <c r="I43" i="186" s="1"/>
  <c r="H39" i="186"/>
  <c r="I39" i="186" s="1"/>
  <c r="H35" i="186"/>
  <c r="I35" i="186" s="1"/>
  <c r="I31" i="186"/>
  <c r="K43" i="186"/>
  <c r="K39" i="186"/>
  <c r="K35" i="186"/>
  <c r="E26" i="188"/>
  <c r="K42" i="34"/>
  <c r="J42" i="34"/>
  <c r="I42" i="34"/>
  <c r="H42" i="34"/>
  <c r="E42" i="34"/>
  <c r="E49" i="34"/>
  <c r="D42" i="34"/>
  <c r="D49" i="34"/>
  <c r="C42" i="34"/>
  <c r="C49" i="34"/>
  <c r="B42" i="34"/>
  <c r="B49" i="34"/>
  <c r="K30" i="34"/>
  <c r="J30" i="34"/>
  <c r="I30" i="34"/>
  <c r="H30" i="34"/>
  <c r="E30" i="34"/>
  <c r="D30" i="34"/>
  <c r="C30" i="34"/>
  <c r="B30" i="34"/>
  <c r="K14" i="34"/>
  <c r="J14" i="34"/>
  <c r="I14" i="34"/>
  <c r="H14" i="34"/>
  <c r="E14" i="34"/>
  <c r="D14" i="34"/>
  <c r="C14" i="34"/>
  <c r="B14" i="34"/>
  <c r="D80" i="188" l="1"/>
  <c r="D44" i="188"/>
  <c r="E28" i="188"/>
  <c r="L23" i="193"/>
  <c r="D32" i="188"/>
  <c r="K27" i="193"/>
  <c r="B32" i="188"/>
  <c r="I29" i="193" s="1"/>
  <c r="I27" i="193"/>
  <c r="C32" i="188"/>
  <c r="J27" i="193"/>
  <c r="B28" i="185"/>
  <c r="K44" i="186"/>
  <c r="B25" i="189" l="1"/>
  <c r="B26" i="189" s="1"/>
  <c r="B27" i="189" s="1"/>
  <c r="B7" i="185"/>
  <c r="E72" i="188"/>
  <c r="B81" i="188"/>
  <c r="B82" i="188" s="1"/>
  <c r="B75" i="188"/>
  <c r="B76" i="188" s="1"/>
  <c r="B78" i="188"/>
  <c r="B79" i="188" s="1"/>
  <c r="B84" i="188"/>
  <c r="B85" i="188" s="1"/>
  <c r="D45" i="188"/>
  <c r="D47" i="188" s="1"/>
  <c r="D49" i="188" s="1"/>
  <c r="D72" i="188" s="1"/>
  <c r="D81" i="188" s="1"/>
  <c r="C47" i="188"/>
  <c r="C49" i="188" s="1"/>
  <c r="C72" i="188" s="1"/>
  <c r="C81" i="188" s="1"/>
  <c r="C54" i="188"/>
  <c r="J29" i="193"/>
  <c r="D54" i="188"/>
  <c r="K29" i="193"/>
  <c r="E30" i="188"/>
  <c r="L25" i="193"/>
  <c r="C25" i="189" l="1"/>
  <c r="D25" i="189" s="1"/>
  <c r="D26" i="189" s="1"/>
  <c r="D27" i="189" s="1"/>
  <c r="E81" i="188"/>
  <c r="E82" i="188" s="1"/>
  <c r="E84" i="188"/>
  <c r="E85" i="188" s="1"/>
  <c r="E75" i="188"/>
  <c r="E76" i="188" s="1"/>
  <c r="E78" i="188"/>
  <c r="E79" i="188" s="1"/>
  <c r="K34" i="193"/>
  <c r="D63" i="188"/>
  <c r="K43" i="193" s="1"/>
  <c r="C63" i="188"/>
  <c r="J43" i="193" s="1"/>
  <c r="J34" i="193"/>
  <c r="D75" i="188"/>
  <c r="D76" i="188" s="1"/>
  <c r="D78" i="188"/>
  <c r="D79" i="188" s="1"/>
  <c r="D82" i="188"/>
  <c r="D84" i="188"/>
  <c r="D85" i="188" s="1"/>
  <c r="C78" i="188"/>
  <c r="C79" i="188" s="1"/>
  <c r="C82" i="188"/>
  <c r="C84" i="188"/>
  <c r="C85" i="188" s="1"/>
  <c r="C75" i="188"/>
  <c r="C76" i="188" s="1"/>
  <c r="D57" i="188"/>
  <c r="D64" i="188"/>
  <c r="K44" i="193" s="1"/>
  <c r="C57" i="188"/>
  <c r="D66" i="188"/>
  <c r="D60" i="188"/>
  <c r="L27" i="193"/>
  <c r="E32" i="188"/>
  <c r="C66" i="188"/>
  <c r="C60" i="188"/>
  <c r="C26" i="189"/>
  <c r="C27" i="189" s="1"/>
  <c r="D61" i="188" l="1"/>
  <c r="K41" i="193" s="1"/>
  <c r="K40" i="193"/>
  <c r="D58" i="188"/>
  <c r="K38" i="193" s="1"/>
  <c r="K37" i="193"/>
  <c r="D67" i="188"/>
  <c r="K47" i="193" s="1"/>
  <c r="K46" i="193"/>
  <c r="C58" i="188"/>
  <c r="J38" i="193" s="1"/>
  <c r="J37" i="193"/>
  <c r="C61" i="188"/>
  <c r="J41" i="193" s="1"/>
  <c r="J40" i="193"/>
  <c r="C67" i="188"/>
  <c r="J47" i="193" s="1"/>
  <c r="J46" i="193"/>
  <c r="C64" i="188"/>
  <c r="J44" i="193" s="1"/>
  <c r="E54" i="188"/>
  <c r="L29" i="193"/>
  <c r="E63" i="188" l="1"/>
  <c r="L43" i="193" s="1"/>
  <c r="L34" i="193"/>
  <c r="E57" i="188"/>
  <c r="E60" i="188"/>
  <c r="E66" i="188"/>
  <c r="E64" i="188" l="1"/>
  <c r="L44" i="193" s="1"/>
  <c r="E58" i="188"/>
  <c r="L38" i="193" s="1"/>
  <c r="L37" i="193"/>
  <c r="E67" i="188"/>
  <c r="L47" i="193" s="1"/>
  <c r="L46" i="193"/>
  <c r="E61" i="188"/>
  <c r="L41" i="193" s="1"/>
  <c r="L40" i="193"/>
</calcChain>
</file>

<file path=xl/comments1.xml><?xml version="1.0" encoding="utf-8"?>
<comments xmlns="http://schemas.openxmlformats.org/spreadsheetml/2006/main">
  <authors>
    <author>Woodward, John</author>
  </authors>
  <commentList>
    <comment ref="H44"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<sst xmlns="http://schemas.openxmlformats.org/spreadsheetml/2006/main" count="464" uniqueCount="242">
  <si>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</si>
  <si>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</si>
  <si>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</si>
  <si>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</si>
  <si>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</si>
  <si>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</si>
  <si>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</si>
  <si>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</si>
  <si>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</si>
  <si>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</si>
  <si>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</si>
  <si>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</si>
  <si>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</si>
  <si>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</si>
  <si>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</si>
  <si>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</si>
  <si>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</si>
  <si>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</si>
  <si>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</si>
  <si>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</si>
  <si>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</si>
  <si>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</si>
  <si>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</si>
  <si>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</si>
  <si>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</si>
  <si>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</si>
  <si>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</si>
  <si>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</si>
  <si>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</si>
  <si>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</si>
  <si>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</si>
  <si>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</si>
  <si>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</si>
  <si>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</si>
  <si>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</si>
  <si>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</si>
  <si>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</si>
  <si>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</si>
  <si>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</si>
  <si>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</si>
  <si>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</si>
  <si>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</si>
  <si>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</si>
  <si>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</si>
  <si>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</si>
  <si>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</si>
  <si>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</si>
  <si>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</si>
  <si>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</si>
  <si>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</si>
  <si>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</si>
  <si>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</si>
  <si>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</si>
  <si>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</si>
  <si>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</si>
  <si>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</si>
  <si>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</si>
  <si>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</si>
  <si>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Estimated  Consumption</t>
  </si>
  <si>
    <t>between 1,600 and 1,900</t>
  </si>
  <si>
    <t>NAICS Code</t>
  </si>
  <si>
    <t>Methods of apportionment could be based on each municipality's share of the region's vehicle stock or population, for example.</t>
  </si>
  <si>
    <t>Refer to:</t>
  </si>
  <si>
    <t>for  counts of vehicles associated with area housing units</t>
  </si>
  <si>
    <t>Note:</t>
  </si>
  <si>
    <t>It is not necessary to distinguish between diesel and gasoline burning vehicles.</t>
  </si>
  <si>
    <t>Census website</t>
  </si>
  <si>
    <t xml:space="preserve">VT Dept of Motor Vehicles </t>
  </si>
  <si>
    <t>Estimating current light-duty vehicle (LDV) transportation energy consumption in an area</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</si>
  <si>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</si>
  <si>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</si>
  <si>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</si>
  <si>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</si>
  <si>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</si>
  <si>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</si>
  <si>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</si>
  <si>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</si>
  <si>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</si>
  <si>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</si>
  <si>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</si>
  <si>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</si>
  <si>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</si>
  <si>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</si>
  <si>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</si>
  <si>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</si>
  <si>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</si>
  <si>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</si>
  <si>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</si>
  <si>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</si>
  <si>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</si>
  <si>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Enter the total number of commercial buildings in the area</t>
  </si>
  <si>
    <t>VT DOL website</t>
  </si>
  <si>
    <t>for a count of commercial establishments in the area</t>
  </si>
  <si>
    <t>This is the estimated total heat energy consumption of Residential buildings in the area, in millions of Btu</t>
  </si>
  <si>
    <t>This is the estimated total heat energy consumption of Commercial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</si>
  <si>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</si>
  <si>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Estimating current non-industrial building (Residential and Commercial) heat energy consumption in an area </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</si>
  <si>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</si>
  <si>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</si>
  <si>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Avg number of Empl.</t>
  </si>
  <si>
    <t>Number of Empl. in State</t>
  </si>
  <si>
    <t xml:space="preserve">Number of Bldgs. in State </t>
  </si>
  <si>
    <t>Enter number of Bldgs in area</t>
  </si>
  <si>
    <t xml:space="preserve">Share of area Bldgs. </t>
  </si>
  <si>
    <t>Estimated Average  Consumption</t>
  </si>
  <si>
    <t>This is the estimated average commercial heating load, in millions of Btu, based on the values inputed into the table</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</si>
  <si>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</si>
  <si>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</si>
  <si>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</si>
  <si>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</si>
  <si>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The procedure outlined below can be used to estimate heat energy consumption for a region as a whole or for individual municipalities within the region.</t>
  </si>
  <si>
    <t>Developing targets for weatherization and fuel-switching for non-industrial buildings in an area</t>
  </si>
  <si>
    <t>Developing fuel-switching targets for Light-Duty Vehicle (LDV) transportation in an area</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</si>
  <si>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</si>
  <si>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</si>
  <si>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</si>
  <si>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</si>
  <si>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</si>
  <si>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</si>
  <si>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</si>
  <si>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</si>
  <si>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</si>
  <si>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</si>
  <si>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</si>
  <si>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</si>
  <si>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</si>
  <si>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</si>
  <si>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</si>
  <si>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</si>
  <si>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</si>
  <si>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</si>
  <si>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</si>
  <si>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</si>
  <si>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</si>
  <si>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</si>
  <si>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</si>
  <si>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</si>
  <si>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</si>
  <si>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</si>
  <si>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</si>
  <si>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</si>
  <si>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</si>
  <si>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</si>
  <si>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</si>
  <si>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</si>
  <si>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</si>
  <si>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</si>
  <si>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</si>
  <si>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</si>
  <si>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</si>
  <si>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</si>
  <si>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</si>
  <si>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</si>
  <si>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</si>
  <si>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</si>
  <si>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</si>
  <si>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</si>
  <si>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</si>
  <si>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</si>
  <si>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</si>
  <si>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</si>
  <si>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</si>
  <si>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</si>
  <si>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</si>
  <si>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</si>
  <si>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</si>
  <si>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</si>
  <si>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</si>
  <si>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electric efficiency</t>
  </si>
  <si>
    <t>To use this workbook, Planners should first enter the necessary assumptions into the input cells in the tabs labled, "1.Current Trans," and "1.Current Heat."</t>
  </si>
  <si>
    <t>100,000 MMBtu of additinoal weatherization savings is matched with a 40,000 MMBtu reduction in consumption of Heat Pump electricity</t>
  </si>
  <si>
    <t>100,000 MMBtu of additional weatherization savings is matched below with a 90,000 MMBtu reduction in consumption of Wood heat energy</t>
  </si>
  <si>
    <t>Interpreting the scale of Residential fuel-switching, pre-adjustment</t>
  </si>
  <si>
    <t>Interpreting the scale of Residential fuel-switching, post-adjustment</t>
  </si>
  <si>
    <t>Reduced 90,000 MMBtu in exchange for the above 100,000 MMBtu of additional weatherization savings for Residences using Natural Gas</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</si>
  <si>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</si>
  <si>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</si>
  <si>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</si>
  <si>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</si>
  <si>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</si>
  <si>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</si>
  <si>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</si>
  <si>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</si>
  <si>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</si>
  <si>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</si>
  <si>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</si>
  <si>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</si>
  <si>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</si>
  <si>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</si>
  <si>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</si>
  <si>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</si>
  <si>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</si>
  <si>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Below are a series of calculations done using the LEAP scenario data which can be used to put those model results into perspective and give Planners a sense of the appropriateness of the LEAP scenario trajectories for their area. Should Planners find that the LEAP scenario, as given to them by VEIC, depicts an inappropriate trajectory for their area, they may make adjustments to the model results using the following exchange rates. For an illustration of how to make such adjustments see the tab labeled "Exchange Example."</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</si>
  <si>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</si>
  <si>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</si>
  <si>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</si>
  <si>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</si>
  <si>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</si>
  <si>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</si>
  <si>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</si>
  <si>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Below are a series of calculations on the LEAP scenario data which can be used to put those model results into perspective and give Planners a sense of the appropriateness of the LEAP scenario trajectories for their area. Should Planners find that the LEAP scenario, as given to them by VEIC, depicts an inappropriate trajectory for their area, they may make adjustments to the model results using the following exchange rates. For an illustration of how to make such adjustments see the tab labeled "Exchange Example."</t>
  </si>
  <si>
    <t xml:space="preserve"> 9) 90 % Renewable by 2050 vs Reference Residential Non-Thermal Electric Consumption, Thousand MWh</t>
  </si>
  <si>
    <t>This formula computes an estimate of the number of area residences with upgraded electrical equipment by each year</t>
  </si>
  <si>
    <t>Developing electric efficiency targets for an area</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</si>
  <si>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</si>
  <si>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</si>
  <si>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</si>
  <si>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</si>
  <si>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</si>
  <si>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Total biofuel-blended energy consumed for LDV transportation in 90x50 Scenario, in millions of Btu (taken from Table 6). Note that regional tables are in thousands of MMBtu not millions of MMBtu.</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</si>
  <si>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</si>
  <si>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</si>
  <si>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</si>
  <si>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 xml:space="preserve">Enter an estimate of a typical amount of area residential electricity savings realized from efficiency improvements, in kWh. An individual residential upgrades might save from anywhere from 50 to 1000 kWh or more. </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</si>
  <si>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</si>
  <si>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</si>
  <si>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</si>
  <si>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</si>
  <si>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</si>
  <si>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</si>
  <si>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</si>
  <si>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 xml:space="preserve">Total electricity consumed for LDV transportation in 90x50 Scenario, in millions of Btu (taken from Table 6). Note that regional tables are in thousands of MMBtu not millions of MMBtu. After pasting in your region's LEAP scenario, enter "RPC" into the input cell to the left to express results in millions of Btu.  </t>
  </si>
  <si>
    <t>10,000 MMBtu of additional weatherization savings is matched with 9,000 MMBtu reduction in consumption of Biofuel heat energy. 500,000 MMBtu added in exchange for 500,000 MMBtu reduction in consumption of Wood heat energy</t>
  </si>
  <si>
    <t>Reduced by 500,000 MMBtu in exchange for 500,000 MMBtu increase in consumption of Biofuel heat energy added above</t>
  </si>
  <si>
    <t xml:space="preserve">The procedure outlined below can be used to estimate consumption for a region as a whole. </t>
  </si>
  <si>
    <t xml:space="preserve">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If you are filling out this form </t>
  </si>
  <si>
    <r>
      <t>This is the estimated total annual energy consumption amount for light-duty passenger transportation purposes, in millions of Btu. It is produced from the calculation steps below which depend on assumptions inputted into each of the colored cells.</t>
    </r>
    <r>
      <rPr>
        <sz val="11"/>
        <color rgb="FFFF0000"/>
        <rFont val="Calibri"/>
        <family val="2"/>
        <scheme val="minor"/>
      </rPr>
      <t xml:space="preserve"> </t>
    </r>
  </si>
  <si>
    <t>Planners will also need to develop  some means of apportioning the results to individual municipalities.</t>
  </si>
  <si>
    <t xml:space="preserve">Enter an estimate of the number of fossil-fuel burning LDV in the area. It is not necessary to distinguish between diesel and gasoline burning vehicles. </t>
  </si>
  <si>
    <r>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r>
    <r>
      <rPr>
        <sz val="11"/>
        <color rgb="FFFF0000"/>
        <rFont val="Calibri"/>
        <family val="2"/>
        <scheme val="minor"/>
      </rPr>
      <t xml:space="preserve"> </t>
    </r>
  </si>
  <si>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</si>
  <si>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r>
      <t xml:space="preserve">Enter an estimate of the volumetric percentage of ethanol blended into area fuel supplies "at the pump."  For the State as a whole, ethanol accounts for about 9% of the volume of fuel consumed "at the pump." This percentage may differ substantially area to area.  </t>
    </r>
    <r>
      <rPr>
        <sz val="11"/>
        <color rgb="FFFF0000"/>
        <rFont val="Calibri"/>
        <family val="2"/>
        <scheme val="minor"/>
      </rPr>
      <t xml:space="preserve"> </t>
    </r>
  </si>
  <si>
    <r>
      <t xml:space="preserve">Enter an estimate of the number of Electric Vehicles in the area.  </t>
    </r>
    <r>
      <rPr>
        <sz val="11"/>
        <color rgb="FFFF0000"/>
        <rFont val="Calibri"/>
        <family val="2"/>
        <scheme val="minor"/>
      </rPr>
      <t/>
    </r>
  </si>
  <si>
    <t xml:space="preserve">Enter an estimate of the average annual number of miles travelled by EVs in the area. Currently this is likely to be less than the average VMT by ICE vehicles but it is also reasonable to assume it is equivalent. </t>
  </si>
  <si>
    <t>This workbook is designed as an aid to Regional Planners in the development of :</t>
  </si>
  <si>
    <t xml:space="preserve">All cells requiring user inputs are formatted like this: </t>
  </si>
  <si>
    <t>good</t>
  </si>
  <si>
    <t xml:space="preserve">Cells that calculate key outputs are formatted like this: </t>
  </si>
  <si>
    <t>hunting</t>
  </si>
  <si>
    <t xml:space="preserve">These assumptions will flow through to the calculations on the tabs labelled, "2. Trans Targets," "2.Heat Targets, and "2.Electric Targets." These 3 worksheets will guide Planners through an interpretation of  the LEAP scenario data given to them by VEIC. For this, Planners will need to copy and paste their region-specific LEAP scenario results into tables on the tab labled "LEAP scenario." This will over-write the State level results that are currently being referenced by the formulas in these worksheets.  </t>
  </si>
  <si>
    <t>region-wide estimates of current energy consumption and,</t>
  </si>
  <si>
    <t>region-wide targets for: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</si>
</sst>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7F7F7F"/>
      </left>
      <right style="thin">
        <color rgb="FF7F7F7F"/>
      </right>
      <top style="thin">
        <color indexed="64"/>
      </top>
      <bottom style="thin">
        <color rgb="FF7F7F7F"/>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rgb="FF3F3F3F"/>
      </right>
      <top/>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cellStyleXfs>
  <cellXfs count="280">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3" fontId="13" fillId="2" borderId="17" xfId="3"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8" xfId="5" applyNumberFormat="1" applyFont="1" applyBorder="1" applyAlignment="1">
      <alignment horizontal="center" vertical="center"/>
    </xf>
    <xf numFmtId="3" fontId="14" fillId="3" borderId="19"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7" fillId="2" borderId="13" xfId="3"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3" xfId="0" applyBorder="1"/>
    <xf numFmtId="0" fontId="0" fillId="0" borderId="24" xfId="0" applyBorder="1"/>
    <xf numFmtId="0" fontId="0" fillId="0" borderId="25"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3" fontId="7" fillId="2" borderId="0" xfId="3" applyNumberFormat="1" applyBorder="1" applyAlignment="1">
      <alignment horizontal="center"/>
    </xf>
    <xf numFmtId="3" fontId="7" fillId="2" borderId="4" xfId="3" applyNumberFormat="1" applyBorder="1" applyAlignment="1">
      <alignment horizontal="center"/>
    </xf>
    <xf numFmtId="3" fontId="7" fillId="2" borderId="5" xfId="3" applyNumberFormat="1" applyBorder="1" applyAlignment="1">
      <alignment horizontal="center"/>
    </xf>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6"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7" xfId="2" applyNumberFormat="1" applyFont="1" applyBorder="1" applyAlignment="1">
      <alignment horizontal="center"/>
    </xf>
    <xf numFmtId="3" fontId="0" fillId="0" borderId="27" xfId="0" applyNumberFormat="1" applyBorder="1" applyAlignment="1">
      <alignment horizontal="center"/>
    </xf>
    <xf numFmtId="9" fontId="22" fillId="0" borderId="29" xfId="2" applyFont="1" applyBorder="1" applyAlignment="1">
      <alignment horizontal="center"/>
    </xf>
    <xf numFmtId="9" fontId="0" fillId="0" borderId="29"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1" xfId="3" applyNumberFormat="1" applyBorder="1" applyAlignment="1">
      <alignment horizontal="center" vertical="center"/>
    </xf>
    <xf numFmtId="3" fontId="7" fillId="2" borderId="13" xfId="3" applyNumberFormat="1" applyBorder="1" applyAlignment="1">
      <alignment horizontal="center" vertical="center"/>
    </xf>
    <xf numFmtId="3" fontId="7" fillId="2" borderId="22"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0" fontId="0" fillId="5" borderId="5" xfId="0" applyFill="1" applyBorder="1" applyAlignment="1">
      <alignment horizontal="left" wrapText="1"/>
    </xf>
    <xf numFmtId="3" fontId="13" fillId="2" borderId="13" xfId="3" applyNumberFormat="1" applyFon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5"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wrapText="1"/>
    </xf>
    <xf numFmtId="4" fontId="0" fillId="0" borderId="0" xfId="0" applyNumberFormat="1" applyAlignment="1"/>
    <xf numFmtId="0" fontId="7" fillId="2" borderId="13" xfId="3" applyBorder="1" applyAlignment="1">
      <alignment horizontal="center"/>
    </xf>
    <xf numFmtId="0" fontId="8" fillId="3" borderId="14" xfId="4" applyBorder="1" applyAlignment="1">
      <alignment horizontal="center"/>
    </xf>
    <xf numFmtId="0" fontId="8" fillId="5" borderId="0" xfId="4" applyFill="1" applyBorder="1" applyAlignment="1">
      <alignment horizontal="center"/>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5" borderId="28" xfId="0" applyFill="1" applyBorder="1" applyAlignment="1">
      <alignment horizontal="left" vertical="center" wrapText="1"/>
    </xf>
    <xf numFmtId="0" fontId="0" fillId="5" borderId="33" xfId="0" applyFill="1" applyBorder="1" applyAlignment="1">
      <alignment horizontal="left" vertical="center" wrapText="1"/>
    </xf>
    <xf numFmtId="0" fontId="0" fillId="5" borderId="4" xfId="0" applyFill="1" applyBorder="1" applyAlignment="1">
      <alignment horizontal="left" vertical="top" wrapText="1"/>
    </xf>
    <xf numFmtId="0" fontId="0" fillId="5" borderId="0" xfId="0" applyFill="1" applyBorder="1" applyAlignment="1">
      <alignment horizontal="left" vertical="top" wrapText="1"/>
    </xf>
    <xf numFmtId="0" fontId="0" fillId="5" borderId="5" xfId="0" applyFill="1" applyBorder="1" applyAlignment="1">
      <alignment horizontal="left" vertical="top"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0" fillId="0" borderId="0" xfId="0" applyBorder="1" applyAlignment="1">
      <alignment horizontal="left" vertical="center" wrapText="1"/>
    </xf>
    <xf numFmtId="0" fontId="9" fillId="0" borderId="0" xfId="6" applyAlignment="1">
      <alignment horizontal="left" vertical="center"/>
    </xf>
    <xf numFmtId="0" fontId="0" fillId="0" borderId="0" xfId="0" applyAlignment="1">
      <alignment horizontal="left"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0" fillId="0" borderId="16" xfId="0" applyBorder="1" applyAlignment="1">
      <alignment horizontal="left" vertical="center"/>
    </xf>
    <xf numFmtId="0" fontId="6" fillId="0" borderId="0" xfId="0" applyFont="1" applyAlignment="1">
      <alignment horizontal="left" vertical="center"/>
    </xf>
    <xf numFmtId="3" fontId="7" fillId="2" borderId="21" xfId="3" applyNumberFormat="1" applyBorder="1" applyAlignment="1">
      <alignment horizontal="center" vertical="center"/>
    </xf>
    <xf numFmtId="3" fontId="7" fillId="2" borderId="13" xfId="3" applyNumberFormat="1" applyBorder="1" applyAlignment="1">
      <alignment horizontal="center" vertical="center"/>
    </xf>
    <xf numFmtId="3" fontId="7" fillId="2" borderId="22"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3" fontId="13" fillId="2" borderId="21"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2" xfId="3" applyNumberFormat="1" applyFont="1" applyBorder="1" applyAlignment="1">
      <alignment horizontal="center" vertical="center"/>
    </xf>
    <xf numFmtId="3" fontId="7" fillId="2" borderId="4" xfId="3" applyNumberFormat="1" applyBorder="1" applyAlignment="1">
      <alignment horizontal="center"/>
    </xf>
    <xf numFmtId="3" fontId="7" fillId="2" borderId="0" xfId="3" applyNumberFormat="1" applyBorder="1" applyAlignment="1">
      <alignment horizontal="center"/>
    </xf>
    <xf numFmtId="3" fontId="7" fillId="2" borderId="5" xfId="3" applyNumberFormat="1" applyBorder="1" applyAlignment="1">
      <alignment horizontal="center"/>
    </xf>
  </cellXfs>
  <cellStyles count="7">
    <cellStyle name="Comma" xfId="1" builtinId="3"/>
    <cellStyle name="Hyperlink" xfId="6" builtinId="8"/>
    <cellStyle name="Input" xfId="3" builtinId="20"/>
    <cellStyle name="Normal" xfId="0" builtinId="0"/>
    <cellStyle name="Note" xfId="5" builtinId="10"/>
    <cellStyle name="Output" xfId="4" builtinId="2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02" t="s">
        <v>25</v>
      </c>
      <c r="B2" s="203"/>
      <c r="C2" s="203"/>
      <c r="D2" s="203"/>
      <c r="E2" s="204"/>
      <c r="G2" s="202" t="s">
        <v>30</v>
      </c>
      <c r="H2" s="203"/>
      <c r="I2" s="203"/>
      <c r="J2" s="203"/>
      <c r="K2" s="204"/>
      <c r="M2" s="202" t="s">
        <v>31</v>
      </c>
      <c r="N2" s="203"/>
      <c r="O2" s="203"/>
      <c r="P2" s="203"/>
      <c r="Q2" s="204"/>
      <c r="R2" s="10"/>
      <c r="S2" s="202" t="s">
        <v>32</v>
      </c>
      <c r="T2" s="203"/>
      <c r="U2" s="203"/>
      <c r="V2" s="203"/>
      <c r="W2" s="204"/>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02" t="s">
        <v>33</v>
      </c>
      <c r="B22" s="203"/>
      <c r="C22" s="203"/>
      <c r="D22" s="203"/>
      <c r="E22" s="204"/>
      <c r="G22" s="202" t="s">
        <v>34</v>
      </c>
      <c r="H22" s="203"/>
      <c r="I22" s="203"/>
      <c r="J22" s="203"/>
      <c r="K22" s="204"/>
      <c r="M22" s="206" t="s">
        <v>35</v>
      </c>
      <c r="N22" s="207"/>
      <c r="O22" s="207"/>
      <c r="P22" s="207"/>
      <c r="Q22" s="208"/>
      <c r="S22" s="202" t="s">
        <v>36</v>
      </c>
      <c r="T22" s="203"/>
      <c r="U22" s="203"/>
      <c r="V22" s="203"/>
      <c r="W22" s="204"/>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05" t="s">
        <v>42</v>
      </c>
      <c r="B48" s="17">
        <v>2015</v>
      </c>
      <c r="C48" s="17">
        <v>2025</v>
      </c>
      <c r="D48" s="17">
        <v>2035</v>
      </c>
      <c r="E48" s="17">
        <v>2050</v>
      </c>
    </row>
    <row r="49" spans="1:5" ht="74.25" customHeight="1" x14ac:dyDescent="0.25">
      <c r="A49" s="205"/>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
  <sheetViews>
    <sheetView tabSelected="1" zoomScale="80" zoomScaleNormal="80" workbookViewId="0">
      <selection activeCell="O14" sqref="O14"/>
    </sheetView>
  </sheetViews>
  <sheetFormatPr defaultRowHeight="15" x14ac:dyDescent="0.25"/>
  <cols>
    <col min="1" max="1" width="9.140625" style="105"/>
    <col min="2" max="11" width="8.7109375" style="105" customWidth="1"/>
    <col min="12" max="16384" width="9.140625" style="105"/>
  </cols>
  <sheetData>
    <row r="2" spans="1:11" x14ac:dyDescent="0.25">
      <c r="B2" s="217" t="s">
        <v>234</v>
      </c>
      <c r="C2" s="218"/>
      <c r="D2" s="218"/>
      <c r="E2" s="218"/>
      <c r="F2" s="218"/>
      <c r="G2" s="218"/>
      <c r="H2" s="218"/>
      <c r="I2" s="218"/>
      <c r="J2" s="218"/>
      <c r="K2" s="219"/>
    </row>
    <row r="3" spans="1:11" x14ac:dyDescent="0.25">
      <c r="B3" s="106"/>
      <c r="C3" s="215" t="s">
        <v>240</v>
      </c>
      <c r="D3" s="215"/>
      <c r="E3" s="215"/>
      <c r="F3" s="215"/>
      <c r="G3" s="215"/>
      <c r="H3" s="215"/>
      <c r="I3" s="215"/>
      <c r="J3" s="215"/>
      <c r="K3" s="216"/>
    </row>
    <row r="4" spans="1:11" x14ac:dyDescent="0.25">
      <c r="B4" s="106"/>
      <c r="C4" s="215" t="s">
        <v>241</v>
      </c>
      <c r="D4" s="215"/>
      <c r="E4" s="215"/>
      <c r="F4" s="215"/>
      <c r="G4" s="215"/>
      <c r="H4" s="215"/>
      <c r="I4" s="215"/>
      <c r="J4" s="215"/>
      <c r="K4" s="216"/>
    </row>
    <row r="5" spans="1:11" x14ac:dyDescent="0.25">
      <c r="B5" s="106"/>
      <c r="C5" s="107"/>
      <c r="D5" s="215" t="s">
        <v>166</v>
      </c>
      <c r="E5" s="215"/>
      <c r="F5" s="215"/>
      <c r="G5" s="215"/>
      <c r="H5" s="215"/>
      <c r="I5" s="215"/>
      <c r="J5" s="215"/>
      <c r="K5" s="216"/>
    </row>
    <row r="6" spans="1:11" x14ac:dyDescent="0.25">
      <c r="B6" s="106"/>
      <c r="C6" s="107"/>
      <c r="D6" s="215" t="s">
        <v>167</v>
      </c>
      <c r="E6" s="215"/>
      <c r="F6" s="215"/>
      <c r="G6" s="215"/>
      <c r="H6" s="215"/>
      <c r="I6" s="215"/>
      <c r="J6" s="215"/>
      <c r="K6" s="216"/>
    </row>
    <row r="7" spans="1:11" x14ac:dyDescent="0.25">
      <c r="B7" s="106"/>
      <c r="C7" s="107"/>
      <c r="D7" s="220" t="s">
        <v>168</v>
      </c>
      <c r="E7" s="220"/>
      <c r="F7" s="220"/>
      <c r="G7" s="220"/>
      <c r="H7" s="220"/>
      <c r="I7" s="220"/>
      <c r="J7" s="220"/>
      <c r="K7" s="221"/>
    </row>
    <row r="8" spans="1:11" x14ac:dyDescent="0.25">
      <c r="B8" s="106"/>
      <c r="C8" s="107"/>
      <c r="D8" s="107"/>
      <c r="E8" s="107"/>
      <c r="F8" s="107"/>
      <c r="G8" s="107"/>
      <c r="H8" s="107"/>
      <c r="I8" s="107"/>
      <c r="J8" s="107"/>
      <c r="K8" s="108"/>
    </row>
    <row r="9" spans="1:11" ht="15" customHeight="1" x14ac:dyDescent="0.25">
      <c r="B9" s="224" t="s">
        <v>169</v>
      </c>
      <c r="C9" s="225"/>
      <c r="D9" s="225"/>
      <c r="E9" s="225"/>
      <c r="F9" s="225"/>
      <c r="G9" s="225"/>
      <c r="H9" s="225"/>
      <c r="I9" s="225"/>
      <c r="J9" s="225"/>
      <c r="K9" s="226"/>
    </row>
    <row r="10" spans="1:11" x14ac:dyDescent="0.25">
      <c r="B10" s="224"/>
      <c r="C10" s="225"/>
      <c r="D10" s="225"/>
      <c r="E10" s="225"/>
      <c r="F10" s="225"/>
      <c r="G10" s="225"/>
      <c r="H10" s="225"/>
      <c r="I10" s="225"/>
      <c r="J10" s="225"/>
      <c r="K10" s="226"/>
    </row>
    <row r="11" spans="1:11" x14ac:dyDescent="0.25">
      <c r="B11" s="197"/>
      <c r="C11" s="195"/>
      <c r="D11" s="195"/>
      <c r="E11" s="195"/>
      <c r="F11" s="195"/>
      <c r="G11" s="195"/>
      <c r="H11" s="195"/>
      <c r="I11" s="195"/>
      <c r="J11" s="195"/>
      <c r="K11" s="196"/>
    </row>
    <row r="12" spans="1:11" ht="15" customHeight="1" x14ac:dyDescent="0.25">
      <c r="B12" s="106"/>
      <c r="C12" s="215" t="s">
        <v>235</v>
      </c>
      <c r="D12" s="215"/>
      <c r="E12" s="215"/>
      <c r="F12" s="215"/>
      <c r="G12" s="215"/>
      <c r="H12" s="215"/>
      <c r="I12" s="222"/>
      <c r="J12" s="199" t="s">
        <v>236</v>
      </c>
      <c r="K12" s="108"/>
    </row>
    <row r="13" spans="1:11" ht="15" customHeight="1" x14ac:dyDescent="0.25">
      <c r="B13" s="106"/>
      <c r="C13" s="215" t="s">
        <v>237</v>
      </c>
      <c r="D13" s="215"/>
      <c r="E13" s="215"/>
      <c r="F13" s="215"/>
      <c r="G13" s="215"/>
      <c r="H13" s="215"/>
      <c r="I13" s="223"/>
      <c r="J13" s="200" t="s">
        <v>238</v>
      </c>
      <c r="K13" s="108"/>
    </row>
    <row r="14" spans="1:11" ht="15" customHeight="1" x14ac:dyDescent="0.25">
      <c r="B14" s="106"/>
      <c r="C14" s="195"/>
      <c r="D14" s="195"/>
      <c r="E14" s="195"/>
      <c r="F14" s="195"/>
      <c r="G14" s="195"/>
      <c r="H14" s="195"/>
      <c r="I14" s="195"/>
      <c r="J14" s="201"/>
      <c r="K14" s="108"/>
    </row>
    <row r="15" spans="1:11" s="183" customFormat="1" ht="15" customHeight="1" x14ac:dyDescent="0.25">
      <c r="A15" s="184"/>
      <c r="B15" s="209" t="s">
        <v>239</v>
      </c>
      <c r="C15" s="210"/>
      <c r="D15" s="210"/>
      <c r="E15" s="210"/>
      <c r="F15" s="210"/>
      <c r="G15" s="210"/>
      <c r="H15" s="210"/>
      <c r="I15" s="210"/>
      <c r="J15" s="210"/>
      <c r="K15" s="211"/>
    </row>
    <row r="16" spans="1:11" s="183" customFormat="1" x14ac:dyDescent="0.25">
      <c r="A16" s="184"/>
      <c r="B16" s="209"/>
      <c r="C16" s="210"/>
      <c r="D16" s="210"/>
      <c r="E16" s="210"/>
      <c r="F16" s="210"/>
      <c r="G16" s="210"/>
      <c r="H16" s="210"/>
      <c r="I16" s="210"/>
      <c r="J16" s="210"/>
      <c r="K16" s="211"/>
    </row>
    <row r="17" spans="1:11" s="183" customFormat="1" x14ac:dyDescent="0.25">
      <c r="A17" s="184"/>
      <c r="B17" s="209"/>
      <c r="C17" s="210"/>
      <c r="D17" s="210"/>
      <c r="E17" s="210"/>
      <c r="F17" s="210"/>
      <c r="G17" s="210"/>
      <c r="H17" s="210"/>
      <c r="I17" s="210"/>
      <c r="J17" s="210"/>
      <c r="K17" s="211"/>
    </row>
    <row r="18" spans="1:11" s="183" customFormat="1" x14ac:dyDescent="0.25">
      <c r="A18" s="184"/>
      <c r="B18" s="209"/>
      <c r="C18" s="210"/>
      <c r="D18" s="210"/>
      <c r="E18" s="210"/>
      <c r="F18" s="210"/>
      <c r="G18" s="210"/>
      <c r="H18" s="210"/>
      <c r="I18" s="210"/>
      <c r="J18" s="210"/>
      <c r="K18" s="211"/>
    </row>
    <row r="19" spans="1:11" s="183" customFormat="1" x14ac:dyDescent="0.25">
      <c r="A19" s="184"/>
      <c r="B19" s="209"/>
      <c r="C19" s="210"/>
      <c r="D19" s="210"/>
      <c r="E19" s="210"/>
      <c r="F19" s="210"/>
      <c r="G19" s="210"/>
      <c r="H19" s="210"/>
      <c r="I19" s="210"/>
      <c r="J19" s="210"/>
      <c r="K19" s="211"/>
    </row>
    <row r="20" spans="1:11" s="183" customFormat="1" x14ac:dyDescent="0.25">
      <c r="A20" s="184"/>
      <c r="B20" s="209"/>
      <c r="C20" s="210"/>
      <c r="D20" s="210"/>
      <c r="E20" s="210"/>
      <c r="F20" s="210"/>
      <c r="G20" s="210"/>
      <c r="H20" s="210"/>
      <c r="I20" s="210"/>
      <c r="J20" s="210"/>
      <c r="K20" s="211"/>
    </row>
    <row r="21" spans="1:11" s="183" customFormat="1" x14ac:dyDescent="0.25">
      <c r="A21" s="184"/>
      <c r="B21" s="209"/>
      <c r="C21" s="210"/>
      <c r="D21" s="210"/>
      <c r="E21" s="210"/>
      <c r="F21" s="210"/>
      <c r="G21" s="210"/>
      <c r="H21" s="210"/>
      <c r="I21" s="210"/>
      <c r="J21" s="210"/>
      <c r="K21" s="211"/>
    </row>
    <row r="22" spans="1:11" s="183" customFormat="1" x14ac:dyDescent="0.25">
      <c r="A22" s="184"/>
      <c r="B22" s="212"/>
      <c r="C22" s="213"/>
      <c r="D22" s="213"/>
      <c r="E22" s="213"/>
      <c r="F22" s="213"/>
      <c r="G22" s="213"/>
      <c r="H22" s="213"/>
      <c r="I22" s="213"/>
      <c r="J22" s="213"/>
      <c r="K22" s="214"/>
    </row>
  </sheetData>
  <mergeCells count="10">
    <mergeCell ref="B15:K22"/>
    <mergeCell ref="C4:K4"/>
    <mergeCell ref="C3:K3"/>
    <mergeCell ref="B2:K2"/>
    <mergeCell ref="D7:K7"/>
    <mergeCell ref="D6:K6"/>
    <mergeCell ref="D5:K5"/>
    <mergeCell ref="C12:I12"/>
    <mergeCell ref="C13:I13"/>
    <mergeCell ref="B9:K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70" zoomScaleNormal="70" workbookViewId="0">
      <selection activeCell="B5" sqref="B5:N5"/>
    </sheetView>
  </sheetViews>
  <sheetFormatPr defaultRowHeight="15" x14ac:dyDescent="0.25"/>
  <cols>
    <col min="1" max="1" width="2.5703125" style="32" bestFit="1" customWidth="1"/>
    <col min="2" max="14" width="15.85546875" customWidth="1"/>
  </cols>
  <sheetData>
    <row r="1" spans="1:14" ht="21" x14ac:dyDescent="0.35">
      <c r="B1" s="53" t="s">
        <v>68</v>
      </c>
    </row>
    <row r="2" spans="1:14" ht="14.25" customHeight="1" x14ac:dyDescent="0.3">
      <c r="B2" s="52"/>
    </row>
    <row r="3" spans="1:14" ht="23.25" customHeight="1" x14ac:dyDescent="0.25">
      <c r="B3" s="238" t="s">
        <v>224</v>
      </c>
      <c r="C3" s="239"/>
      <c r="D3" s="239"/>
      <c r="E3" s="239"/>
      <c r="F3" s="239"/>
      <c r="G3" s="239"/>
      <c r="H3" s="239"/>
      <c r="I3" s="239"/>
      <c r="J3" s="239"/>
      <c r="K3" s="239"/>
      <c r="L3" s="239"/>
      <c r="M3" s="239"/>
      <c r="N3" s="240"/>
    </row>
    <row r="4" spans="1:14" ht="23.25" customHeight="1" x14ac:dyDescent="0.25">
      <c r="B4" s="235" t="s">
        <v>227</v>
      </c>
      <c r="C4" s="236"/>
      <c r="D4" s="236"/>
      <c r="E4" s="236"/>
      <c r="F4" s="236"/>
      <c r="G4" s="236"/>
      <c r="H4" s="236"/>
      <c r="I4" s="236"/>
      <c r="J4" s="236"/>
      <c r="K4" s="236"/>
      <c r="L4" s="236"/>
      <c r="M4" s="236"/>
      <c r="N4" s="237"/>
    </row>
    <row r="5" spans="1:14" ht="23.25" customHeight="1" x14ac:dyDescent="0.25">
      <c r="B5" s="232" t="s">
        <v>61</v>
      </c>
      <c r="C5" s="233"/>
      <c r="D5" s="233"/>
      <c r="E5" s="233"/>
      <c r="F5" s="233"/>
      <c r="G5" s="233"/>
      <c r="H5" s="233"/>
      <c r="I5" s="233"/>
      <c r="J5" s="233"/>
      <c r="K5" s="233"/>
      <c r="L5" s="233"/>
      <c r="M5" s="233"/>
      <c r="N5" s="234"/>
    </row>
    <row r="7" spans="1:14" ht="41.25" customHeight="1" x14ac:dyDescent="0.25">
      <c r="B7" s="128">
        <f>SUM(B28,B40)</f>
        <v>33609494.806818172</v>
      </c>
      <c r="C7" s="231" t="s">
        <v>226</v>
      </c>
      <c r="D7" s="228"/>
      <c r="E7" s="228"/>
      <c r="F7" s="228"/>
      <c r="G7" s="228"/>
      <c r="H7" s="228"/>
      <c r="I7" s="228"/>
      <c r="J7" s="228"/>
      <c r="K7" s="228"/>
      <c r="L7" s="228"/>
      <c r="M7" s="228"/>
      <c r="N7" s="228"/>
    </row>
    <row r="9" spans="1:14" ht="18.75" x14ac:dyDescent="0.3">
      <c r="C9" s="121" t="s">
        <v>73</v>
      </c>
    </row>
    <row r="10" spans="1:14" x14ac:dyDescent="0.25">
      <c r="C10" s="25"/>
    </row>
    <row r="11" spans="1:14" ht="41.25" customHeight="1" x14ac:dyDescent="0.25">
      <c r="A11" s="32">
        <v>1</v>
      </c>
      <c r="B11" s="122">
        <v>500000</v>
      </c>
      <c r="C11" s="241" t="s">
        <v>228</v>
      </c>
      <c r="D11" s="228"/>
      <c r="E11" s="228"/>
      <c r="F11" s="228"/>
      <c r="G11" s="228"/>
      <c r="H11" s="228"/>
      <c r="I11" s="228"/>
      <c r="J11" s="228"/>
      <c r="K11" s="228"/>
      <c r="L11" s="228"/>
      <c r="M11" s="228"/>
      <c r="N11" s="228"/>
    </row>
    <row r="12" spans="1:14" ht="39" customHeight="1" x14ac:dyDescent="0.25">
      <c r="B12" s="21"/>
      <c r="C12" s="31"/>
      <c r="D12" s="131" t="s">
        <v>62</v>
      </c>
      <c r="E12" s="242" t="s">
        <v>66</v>
      </c>
      <c r="F12" s="242"/>
      <c r="G12" s="230" t="s">
        <v>63</v>
      </c>
      <c r="H12" s="230"/>
      <c r="I12" s="230"/>
      <c r="J12" s="230"/>
      <c r="K12" s="230"/>
      <c r="L12" s="230"/>
      <c r="M12" s="230"/>
      <c r="N12" s="230"/>
    </row>
    <row r="13" spans="1:14" ht="39" customHeight="1" x14ac:dyDescent="0.25">
      <c r="B13" s="21"/>
      <c r="C13" s="31"/>
      <c r="D13" s="131"/>
      <c r="E13" s="230" t="s">
        <v>67</v>
      </c>
      <c r="F13" s="230"/>
      <c r="G13" s="230" t="s">
        <v>185</v>
      </c>
      <c r="H13" s="230"/>
      <c r="I13" s="230"/>
      <c r="J13" s="230"/>
      <c r="K13" s="230"/>
      <c r="L13" s="230"/>
      <c r="M13" s="230"/>
      <c r="N13" s="230"/>
    </row>
    <row r="14" spans="1:14" ht="39" customHeight="1" x14ac:dyDescent="0.25">
      <c r="B14" s="21"/>
      <c r="C14" s="31"/>
      <c r="D14" s="131" t="s">
        <v>64</v>
      </c>
      <c r="E14" s="230" t="s">
        <v>65</v>
      </c>
      <c r="F14" s="230"/>
      <c r="G14" s="230"/>
      <c r="H14" s="230"/>
      <c r="I14" s="230"/>
      <c r="J14" s="230"/>
      <c r="K14" s="230"/>
      <c r="L14" s="230"/>
      <c r="M14" s="230"/>
      <c r="N14" s="230"/>
    </row>
    <row r="15" spans="1:14" ht="41.25" customHeight="1" x14ac:dyDescent="0.25">
      <c r="A15" s="32">
        <v>2</v>
      </c>
      <c r="B15" s="122">
        <v>12500</v>
      </c>
      <c r="C15" s="227" t="s">
        <v>229</v>
      </c>
      <c r="D15" s="228"/>
      <c r="E15" s="228"/>
      <c r="F15" s="228"/>
      <c r="G15" s="228"/>
      <c r="H15" s="228"/>
      <c r="I15" s="228"/>
      <c r="J15" s="228"/>
      <c r="K15" s="228"/>
      <c r="L15" s="228"/>
      <c r="M15" s="228"/>
      <c r="N15" s="228"/>
    </row>
    <row r="16" spans="1:14" ht="41.25" customHeight="1" x14ac:dyDescent="0.25">
      <c r="A16" s="32">
        <v>3</v>
      </c>
      <c r="B16" s="122">
        <v>22</v>
      </c>
      <c r="C16" s="227" t="s">
        <v>230</v>
      </c>
      <c r="D16" s="228"/>
      <c r="E16" s="228"/>
      <c r="F16" s="228"/>
      <c r="G16" s="228"/>
      <c r="H16" s="228"/>
      <c r="I16" s="228"/>
      <c r="J16" s="228"/>
      <c r="K16" s="228"/>
      <c r="L16" s="228"/>
      <c r="M16" s="228"/>
      <c r="N16" s="228"/>
    </row>
    <row r="17" spans="1:14" s="124" customFormat="1" ht="39" customHeight="1" x14ac:dyDescent="0.25">
      <c r="A17" s="123"/>
      <c r="D17" s="125">
        <v>0.4</v>
      </c>
      <c r="E17" s="243" t="s">
        <v>187</v>
      </c>
      <c r="F17" s="243"/>
      <c r="G17" s="243"/>
      <c r="H17" s="243"/>
      <c r="I17" s="243"/>
      <c r="J17" s="243"/>
      <c r="K17" s="243"/>
      <c r="L17" s="243"/>
      <c r="M17" s="243"/>
      <c r="N17" s="243"/>
    </row>
    <row r="18" spans="1:14" s="124" customFormat="1" ht="39" customHeight="1" x14ac:dyDescent="0.25">
      <c r="A18" s="123"/>
      <c r="D18" s="125">
        <f>150000/583770</f>
        <v>0.25695051133151753</v>
      </c>
      <c r="E18" s="243" t="s">
        <v>188</v>
      </c>
      <c r="F18" s="243"/>
      <c r="G18" s="243"/>
      <c r="H18" s="243"/>
      <c r="I18" s="243"/>
      <c r="J18" s="243"/>
      <c r="K18" s="243"/>
      <c r="L18" s="243"/>
      <c r="M18" s="243"/>
      <c r="N18" s="243"/>
    </row>
    <row r="19" spans="1:14" s="124" customFormat="1" ht="39" customHeight="1" x14ac:dyDescent="0.25">
      <c r="A19" s="123"/>
      <c r="D19" s="125">
        <v>0.86</v>
      </c>
      <c r="E19" s="243" t="s">
        <v>186</v>
      </c>
      <c r="F19" s="243"/>
      <c r="G19" s="243"/>
      <c r="H19" s="243"/>
      <c r="I19" s="243"/>
      <c r="J19" s="243"/>
      <c r="K19" s="243"/>
      <c r="L19" s="243"/>
      <c r="M19" s="243"/>
      <c r="N19" s="243"/>
    </row>
    <row r="20" spans="1:14" ht="41.25" customHeight="1" x14ac:dyDescent="0.25">
      <c r="B20" s="126">
        <f>B11*B15/B16</f>
        <v>284090909.09090906</v>
      </c>
      <c r="C20" s="230" t="s">
        <v>43</v>
      </c>
      <c r="D20" s="230"/>
      <c r="E20" s="230"/>
      <c r="F20" s="230"/>
      <c r="G20" s="230"/>
      <c r="H20" s="230"/>
      <c r="I20" s="230"/>
      <c r="J20" s="230"/>
      <c r="K20" s="230"/>
      <c r="L20" s="230"/>
      <c r="M20" s="230"/>
      <c r="N20" s="230"/>
    </row>
    <row r="21" spans="1:14" ht="41.25" customHeight="1" x14ac:dyDescent="0.25">
      <c r="A21" s="32">
        <v>4</v>
      </c>
      <c r="B21" s="127">
        <v>0.09</v>
      </c>
      <c r="C21" s="227" t="s">
        <v>231</v>
      </c>
      <c r="D21" s="228"/>
      <c r="E21" s="228"/>
      <c r="F21" s="228"/>
      <c r="G21" s="228"/>
      <c r="H21" s="228"/>
      <c r="I21" s="228"/>
      <c r="J21" s="228"/>
      <c r="K21" s="228"/>
      <c r="L21" s="228"/>
      <c r="M21" s="228"/>
      <c r="N21" s="228"/>
    </row>
    <row r="22" spans="1:14" ht="41.25" customHeight="1" x14ac:dyDescent="0.25">
      <c r="B22" s="126">
        <f>(1-B21)*B20</f>
        <v>258522727.27272725</v>
      </c>
      <c r="C22" s="228" t="s">
        <v>76</v>
      </c>
      <c r="D22" s="228"/>
      <c r="E22" s="228"/>
      <c r="F22" s="228"/>
      <c r="G22" s="228"/>
      <c r="H22" s="228"/>
      <c r="I22" s="228"/>
      <c r="J22" s="228"/>
      <c r="K22" s="228"/>
      <c r="L22" s="228"/>
      <c r="M22" s="228"/>
      <c r="N22" s="228"/>
    </row>
    <row r="23" spans="1:14" ht="41.25" customHeight="1" x14ac:dyDescent="0.25">
      <c r="B23" s="126">
        <f>fossilBtu</f>
        <v>121258.5</v>
      </c>
      <c r="C23" s="228" t="s">
        <v>189</v>
      </c>
      <c r="D23" s="228"/>
      <c r="E23" s="228"/>
      <c r="F23" s="228"/>
      <c r="G23" s="228"/>
      <c r="H23" s="228"/>
      <c r="I23" s="228"/>
      <c r="J23" s="228"/>
      <c r="K23" s="228"/>
      <c r="L23" s="228"/>
      <c r="M23" s="228"/>
      <c r="N23" s="228"/>
    </row>
    <row r="24" spans="1:14" ht="41.25" customHeight="1" x14ac:dyDescent="0.25">
      <c r="B24" s="126">
        <f>B22*B23/1000000</f>
        <v>31348078.124999996</v>
      </c>
      <c r="C24" s="228" t="s">
        <v>69</v>
      </c>
      <c r="D24" s="228"/>
      <c r="E24" s="228"/>
      <c r="F24" s="228"/>
      <c r="G24" s="228"/>
      <c r="H24" s="228"/>
      <c r="I24" s="228"/>
      <c r="J24" s="228"/>
      <c r="K24" s="228"/>
      <c r="L24" s="228"/>
      <c r="M24" s="228"/>
      <c r="N24" s="228"/>
    </row>
    <row r="25" spans="1:14" ht="41.25" customHeight="1" x14ac:dyDescent="0.25">
      <c r="B25" s="126">
        <f>B20-B22</f>
        <v>25568181.818181813</v>
      </c>
      <c r="C25" s="228" t="s">
        <v>70</v>
      </c>
      <c r="D25" s="228"/>
      <c r="E25" s="228"/>
      <c r="F25" s="228"/>
      <c r="G25" s="228"/>
      <c r="H25" s="228"/>
      <c r="I25" s="228"/>
      <c r="J25" s="228"/>
      <c r="K25" s="228"/>
      <c r="L25" s="228"/>
      <c r="M25" s="228"/>
      <c r="N25" s="228"/>
    </row>
    <row r="26" spans="1:14" ht="41.25" customHeight="1" x14ac:dyDescent="0.25">
      <c r="B26" s="126">
        <v>84710</v>
      </c>
      <c r="C26" s="228" t="s">
        <v>71</v>
      </c>
      <c r="D26" s="228"/>
      <c r="E26" s="228"/>
      <c r="F26" s="228"/>
      <c r="G26" s="228"/>
      <c r="H26" s="228"/>
      <c r="I26" s="228"/>
      <c r="J26" s="228"/>
      <c r="K26" s="228"/>
      <c r="L26" s="228"/>
      <c r="M26" s="228"/>
      <c r="N26" s="228"/>
    </row>
    <row r="27" spans="1:14" ht="41.25" customHeight="1" x14ac:dyDescent="0.25">
      <c r="B27" s="126">
        <f>B25*B26/1000000</f>
        <v>2165880.6818181812</v>
      </c>
      <c r="C27" s="228" t="s">
        <v>72</v>
      </c>
      <c r="D27" s="228"/>
      <c r="E27" s="228"/>
      <c r="F27" s="228"/>
      <c r="G27" s="228"/>
      <c r="H27" s="228"/>
      <c r="I27" s="228"/>
      <c r="J27" s="228"/>
      <c r="K27" s="228"/>
      <c r="L27" s="228"/>
      <c r="M27" s="228"/>
      <c r="N27" s="228"/>
    </row>
    <row r="28" spans="1:14" ht="41.25" customHeight="1" x14ac:dyDescent="0.25">
      <c r="B28" s="128">
        <f>B24+B27</f>
        <v>33513958.806818176</v>
      </c>
      <c r="C28" s="231" t="s">
        <v>74</v>
      </c>
      <c r="D28" s="228"/>
      <c r="E28" s="228"/>
      <c r="F28" s="228"/>
      <c r="G28" s="228"/>
      <c r="H28" s="228"/>
      <c r="I28" s="228"/>
      <c r="J28" s="228"/>
      <c r="K28" s="228"/>
      <c r="L28" s="228"/>
      <c r="M28" s="228"/>
      <c r="N28" s="228"/>
    </row>
    <row r="29" spans="1:14" x14ac:dyDescent="0.25">
      <c r="B29" s="21"/>
    </row>
    <row r="30" spans="1:14" ht="18.75" x14ac:dyDescent="0.3">
      <c r="B30" s="21"/>
      <c r="C30" s="121" t="s">
        <v>80</v>
      </c>
    </row>
    <row r="31" spans="1:14" x14ac:dyDescent="0.25">
      <c r="B31" s="21"/>
      <c r="C31" s="54"/>
    </row>
    <row r="32" spans="1:14" x14ac:dyDescent="0.25">
      <c r="B32" s="21" t="s">
        <v>79</v>
      </c>
      <c r="C32" s="25"/>
    </row>
    <row r="33" spans="1:14" x14ac:dyDescent="0.25">
      <c r="B33" s="21"/>
      <c r="C33" s="25"/>
    </row>
    <row r="34" spans="1:14" ht="41.25" customHeight="1" x14ac:dyDescent="0.25">
      <c r="A34" s="32">
        <v>1</v>
      </c>
      <c r="B34" s="130">
        <v>12000</v>
      </c>
      <c r="C34" s="227" t="s">
        <v>232</v>
      </c>
      <c r="D34" s="228"/>
      <c r="E34" s="228"/>
      <c r="F34" s="228"/>
      <c r="G34" s="228"/>
      <c r="H34" s="228"/>
      <c r="I34" s="228"/>
      <c r="J34" s="228"/>
      <c r="K34" s="228"/>
      <c r="L34" s="228"/>
      <c r="M34" s="228"/>
      <c r="N34" s="60"/>
    </row>
    <row r="35" spans="1:14" ht="39" customHeight="1" x14ac:dyDescent="0.25">
      <c r="B35" s="60"/>
      <c r="C35" s="60"/>
      <c r="D35" s="131" t="s">
        <v>62</v>
      </c>
      <c r="E35" s="129" t="s">
        <v>190</v>
      </c>
      <c r="F35" s="60"/>
      <c r="G35" s="60"/>
      <c r="H35" s="60"/>
      <c r="I35" s="60"/>
      <c r="J35" s="60"/>
      <c r="K35" s="60"/>
      <c r="L35" s="60"/>
      <c r="M35" s="60"/>
      <c r="N35" s="60"/>
    </row>
    <row r="36" spans="1:14" ht="41.25" customHeight="1" x14ac:dyDescent="0.25">
      <c r="B36" s="126">
        <v>7000</v>
      </c>
      <c r="C36" s="228" t="s">
        <v>233</v>
      </c>
      <c r="D36" s="228"/>
      <c r="E36" s="228"/>
      <c r="F36" s="228"/>
      <c r="G36" s="228"/>
      <c r="H36" s="228"/>
      <c r="I36" s="228"/>
      <c r="J36" s="228"/>
      <c r="K36" s="228"/>
      <c r="L36" s="228"/>
      <c r="M36" s="228"/>
      <c r="N36" s="228"/>
    </row>
    <row r="37" spans="1:14" ht="41.25" customHeight="1" x14ac:dyDescent="0.25">
      <c r="B37" s="126">
        <v>3</v>
      </c>
      <c r="C37" s="230" t="s">
        <v>77</v>
      </c>
      <c r="D37" s="230"/>
      <c r="E37" s="230"/>
      <c r="F37" s="230"/>
      <c r="G37" s="230"/>
      <c r="H37" s="230"/>
      <c r="I37" s="230"/>
      <c r="J37" s="230"/>
      <c r="K37" s="230"/>
      <c r="L37" s="230"/>
      <c r="M37" s="230"/>
      <c r="N37" s="230"/>
    </row>
    <row r="38" spans="1:14" ht="41.25" customHeight="1" x14ac:dyDescent="0.25">
      <c r="B38" s="126">
        <f>B34*B36/B37</f>
        <v>28000000</v>
      </c>
      <c r="C38" s="230" t="s">
        <v>75</v>
      </c>
      <c r="D38" s="230"/>
      <c r="E38" s="230"/>
      <c r="F38" s="230"/>
      <c r="G38" s="230"/>
      <c r="H38" s="230"/>
      <c r="I38" s="230"/>
      <c r="J38" s="230"/>
      <c r="K38" s="230"/>
      <c r="L38" s="230"/>
      <c r="M38" s="230"/>
      <c r="N38" s="230"/>
    </row>
    <row r="39" spans="1:14" ht="41.25" customHeight="1" x14ac:dyDescent="0.25">
      <c r="B39" s="126">
        <v>3412</v>
      </c>
      <c r="C39" s="230" t="s">
        <v>191</v>
      </c>
      <c r="D39" s="230"/>
      <c r="E39" s="230"/>
      <c r="F39" s="230"/>
      <c r="G39" s="230"/>
      <c r="H39" s="230"/>
      <c r="I39" s="230"/>
      <c r="J39" s="230"/>
      <c r="K39" s="230"/>
      <c r="L39" s="230"/>
      <c r="M39" s="230"/>
      <c r="N39" s="230"/>
    </row>
    <row r="40" spans="1:14" ht="41.25" customHeight="1" x14ac:dyDescent="0.25">
      <c r="B40" s="128">
        <f>B38*B39/1000000</f>
        <v>95536</v>
      </c>
      <c r="C40" s="229" t="s">
        <v>78</v>
      </c>
      <c r="D40" s="230"/>
      <c r="E40" s="230"/>
      <c r="F40" s="230"/>
      <c r="G40" s="230"/>
      <c r="H40" s="230"/>
      <c r="I40" s="230"/>
      <c r="J40" s="230"/>
      <c r="K40" s="230"/>
      <c r="L40" s="230"/>
      <c r="M40" s="230"/>
      <c r="N40" s="230"/>
    </row>
    <row r="41" spans="1:14" x14ac:dyDescent="0.25">
      <c r="B41" s="21"/>
    </row>
    <row r="43" spans="1:14" x14ac:dyDescent="0.25">
      <c r="C43" s="25"/>
    </row>
    <row r="45" spans="1:14" x14ac:dyDescent="0.25">
      <c r="B45" s="21"/>
    </row>
    <row r="50" spans="2:2" x14ac:dyDescent="0.25">
      <c r="B50" s="21"/>
    </row>
    <row r="52" spans="2:2" x14ac:dyDescent="0.25">
      <c r="B52" s="21"/>
    </row>
    <row r="54" spans="2:2" x14ac:dyDescent="0.25">
      <c r="B54" s="23"/>
    </row>
    <row r="55" spans="2:2" x14ac:dyDescent="0.25">
      <c r="B55" s="23"/>
    </row>
    <row r="56" spans="2:2" x14ac:dyDescent="0.25">
      <c r="B56" s="23"/>
    </row>
    <row r="70" spans="2:2" x14ac:dyDescent="0.25">
      <c r="B70" s="21"/>
    </row>
  </sheetData>
  <mergeCells count="30">
    <mergeCell ref="B5:N5"/>
    <mergeCell ref="B4:N4"/>
    <mergeCell ref="B3:N3"/>
    <mergeCell ref="C20:N20"/>
    <mergeCell ref="C11:N11"/>
    <mergeCell ref="E12:F12"/>
    <mergeCell ref="E13:F13"/>
    <mergeCell ref="G13:N13"/>
    <mergeCell ref="G12:N12"/>
    <mergeCell ref="E14:N14"/>
    <mergeCell ref="C15:N15"/>
    <mergeCell ref="C16:N16"/>
    <mergeCell ref="E18:N18"/>
    <mergeCell ref="E19:N19"/>
    <mergeCell ref="E17:N17"/>
    <mergeCell ref="C7:N7"/>
    <mergeCell ref="C21:N21"/>
    <mergeCell ref="C28:N28"/>
    <mergeCell ref="C27:N27"/>
    <mergeCell ref="C26:N26"/>
    <mergeCell ref="C25:N25"/>
    <mergeCell ref="C24:N24"/>
    <mergeCell ref="C23:N23"/>
    <mergeCell ref="C22:N22"/>
    <mergeCell ref="C34:M34"/>
    <mergeCell ref="C36:N36"/>
    <mergeCell ref="C40:N40"/>
    <mergeCell ref="C39:N39"/>
    <mergeCell ref="C38:N38"/>
    <mergeCell ref="C37:N37"/>
  </mergeCells>
  <hyperlinks>
    <hyperlink ref="E12" r:id="rId1" display="Census data"/>
    <hyperlink ref="E35" r:id="rId2"/>
  </hyperlinks>
  <pageMargins left="0.7" right="0.7" top="0.75" bottom="0.75" header="0.3" footer="0.3"/>
  <pageSetup orientation="portrait" horizontalDpi="200" verticalDpi="0" copies="0"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
  <sheetViews>
    <sheetView zoomScale="70" zoomScaleNormal="70" workbookViewId="0">
      <selection activeCell="B49" sqref="B49"/>
    </sheetView>
  </sheetViews>
  <sheetFormatPr defaultRowHeight="15" x14ac:dyDescent="0.25"/>
  <cols>
    <col min="1" max="1" width="2.5703125" style="55" bestFit="1" customWidth="1"/>
    <col min="2" max="14" width="14.5703125" customWidth="1"/>
  </cols>
  <sheetData>
    <row r="1" spans="1:14" ht="21" x14ac:dyDescent="0.35">
      <c r="A1" s="57"/>
      <c r="B1" s="53" t="s">
        <v>96</v>
      </c>
    </row>
    <row r="2" spans="1:14" x14ac:dyDescent="0.25">
      <c r="A2" s="57"/>
      <c r="B2" s="54"/>
    </row>
    <row r="3" spans="1:14" ht="24.75" customHeight="1" x14ac:dyDescent="0.25">
      <c r="A3" s="57"/>
      <c r="B3" s="251" t="s">
        <v>110</v>
      </c>
      <c r="C3" s="252"/>
      <c r="D3" s="252"/>
      <c r="E3" s="252"/>
      <c r="F3" s="252"/>
      <c r="G3" s="252"/>
      <c r="H3" s="252"/>
      <c r="I3" s="252"/>
      <c r="J3" s="252"/>
      <c r="K3" s="252"/>
      <c r="L3" s="252"/>
      <c r="M3" s="252"/>
      <c r="N3" s="253"/>
    </row>
    <row r="4" spans="1:14" ht="24.75" customHeight="1" x14ac:dyDescent="0.25">
      <c r="A4" s="57"/>
      <c r="B4" s="235" t="s">
        <v>227</v>
      </c>
      <c r="C4" s="236"/>
      <c r="D4" s="236"/>
      <c r="E4" s="236"/>
      <c r="F4" s="236"/>
      <c r="G4" s="236"/>
      <c r="H4" s="236"/>
      <c r="I4" s="236"/>
      <c r="J4" s="236"/>
      <c r="K4" s="236"/>
      <c r="L4" s="236"/>
      <c r="M4" s="236"/>
      <c r="N4" s="237"/>
    </row>
    <row r="5" spans="1:14" ht="24.75" customHeight="1" x14ac:dyDescent="0.25">
      <c r="A5" s="57"/>
      <c r="B5" s="232" t="s">
        <v>61</v>
      </c>
      <c r="C5" s="233"/>
      <c r="D5" s="233"/>
      <c r="E5" s="233"/>
      <c r="F5" s="233"/>
      <c r="G5" s="233"/>
      <c r="H5" s="233"/>
      <c r="I5" s="233"/>
      <c r="J5" s="233"/>
      <c r="K5" s="233"/>
      <c r="L5" s="233"/>
      <c r="M5" s="233"/>
      <c r="N5" s="234"/>
    </row>
    <row r="6" spans="1:14" x14ac:dyDescent="0.25">
      <c r="A6" s="57"/>
    </row>
    <row r="7" spans="1:14" ht="42.75" customHeight="1" x14ac:dyDescent="0.25">
      <c r="A7" s="57"/>
      <c r="B7" s="56">
        <f>SUM(B21,B46)</f>
        <v>40839157.221893966</v>
      </c>
      <c r="C7" s="231" t="s">
        <v>95</v>
      </c>
      <c r="D7" s="228"/>
      <c r="E7" s="228"/>
      <c r="F7" s="228"/>
      <c r="G7" s="228"/>
      <c r="H7" s="228"/>
      <c r="I7" s="228"/>
      <c r="J7" s="228"/>
      <c r="K7" s="228"/>
      <c r="L7" s="228"/>
      <c r="M7" s="228"/>
      <c r="N7" s="228"/>
    </row>
    <row r="8" spans="1:14" x14ac:dyDescent="0.25">
      <c r="A8" s="57"/>
      <c r="B8" s="55"/>
    </row>
    <row r="9" spans="1:14" ht="18.75" x14ac:dyDescent="0.3">
      <c r="B9" s="55"/>
      <c r="C9" s="52" t="s">
        <v>82</v>
      </c>
    </row>
    <row r="10" spans="1:14" x14ac:dyDescent="0.25">
      <c r="B10" s="55"/>
      <c r="C10" s="25"/>
    </row>
    <row r="11" spans="1:14" ht="42.75" customHeight="1" x14ac:dyDescent="0.25">
      <c r="A11" s="55">
        <v>1</v>
      </c>
      <c r="B11" s="36">
        <v>257000</v>
      </c>
      <c r="C11" s="254" t="s">
        <v>81</v>
      </c>
      <c r="D11" s="230"/>
      <c r="E11" s="230"/>
      <c r="F11" s="230"/>
      <c r="G11" s="230"/>
      <c r="H11" s="230"/>
      <c r="I11" s="230"/>
      <c r="J11" s="230"/>
      <c r="K11" s="230"/>
      <c r="L11" s="230"/>
      <c r="M11" s="230"/>
      <c r="N11" s="230"/>
    </row>
    <row r="12" spans="1:14" ht="42.75" customHeight="1" x14ac:dyDescent="0.25">
      <c r="B12" s="57"/>
      <c r="C12" s="26"/>
      <c r="D12" s="59" t="s">
        <v>97</v>
      </c>
      <c r="E12" s="246" t="s">
        <v>66</v>
      </c>
      <c r="F12" s="246"/>
      <c r="G12" s="230" t="s">
        <v>83</v>
      </c>
      <c r="H12" s="230"/>
      <c r="I12" s="230"/>
      <c r="J12" s="230"/>
      <c r="K12" s="230"/>
      <c r="L12" s="230"/>
      <c r="M12" s="230"/>
      <c r="N12" s="230"/>
    </row>
    <row r="13" spans="1:14" ht="52.5" customHeight="1" x14ac:dyDescent="0.25">
      <c r="A13" s="55">
        <v>2</v>
      </c>
      <c r="B13" s="36">
        <v>110</v>
      </c>
      <c r="C13" s="250" t="s">
        <v>225</v>
      </c>
      <c r="D13" s="249"/>
      <c r="E13" s="249"/>
      <c r="F13" s="249"/>
      <c r="G13" s="249"/>
      <c r="H13" s="249"/>
      <c r="I13" s="249"/>
      <c r="J13" s="249"/>
      <c r="K13" s="249"/>
      <c r="L13" s="249"/>
      <c r="M13" s="249"/>
      <c r="N13" s="249"/>
    </row>
    <row r="14" spans="1:14" ht="42.75" customHeight="1" x14ac:dyDescent="0.25">
      <c r="B14" s="55"/>
      <c r="C14" s="61"/>
      <c r="D14" s="33" t="s">
        <v>59</v>
      </c>
      <c r="E14" s="249" t="s">
        <v>88</v>
      </c>
      <c r="F14" s="249"/>
      <c r="G14" s="249"/>
      <c r="H14" s="249"/>
      <c r="I14" s="249"/>
      <c r="J14" s="249"/>
      <c r="K14" s="249"/>
      <c r="L14" s="249"/>
      <c r="M14" s="249"/>
      <c r="N14" s="249"/>
    </row>
    <row r="15" spans="1:14" ht="42.75" customHeight="1" x14ac:dyDescent="0.25">
      <c r="B15" s="57"/>
      <c r="C15" s="62"/>
      <c r="D15" s="34">
        <v>0.26</v>
      </c>
      <c r="E15" s="249" t="s">
        <v>85</v>
      </c>
      <c r="F15" s="249"/>
      <c r="G15" s="249"/>
      <c r="H15" s="249"/>
      <c r="I15" s="249"/>
      <c r="J15" s="249"/>
      <c r="K15" s="249"/>
      <c r="L15" s="249"/>
      <c r="M15" s="249"/>
      <c r="N15" s="249"/>
    </row>
    <row r="16" spans="1:14" ht="42.75" customHeight="1" x14ac:dyDescent="0.25">
      <c r="B16" s="57"/>
      <c r="C16" s="62"/>
      <c r="D16" s="34">
        <v>0.5</v>
      </c>
      <c r="E16" s="249" t="s">
        <v>86</v>
      </c>
      <c r="F16" s="249"/>
      <c r="G16" s="249"/>
      <c r="H16" s="249"/>
      <c r="I16" s="249"/>
      <c r="J16" s="249"/>
      <c r="K16" s="249"/>
      <c r="L16" s="249"/>
      <c r="M16" s="249"/>
      <c r="N16" s="249"/>
    </row>
    <row r="17" spans="1:14" ht="42.75" customHeight="1" x14ac:dyDescent="0.25">
      <c r="B17" s="57"/>
      <c r="C17" s="62"/>
      <c r="D17" s="34">
        <v>0.2</v>
      </c>
      <c r="E17" s="249" t="s">
        <v>87</v>
      </c>
      <c r="F17" s="249"/>
      <c r="G17" s="249"/>
      <c r="H17" s="249"/>
      <c r="I17" s="249"/>
      <c r="J17" s="249"/>
      <c r="K17" s="249"/>
      <c r="L17" s="249"/>
      <c r="M17" s="249"/>
      <c r="N17" s="249"/>
    </row>
    <row r="18" spans="1:14" ht="42.75" customHeight="1" x14ac:dyDescent="0.25">
      <c r="B18" s="57"/>
      <c r="C18" s="62"/>
      <c r="D18" s="35">
        <v>2.2999999999999998</v>
      </c>
      <c r="E18" s="249" t="s">
        <v>89</v>
      </c>
      <c r="F18" s="249"/>
      <c r="G18" s="249"/>
      <c r="H18" s="249"/>
      <c r="I18" s="249"/>
      <c r="J18" s="249"/>
      <c r="K18" s="249"/>
      <c r="L18" s="249"/>
      <c r="M18" s="249"/>
      <c r="N18" s="249"/>
    </row>
    <row r="19" spans="1:14" ht="42.75" customHeight="1" x14ac:dyDescent="0.25">
      <c r="B19" s="57"/>
      <c r="C19" s="62"/>
      <c r="D19" s="34">
        <f>(20000*1.25)/257000</f>
        <v>9.727626459143969E-2</v>
      </c>
      <c r="E19" s="249" t="s">
        <v>98</v>
      </c>
      <c r="F19" s="249"/>
      <c r="G19" s="249"/>
      <c r="H19" s="249"/>
      <c r="I19" s="249"/>
      <c r="J19" s="249"/>
      <c r="K19" s="249"/>
      <c r="L19" s="249"/>
      <c r="M19" s="249"/>
      <c r="N19" s="249"/>
    </row>
    <row r="20" spans="1:14" x14ac:dyDescent="0.25">
      <c r="B20" s="57"/>
      <c r="C20" s="27"/>
      <c r="F20" s="26"/>
      <c r="G20" s="27"/>
      <c r="H20" s="27"/>
      <c r="I20" s="27"/>
      <c r="J20" s="27"/>
      <c r="K20" s="27"/>
      <c r="L20" s="27"/>
    </row>
    <row r="21" spans="1:14" ht="42.75" customHeight="1" x14ac:dyDescent="0.25">
      <c r="B21" s="56">
        <f>B11*B13</f>
        <v>28270000</v>
      </c>
      <c r="C21" s="229" t="s">
        <v>93</v>
      </c>
      <c r="D21" s="230"/>
      <c r="E21" s="230"/>
      <c r="F21" s="230"/>
      <c r="G21" s="230"/>
      <c r="H21" s="230"/>
      <c r="I21" s="230"/>
      <c r="J21" s="230"/>
      <c r="K21" s="230"/>
      <c r="L21" s="230"/>
      <c r="M21" s="230"/>
      <c r="N21" s="230"/>
    </row>
    <row r="22" spans="1:14" x14ac:dyDescent="0.25">
      <c r="B22" s="57"/>
      <c r="C22" s="26"/>
      <c r="D22" s="26"/>
      <c r="E22" s="26"/>
      <c r="F22" s="26"/>
      <c r="G22" s="26"/>
      <c r="H22" s="26"/>
    </row>
    <row r="23" spans="1:14" ht="18.75" x14ac:dyDescent="0.3">
      <c r="B23" s="55"/>
      <c r="C23" s="52" t="s">
        <v>84</v>
      </c>
    </row>
    <row r="24" spans="1:14" ht="15.75" x14ac:dyDescent="0.25">
      <c r="B24" s="55"/>
      <c r="C24" s="63"/>
    </row>
    <row r="25" spans="1:14" ht="32.25" customHeight="1" x14ac:dyDescent="0.25">
      <c r="A25" s="55">
        <v>1</v>
      </c>
      <c r="B25" s="36">
        <v>18000</v>
      </c>
      <c r="C25" s="227" t="s">
        <v>90</v>
      </c>
      <c r="D25" s="228"/>
      <c r="E25" s="228"/>
      <c r="F25" s="228"/>
      <c r="G25" s="228"/>
      <c r="H25" s="228"/>
      <c r="I25" s="228"/>
      <c r="J25" s="228"/>
      <c r="K25" s="228"/>
      <c r="L25" s="228"/>
      <c r="M25" s="228"/>
      <c r="N25" s="228"/>
    </row>
    <row r="26" spans="1:14" s="60" customFormat="1" ht="32.25" customHeight="1" x14ac:dyDescent="0.25">
      <c r="A26" s="55"/>
      <c r="B26" s="55"/>
      <c r="D26" s="60" t="s">
        <v>62</v>
      </c>
      <c r="E26" s="28" t="s">
        <v>91</v>
      </c>
      <c r="G26" s="60" t="s">
        <v>92</v>
      </c>
    </row>
    <row r="27" spans="1:14" ht="82.5" customHeight="1" x14ac:dyDescent="0.25">
      <c r="A27" s="55">
        <v>2</v>
      </c>
      <c r="B27" s="36">
        <f>K44</f>
        <v>698.28651232744267</v>
      </c>
      <c r="C27" s="244" t="s">
        <v>218</v>
      </c>
      <c r="D27" s="245"/>
      <c r="E27" s="245"/>
      <c r="F27" s="245"/>
      <c r="G27" s="245"/>
      <c r="H27" s="245"/>
      <c r="I27" s="245"/>
      <c r="J27" s="245"/>
      <c r="K27" s="245"/>
      <c r="L27" s="245"/>
      <c r="M27" s="245"/>
      <c r="N27" s="245"/>
    </row>
    <row r="28" spans="1:14" x14ac:dyDescent="0.25">
      <c r="B28" s="55"/>
    </row>
    <row r="29" spans="1:14" ht="54" customHeight="1" x14ac:dyDescent="0.25">
      <c r="B29" s="55"/>
      <c r="D29" s="37" t="s">
        <v>60</v>
      </c>
      <c r="E29" s="50" t="s">
        <v>101</v>
      </c>
      <c r="F29" s="50" t="s">
        <v>100</v>
      </c>
      <c r="G29" s="50" t="s">
        <v>99</v>
      </c>
      <c r="H29" s="50" t="s">
        <v>58</v>
      </c>
      <c r="I29" s="50" t="s">
        <v>104</v>
      </c>
      <c r="J29" s="50" t="s">
        <v>102</v>
      </c>
      <c r="K29" s="51" t="s">
        <v>103</v>
      </c>
    </row>
    <row r="30" spans="1:14" ht="47.25" customHeight="1" x14ac:dyDescent="0.25">
      <c r="B30" s="55"/>
      <c r="D30" s="47" t="s">
        <v>46</v>
      </c>
      <c r="E30" s="38">
        <v>1418</v>
      </c>
      <c r="F30" s="38">
        <v>9210</v>
      </c>
      <c r="G30" s="38">
        <f>F30/E30</f>
        <v>6.4950634696755998</v>
      </c>
      <c r="H30" s="38">
        <f t="shared" ref="H30:H43" si="0">G30/SUM($G$30:$G$43)*$H$44</f>
        <v>506702.40423687408</v>
      </c>
      <c r="I30" s="38">
        <f>H30/E30</f>
        <v>357.33596913742883</v>
      </c>
      <c r="J30" s="39">
        <v>1418</v>
      </c>
      <c r="K30" s="40">
        <f t="shared" ref="K30:K43" si="1">IF(J30="","",J30/$J$44)</f>
        <v>7.6166944190793368E-2</v>
      </c>
    </row>
    <row r="31" spans="1:14" ht="47.25" customHeight="1" x14ac:dyDescent="0.25">
      <c r="B31" s="55"/>
      <c r="D31" s="48" t="s">
        <v>47</v>
      </c>
      <c r="E31" s="41">
        <v>3134</v>
      </c>
      <c r="F31" s="41">
        <v>37178</v>
      </c>
      <c r="G31" s="41">
        <f t="shared" ref="G31:G43" si="2">F31/E31</f>
        <v>11.862795149968091</v>
      </c>
      <c r="H31" s="41">
        <f t="shared" si="0"/>
        <v>925457.74980064656</v>
      </c>
      <c r="I31" s="41">
        <f t="shared" ref="I31:I43" si="3">H31/E31</f>
        <v>295.29602737736008</v>
      </c>
      <c r="J31" s="185">
        <v>3134</v>
      </c>
      <c r="K31" s="42">
        <f t="shared" si="1"/>
        <v>0.1683407638180158</v>
      </c>
    </row>
    <row r="32" spans="1:14" ht="47.25" customHeight="1" x14ac:dyDescent="0.25">
      <c r="B32" s="55"/>
      <c r="D32" s="48" t="s">
        <v>48</v>
      </c>
      <c r="E32" s="41">
        <v>549</v>
      </c>
      <c r="F32" s="41">
        <v>6436</v>
      </c>
      <c r="G32" s="41">
        <f t="shared" si="2"/>
        <v>11.723132969034609</v>
      </c>
      <c r="H32" s="41">
        <f t="shared" si="0"/>
        <v>914562.21918876551</v>
      </c>
      <c r="I32" s="41">
        <f t="shared" si="3"/>
        <v>1665.8692517099553</v>
      </c>
      <c r="J32" s="185">
        <v>549</v>
      </c>
      <c r="K32" s="42">
        <f t="shared" si="1"/>
        <v>2.9489176559058923E-2</v>
      </c>
    </row>
    <row r="33" spans="2:17" ht="47.25" customHeight="1" x14ac:dyDescent="0.25">
      <c r="B33" s="55"/>
      <c r="D33" s="48" t="s">
        <v>44</v>
      </c>
      <c r="E33" s="41">
        <v>483</v>
      </c>
      <c r="F33" s="41">
        <v>4689</v>
      </c>
      <c r="G33" s="41">
        <f t="shared" si="2"/>
        <v>9.70807453416149</v>
      </c>
      <c r="H33" s="41">
        <f t="shared" si="0"/>
        <v>757360.52925993747</v>
      </c>
      <c r="I33" s="41">
        <f t="shared" si="3"/>
        <v>1568.0342220702639</v>
      </c>
      <c r="J33" s="185">
        <v>483</v>
      </c>
      <c r="K33" s="42">
        <f t="shared" si="1"/>
        <v>2.5944029650319601E-2</v>
      </c>
    </row>
    <row r="34" spans="2:17" ht="47.25" customHeight="1" x14ac:dyDescent="0.25">
      <c r="B34" s="55"/>
      <c r="D34" s="49" t="s">
        <v>49</v>
      </c>
      <c r="E34" s="41">
        <v>944</v>
      </c>
      <c r="F34" s="41">
        <v>8692</v>
      </c>
      <c r="G34" s="41">
        <f t="shared" si="2"/>
        <v>9.2076271186440675</v>
      </c>
      <c r="H34" s="41">
        <f t="shared" si="0"/>
        <v>718318.89251216396</v>
      </c>
      <c r="I34" s="41">
        <f t="shared" si="3"/>
        <v>760.93103020356352</v>
      </c>
      <c r="J34" s="185">
        <v>944</v>
      </c>
      <c r="K34" s="42">
        <f t="shared" si="1"/>
        <v>5.0706343664392757E-2</v>
      </c>
    </row>
    <row r="35" spans="2:17" ht="47.25" customHeight="1" x14ac:dyDescent="0.25">
      <c r="B35" s="55"/>
      <c r="D35" s="48" t="s">
        <v>50</v>
      </c>
      <c r="E35" s="41">
        <v>716</v>
      </c>
      <c r="F35" s="41">
        <v>2837</v>
      </c>
      <c r="G35" s="41">
        <f t="shared" si="2"/>
        <v>3.9622905027932962</v>
      </c>
      <c r="H35" s="41">
        <f t="shared" si="0"/>
        <v>309112.00997864484</v>
      </c>
      <c r="I35" s="41">
        <f t="shared" si="3"/>
        <v>431.72068432771624</v>
      </c>
      <c r="J35" s="185">
        <v>716</v>
      </c>
      <c r="K35" s="42">
        <f t="shared" si="1"/>
        <v>3.8459472525111456E-2</v>
      </c>
    </row>
    <row r="36" spans="2:17" ht="47.25" customHeight="1" x14ac:dyDescent="0.25">
      <c r="B36" s="55"/>
      <c r="D36" s="49" t="s">
        <v>51</v>
      </c>
      <c r="E36" s="41">
        <v>3170</v>
      </c>
      <c r="F36" s="41">
        <v>14050</v>
      </c>
      <c r="G36" s="41">
        <f t="shared" si="2"/>
        <v>4.4321766561514195</v>
      </c>
      <c r="H36" s="41">
        <f t="shared" si="0"/>
        <v>345769.45678201987</v>
      </c>
      <c r="I36" s="41">
        <f t="shared" si="3"/>
        <v>109.07553841704097</v>
      </c>
      <c r="J36" s="185">
        <v>3170</v>
      </c>
      <c r="K36" s="42">
        <f t="shared" si="1"/>
        <v>0.1702744803136918</v>
      </c>
    </row>
    <row r="37" spans="2:17" ht="47.25" customHeight="1" x14ac:dyDescent="0.25">
      <c r="B37" s="55"/>
      <c r="D37" s="49" t="s">
        <v>52</v>
      </c>
      <c r="E37" s="41">
        <v>112</v>
      </c>
      <c r="F37" s="41">
        <v>2213</v>
      </c>
      <c r="G37" s="41">
        <f t="shared" si="2"/>
        <v>19.758928571428573</v>
      </c>
      <c r="H37" s="41">
        <f t="shared" si="0"/>
        <v>1541462.4751600111</v>
      </c>
      <c r="I37" s="41">
        <f t="shared" si="3"/>
        <v>13763.05781392867</v>
      </c>
      <c r="J37" s="185">
        <v>112</v>
      </c>
      <c r="K37" s="42">
        <f t="shared" si="1"/>
        <v>6.016006875436429E-3</v>
      </c>
    </row>
    <row r="38" spans="2:17" ht="47.25" customHeight="1" x14ac:dyDescent="0.25">
      <c r="B38" s="55"/>
      <c r="D38" s="49" t="s">
        <v>53</v>
      </c>
      <c r="E38" s="41">
        <v>1580</v>
      </c>
      <c r="F38" s="41">
        <v>9665</v>
      </c>
      <c r="G38" s="41">
        <f t="shared" si="2"/>
        <v>6.1170886075949369</v>
      </c>
      <c r="H38" s="41">
        <f t="shared" si="0"/>
        <v>477215.27570432739</v>
      </c>
      <c r="I38" s="41">
        <f t="shared" si="3"/>
        <v>302.034984622992</v>
      </c>
      <c r="J38" s="185">
        <v>1580</v>
      </c>
      <c r="K38" s="42">
        <f t="shared" si="1"/>
        <v>8.4868668421335336E-2</v>
      </c>
    </row>
    <row r="39" spans="2:17" ht="47.25" customHeight="1" x14ac:dyDescent="0.25">
      <c r="B39" s="55"/>
      <c r="D39" s="48" t="s">
        <v>54</v>
      </c>
      <c r="E39" s="41">
        <v>422</v>
      </c>
      <c r="F39" s="41">
        <v>10349</v>
      </c>
      <c r="G39" s="41">
        <f t="shared" si="2"/>
        <v>24.523696682464454</v>
      </c>
      <c r="H39" s="41">
        <f t="shared" si="0"/>
        <v>1913178.5436426576</v>
      </c>
      <c r="I39" s="41">
        <f t="shared" si="3"/>
        <v>4533.5984446508473</v>
      </c>
      <c r="J39" s="185">
        <v>422</v>
      </c>
      <c r="K39" s="42">
        <f t="shared" si="1"/>
        <v>2.2667454477090832E-2</v>
      </c>
    </row>
    <row r="40" spans="2:17" ht="47.25" customHeight="1" x14ac:dyDescent="0.25">
      <c r="B40" s="55"/>
      <c r="D40" s="49" t="s">
        <v>55</v>
      </c>
      <c r="E40" s="41">
        <v>1888</v>
      </c>
      <c r="F40" s="41">
        <v>49518</v>
      </c>
      <c r="G40" s="41">
        <f t="shared" si="2"/>
        <v>26.227754237288135</v>
      </c>
      <c r="H40" s="41">
        <f t="shared" si="0"/>
        <v>2046117.9774170117</v>
      </c>
      <c r="I40" s="41">
        <f t="shared" si="3"/>
        <v>1083.7489287166375</v>
      </c>
      <c r="J40" s="185">
        <v>1888</v>
      </c>
      <c r="K40" s="42">
        <f t="shared" si="1"/>
        <v>0.10141268732878551</v>
      </c>
    </row>
    <row r="41" spans="2:17" ht="47.25" customHeight="1" x14ac:dyDescent="0.25">
      <c r="B41" s="55"/>
      <c r="D41" s="49" t="s">
        <v>56</v>
      </c>
      <c r="E41" s="41">
        <v>412</v>
      </c>
      <c r="F41" s="41">
        <v>3869</v>
      </c>
      <c r="G41" s="41">
        <f t="shared" si="2"/>
        <v>9.3907766990291268</v>
      </c>
      <c r="H41" s="41">
        <f t="shared" si="0"/>
        <v>732607.02582284878</v>
      </c>
      <c r="I41" s="41">
        <f t="shared" si="3"/>
        <v>1778.1723927739049</v>
      </c>
      <c r="J41" s="185">
        <v>412</v>
      </c>
      <c r="K41" s="42">
        <f t="shared" si="1"/>
        <v>2.2130311006069721E-2</v>
      </c>
    </row>
    <row r="42" spans="2:17" ht="47.25" customHeight="1" x14ac:dyDescent="0.25">
      <c r="B42" s="55"/>
      <c r="D42" s="48" t="s">
        <v>57</v>
      </c>
      <c r="E42" s="41">
        <v>1807</v>
      </c>
      <c r="F42" s="41">
        <v>33991</v>
      </c>
      <c r="G42" s="41">
        <f t="shared" si="2"/>
        <v>18.810736026563365</v>
      </c>
      <c r="H42" s="41">
        <f t="shared" si="0"/>
        <v>1467490.6896022826</v>
      </c>
      <c r="I42" s="41">
        <f t="shared" si="3"/>
        <v>812.11438273507611</v>
      </c>
      <c r="J42" s="185">
        <v>1807</v>
      </c>
      <c r="K42" s="42">
        <f t="shared" si="1"/>
        <v>9.706182521351453E-2</v>
      </c>
    </row>
    <row r="43" spans="2:17" ht="47.25" customHeight="1" x14ac:dyDescent="0.25">
      <c r="B43" s="55"/>
      <c r="D43" s="49" t="s">
        <v>45</v>
      </c>
      <c r="E43" s="41">
        <v>1982</v>
      </c>
      <c r="F43" s="41">
        <v>8756</v>
      </c>
      <c r="G43" s="41">
        <f t="shared" si="2"/>
        <v>4.4177598385469219</v>
      </c>
      <c r="H43" s="41">
        <f t="shared" si="0"/>
        <v>344644.75089180813</v>
      </c>
      <c r="I43" s="41">
        <f t="shared" si="3"/>
        <v>173.88736170121501</v>
      </c>
      <c r="J43" s="185">
        <v>1982</v>
      </c>
      <c r="K43" s="42">
        <f t="shared" si="1"/>
        <v>0.10646183595638395</v>
      </c>
    </row>
    <row r="44" spans="2:17" ht="33" customHeight="1" x14ac:dyDescent="0.25">
      <c r="B44" s="55"/>
      <c r="D44" s="43"/>
      <c r="E44" s="44"/>
      <c r="F44" s="44"/>
      <c r="G44" s="44"/>
      <c r="H44" s="45">
        <v>13000000</v>
      </c>
      <c r="I44" s="44"/>
      <c r="J44" s="193">
        <f>SUM(J30:J43)</f>
        <v>18617</v>
      </c>
      <c r="K44" s="46">
        <f>SUMPRODUCT(I30:I43,K30:K43)</f>
        <v>698.28651232744267</v>
      </c>
      <c r="L44" s="247" t="s">
        <v>105</v>
      </c>
      <c r="M44" s="248"/>
      <c r="N44" s="248"/>
      <c r="O44" s="248"/>
      <c r="P44" s="248"/>
      <c r="Q44" s="248"/>
    </row>
    <row r="45" spans="2:17" ht="22.5" customHeight="1" x14ac:dyDescent="0.25">
      <c r="B45" s="55"/>
    </row>
    <row r="46" spans="2:17" ht="37.5" customHeight="1" x14ac:dyDescent="0.25">
      <c r="B46" s="56">
        <f>B25*B27</f>
        <v>12569157.221893968</v>
      </c>
      <c r="C46" s="229" t="s">
        <v>94</v>
      </c>
      <c r="D46" s="230"/>
      <c r="E46" s="230"/>
      <c r="F46" s="230"/>
      <c r="G46" s="230"/>
      <c r="H46" s="230"/>
      <c r="I46" s="230"/>
      <c r="J46" s="230"/>
      <c r="K46" s="230"/>
      <c r="L46" s="230"/>
      <c r="M46" s="230"/>
      <c r="N46" s="230"/>
    </row>
    <row r="55" spans="4:4" x14ac:dyDescent="0.25">
      <c r="D55" s="23"/>
    </row>
  </sheetData>
  <mergeCells count="19">
    <mergeCell ref="B4:N4"/>
    <mergeCell ref="B3:N3"/>
    <mergeCell ref="B5:N5"/>
    <mergeCell ref="C7:N7"/>
    <mergeCell ref="C21:N21"/>
    <mergeCell ref="C11:N11"/>
    <mergeCell ref="C25:N25"/>
    <mergeCell ref="C27:N27"/>
    <mergeCell ref="C46:N46"/>
    <mergeCell ref="E12:F12"/>
    <mergeCell ref="L44:Q44"/>
    <mergeCell ref="G12:N12"/>
    <mergeCell ref="E14:N14"/>
    <mergeCell ref="E19:N19"/>
    <mergeCell ref="E18:N18"/>
    <mergeCell ref="E17:N17"/>
    <mergeCell ref="E16:N16"/>
    <mergeCell ref="E15:N15"/>
    <mergeCell ref="C13:N13"/>
  </mergeCells>
  <hyperlinks>
    <hyperlink ref="E12" r:id="rId1" display="Census data"/>
    <hyperlink ref="E26"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zoomScale="70" zoomScaleNormal="70" workbookViewId="0">
      <selection activeCell="B46" sqref="B46:E46"/>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3" t="s">
        <v>111</v>
      </c>
    </row>
    <row r="4" spans="2:15" ht="19.5" customHeight="1" x14ac:dyDescent="0.25">
      <c r="B4" s="259" t="s">
        <v>192</v>
      </c>
      <c r="C4" s="260"/>
      <c r="D4" s="260"/>
      <c r="E4" s="260"/>
      <c r="F4" s="260"/>
      <c r="G4" s="260"/>
      <c r="H4" s="260"/>
      <c r="I4" s="260"/>
      <c r="J4" s="260"/>
      <c r="K4" s="260"/>
      <c r="L4" s="260"/>
      <c r="M4" s="260"/>
      <c r="N4" s="261"/>
    </row>
    <row r="5" spans="2:15" ht="19.5" customHeight="1" x14ac:dyDescent="0.25">
      <c r="B5" s="262"/>
      <c r="C5" s="263"/>
      <c r="D5" s="263"/>
      <c r="E5" s="263"/>
      <c r="F5" s="263"/>
      <c r="G5" s="263"/>
      <c r="H5" s="263"/>
      <c r="I5" s="263"/>
      <c r="J5" s="263"/>
      <c r="K5" s="263"/>
      <c r="L5" s="263"/>
      <c r="M5" s="263"/>
      <c r="N5" s="264"/>
    </row>
    <row r="6" spans="2:15" ht="19.5" customHeight="1" x14ac:dyDescent="0.25">
      <c r="B6" s="265"/>
      <c r="C6" s="266"/>
      <c r="D6" s="266"/>
      <c r="E6" s="266"/>
      <c r="F6" s="266"/>
      <c r="G6" s="266"/>
      <c r="H6" s="266"/>
      <c r="I6" s="266"/>
      <c r="J6" s="266"/>
      <c r="K6" s="266"/>
      <c r="L6" s="266"/>
      <c r="M6" s="266"/>
      <c r="N6" s="267"/>
    </row>
    <row r="8" spans="2:15" ht="18.75" x14ac:dyDescent="0.3">
      <c r="B8" s="52" t="s">
        <v>113</v>
      </c>
    </row>
    <row r="10" spans="2:15" x14ac:dyDescent="0.25">
      <c r="B10" s="70">
        <v>100</v>
      </c>
      <c r="C10" s="71" t="s">
        <v>130</v>
      </c>
      <c r="D10" s="71"/>
      <c r="E10" s="71"/>
      <c r="F10" s="71"/>
      <c r="G10" s="71"/>
      <c r="H10" s="71"/>
      <c r="I10" s="71"/>
      <c r="J10" s="71"/>
      <c r="K10" s="72"/>
    </row>
    <row r="11" spans="2:15" x14ac:dyDescent="0.25">
      <c r="B11" s="6">
        <v>90</v>
      </c>
      <c r="C11" s="73" t="s">
        <v>178</v>
      </c>
      <c r="D11" s="73"/>
      <c r="E11" s="73"/>
      <c r="F11" s="73"/>
      <c r="G11" s="73"/>
      <c r="H11" s="73"/>
      <c r="I11" s="73"/>
      <c r="J11" s="73"/>
      <c r="K11" s="74"/>
      <c r="M11" s="268" t="s">
        <v>163</v>
      </c>
      <c r="N11" s="269"/>
      <c r="O11" s="270"/>
    </row>
    <row r="12" spans="2:15" x14ac:dyDescent="0.25">
      <c r="B12" s="1">
        <v>100</v>
      </c>
      <c r="C12" s="2" t="s">
        <v>109</v>
      </c>
      <c r="D12" s="2"/>
      <c r="E12" s="2"/>
      <c r="F12" s="2"/>
      <c r="G12" s="2"/>
      <c r="H12" s="2"/>
      <c r="I12" s="2"/>
      <c r="J12" s="2"/>
      <c r="K12" s="3"/>
      <c r="M12" s="271"/>
      <c r="N12" s="272"/>
      <c r="O12" s="273"/>
    </row>
    <row r="13" spans="2:15" x14ac:dyDescent="0.25">
      <c r="B13" s="6">
        <v>40</v>
      </c>
      <c r="C13" s="73" t="s">
        <v>181</v>
      </c>
      <c r="D13" s="73"/>
      <c r="E13" s="73"/>
      <c r="F13" s="73"/>
      <c r="G13" s="73"/>
      <c r="H13" s="73"/>
      <c r="I13" s="73"/>
      <c r="J13" s="73"/>
      <c r="K13" s="74"/>
    </row>
    <row r="14" spans="2:15" x14ac:dyDescent="0.25">
      <c r="B14" s="1">
        <v>100</v>
      </c>
      <c r="C14" s="120" t="s">
        <v>175</v>
      </c>
      <c r="D14" s="2"/>
      <c r="E14" s="2"/>
      <c r="F14" s="2"/>
      <c r="G14" s="2"/>
      <c r="H14" s="2"/>
      <c r="I14" s="2"/>
      <c r="J14" s="2"/>
      <c r="K14" s="3"/>
      <c r="M14" s="268" t="s">
        <v>183</v>
      </c>
      <c r="N14" s="269"/>
      <c r="O14" s="270"/>
    </row>
    <row r="15" spans="2:15" x14ac:dyDescent="0.25">
      <c r="B15" s="1">
        <v>100</v>
      </c>
      <c r="C15" s="120" t="s">
        <v>179</v>
      </c>
      <c r="D15" s="2"/>
      <c r="E15" s="2"/>
      <c r="F15" s="2"/>
      <c r="G15" s="2"/>
      <c r="H15" s="2"/>
      <c r="I15" s="2"/>
      <c r="J15" s="2"/>
      <c r="K15" s="3"/>
      <c r="M15" s="271"/>
      <c r="N15" s="272"/>
      <c r="O15" s="273"/>
    </row>
    <row r="16" spans="2:15" x14ac:dyDescent="0.25">
      <c r="B16" s="70">
        <v>100</v>
      </c>
      <c r="C16" s="71" t="s">
        <v>182</v>
      </c>
      <c r="D16" s="71"/>
      <c r="E16" s="71"/>
      <c r="F16" s="71"/>
      <c r="G16" s="71"/>
      <c r="H16" s="71"/>
      <c r="I16" s="71"/>
      <c r="J16" s="71"/>
      <c r="K16" s="72"/>
    </row>
    <row r="17" spans="2:15" x14ac:dyDescent="0.25">
      <c r="B17" s="75">
        <v>40</v>
      </c>
      <c r="C17" s="76" t="s">
        <v>177</v>
      </c>
      <c r="D17" s="76"/>
      <c r="E17" s="76"/>
      <c r="F17" s="76"/>
      <c r="G17" s="76"/>
      <c r="H17" s="76"/>
      <c r="I17" s="76"/>
      <c r="J17" s="76"/>
      <c r="K17" s="77"/>
      <c r="M17" s="268" t="s">
        <v>184</v>
      </c>
      <c r="N17" s="269"/>
      <c r="O17" s="270"/>
    </row>
    <row r="18" spans="2:15" x14ac:dyDescent="0.25">
      <c r="B18" s="1">
        <v>100</v>
      </c>
      <c r="C18" s="2" t="s">
        <v>176</v>
      </c>
      <c r="D18" s="2"/>
      <c r="E18" s="2"/>
      <c r="F18" s="2"/>
      <c r="G18" s="2"/>
      <c r="H18" s="2"/>
      <c r="I18" s="2"/>
      <c r="J18" s="2"/>
      <c r="K18" s="3"/>
      <c r="M18" s="271"/>
      <c r="N18" s="272"/>
      <c r="O18" s="273"/>
    </row>
    <row r="19" spans="2:15" x14ac:dyDescent="0.25">
      <c r="B19" s="6">
        <v>250</v>
      </c>
      <c r="C19" s="73" t="s">
        <v>180</v>
      </c>
      <c r="D19" s="73"/>
      <c r="E19" s="73"/>
      <c r="F19" s="73"/>
      <c r="G19" s="73"/>
      <c r="H19" s="73"/>
      <c r="I19" s="73"/>
      <c r="J19" s="73"/>
      <c r="K19" s="74"/>
    </row>
    <row r="20" spans="2:15" x14ac:dyDescent="0.25">
      <c r="B20" s="21"/>
      <c r="C20" s="21"/>
      <c r="D20" s="21"/>
      <c r="E20" s="21"/>
    </row>
    <row r="21" spans="2:15" ht="18.75" x14ac:dyDescent="0.3">
      <c r="B21" s="52" t="s">
        <v>133</v>
      </c>
    </row>
    <row r="22" spans="2:15" x14ac:dyDescent="0.25">
      <c r="B22" s="25"/>
    </row>
    <row r="23" spans="2:15" x14ac:dyDescent="0.25">
      <c r="B23" s="79">
        <v>2015</v>
      </c>
      <c r="C23" s="80">
        <v>2025</v>
      </c>
      <c r="D23" s="80">
        <v>2035</v>
      </c>
      <c r="E23" s="81">
        <v>2050</v>
      </c>
    </row>
    <row r="24" spans="2:15" ht="56.25" customHeight="1" x14ac:dyDescent="0.25">
      <c r="B24" s="134">
        <f>'LEAP Scenario'!B14*1000</f>
        <v>30308000</v>
      </c>
      <c r="C24" s="135">
        <f>'LEAP Scenario'!C14*1000</f>
        <v>28432000</v>
      </c>
      <c r="D24" s="135">
        <f>'LEAP Scenario'!D14*1000</f>
        <v>26479000</v>
      </c>
      <c r="E24" s="136">
        <f>'LEAP Scenario'!E14*1000</f>
        <v>24314000</v>
      </c>
      <c r="G24" s="248" t="s">
        <v>135</v>
      </c>
      <c r="H24" s="248"/>
      <c r="I24" s="248"/>
      <c r="J24" s="248"/>
      <c r="K24" s="248"/>
      <c r="L24" s="248"/>
      <c r="M24" s="248"/>
      <c r="N24" s="248"/>
    </row>
    <row r="25" spans="2:15" ht="56.25" customHeight="1" x14ac:dyDescent="0.25">
      <c r="B25" s="186">
        <f>('LEAP Scenario'!B7+'LEAP Scenario'!B8)*(2.4-1)*1000</f>
        <v>173600</v>
      </c>
      <c r="C25" s="187">
        <f>('LEAP Scenario'!C7+'LEAP Scenario'!C8)*(2.6-1)*1000</f>
        <v>1166400</v>
      </c>
      <c r="D25" s="187">
        <f>('LEAP Scenario'!D7+'LEAP Scenario'!D8)*(2.8-1)*1000</f>
        <v>2804399.9999999995</v>
      </c>
      <c r="E25" s="188">
        <f>('LEAP Scenario'!E7+'LEAP Scenario'!E8)*(3-1)*1000</f>
        <v>4772000</v>
      </c>
      <c r="G25" s="248" t="s">
        <v>194</v>
      </c>
      <c r="H25" s="248"/>
      <c r="I25" s="248"/>
      <c r="J25" s="248"/>
      <c r="K25" s="248"/>
      <c r="L25" s="248"/>
      <c r="M25" s="248"/>
      <c r="N25" s="248"/>
    </row>
    <row r="26" spans="2:15" ht="56.25" customHeight="1" x14ac:dyDescent="0.25">
      <c r="B26" s="134">
        <f>'LEAP Scenario'!H14*1000</f>
        <v>29960000</v>
      </c>
      <c r="C26" s="135">
        <f>'LEAP Scenario'!I14*1000</f>
        <v>26512000</v>
      </c>
      <c r="D26" s="135">
        <f>'LEAP Scenario'!J14*1000</f>
        <v>22342000</v>
      </c>
      <c r="E26" s="136">
        <f>'LEAP Scenario'!K14*1000</f>
        <v>15898000</v>
      </c>
      <c r="G26" s="248" t="s">
        <v>136</v>
      </c>
      <c r="H26" s="248"/>
      <c r="I26" s="248"/>
      <c r="J26" s="248"/>
      <c r="K26" s="248"/>
      <c r="L26" s="248"/>
      <c r="M26" s="248"/>
      <c r="N26" s="248"/>
    </row>
    <row r="27" spans="2:15" ht="56.25" customHeight="1" thickBot="1" x14ac:dyDescent="0.3">
      <c r="B27" s="189">
        <f>('LEAP Scenario'!H7+'LEAP Scenario'!H8)*(2.4-1)*1000</f>
        <v>341599.99999999994</v>
      </c>
      <c r="C27" s="190">
        <f>('LEAP Scenario'!I7+'LEAP Scenario'!I8)*(2.6-1)*1000</f>
        <v>2275200.0000000005</v>
      </c>
      <c r="D27" s="190">
        <f>('LEAP Scenario'!J7+'LEAP Scenario'!J8)*(2.8-1)*1000</f>
        <v>5286599.9999999991</v>
      </c>
      <c r="E27" s="191">
        <f>('LEAP Scenario'!K7+'LEAP Scenario'!K8)*(3-1)*1000</f>
        <v>8570000</v>
      </c>
      <c r="G27" s="248" t="s">
        <v>194</v>
      </c>
      <c r="H27" s="248"/>
      <c r="I27" s="248"/>
      <c r="J27" s="248"/>
      <c r="K27" s="248"/>
      <c r="L27" s="248"/>
      <c r="M27" s="248"/>
      <c r="N27" s="248"/>
    </row>
    <row r="28" spans="2:15" ht="56.25" customHeight="1" thickTop="1" x14ac:dyDescent="0.25">
      <c r="B28" s="134">
        <f>B24+B25-B26-B27</f>
        <v>180000.00000000006</v>
      </c>
      <c r="C28" s="135">
        <f>C24+C25-C26-C27</f>
        <v>811199.99999999953</v>
      </c>
      <c r="D28" s="135">
        <f>D24+D25-D26-D27</f>
        <v>1654800.0000000009</v>
      </c>
      <c r="E28" s="136">
        <f>E24+E25-E26-E27</f>
        <v>4618000</v>
      </c>
      <c r="G28" s="248" t="s">
        <v>193</v>
      </c>
      <c r="H28" s="248"/>
      <c r="I28" s="248"/>
      <c r="J28" s="248"/>
      <c r="K28" s="248"/>
      <c r="L28" s="248"/>
      <c r="M28" s="248"/>
      <c r="N28" s="248"/>
    </row>
    <row r="29" spans="2:15" ht="56.25" customHeight="1" x14ac:dyDescent="0.25">
      <c r="B29" s="256">
        <f>0.25*'1.Current Heat'!B13</f>
        <v>27.5</v>
      </c>
      <c r="C29" s="257"/>
      <c r="D29" s="257"/>
      <c r="E29" s="258"/>
      <c r="G29" s="248" t="s">
        <v>137</v>
      </c>
      <c r="H29" s="248"/>
      <c r="I29" s="248"/>
      <c r="J29" s="248"/>
      <c r="K29" s="248"/>
      <c r="L29" s="248"/>
      <c r="M29" s="248"/>
      <c r="N29" s="248"/>
    </row>
    <row r="30" spans="2:15" ht="56.25" customHeight="1" x14ac:dyDescent="0.25">
      <c r="B30" s="134">
        <f>B28/$B$29</f>
        <v>6545.4545454545478</v>
      </c>
      <c r="C30" s="135">
        <f>C28/$B$29</f>
        <v>29498.181818181802</v>
      </c>
      <c r="D30" s="135">
        <f>D28/$B$29</f>
        <v>60174.545454545485</v>
      </c>
      <c r="E30" s="136">
        <f>E28/$B$29</f>
        <v>167927.27272727274</v>
      </c>
      <c r="G30" s="248" t="s">
        <v>138</v>
      </c>
      <c r="H30" s="248"/>
      <c r="I30" s="248"/>
      <c r="J30" s="248"/>
      <c r="K30" s="248"/>
      <c r="L30" s="248"/>
      <c r="M30" s="248"/>
      <c r="N30" s="248"/>
    </row>
    <row r="31" spans="2:15" ht="56.25" customHeight="1" x14ac:dyDescent="0.25">
      <c r="B31" s="137">
        <f>'1.Current Heat'!B11</f>
        <v>257000</v>
      </c>
      <c r="C31" s="138">
        <v>267000</v>
      </c>
      <c r="D31" s="138">
        <v>277000</v>
      </c>
      <c r="E31" s="139">
        <v>290000</v>
      </c>
      <c r="G31" s="248" t="s">
        <v>139</v>
      </c>
      <c r="H31" s="248"/>
      <c r="I31" s="248"/>
      <c r="J31" s="248"/>
      <c r="K31" s="248"/>
      <c r="L31" s="248"/>
      <c r="M31" s="248"/>
      <c r="N31" s="248"/>
      <c r="O31" s="194">
        <f>(E31/B31)^(1/(E23-B23))-1</f>
        <v>3.4575303183168593E-3</v>
      </c>
    </row>
    <row r="32" spans="2:15" ht="56.25" customHeight="1" x14ac:dyDescent="0.25">
      <c r="B32" s="140">
        <f>B30/B31</f>
        <v>2.5468694729395128E-2</v>
      </c>
      <c r="C32" s="141">
        <f>C30/C31</f>
        <v>0.11048008171603671</v>
      </c>
      <c r="D32" s="141">
        <f>D30/D31</f>
        <v>0.21723662618969489</v>
      </c>
      <c r="E32" s="142">
        <f>E30/E31</f>
        <v>0.57905956112852663</v>
      </c>
      <c r="G32" s="248" t="s">
        <v>199</v>
      </c>
      <c r="H32" s="248"/>
      <c r="I32" s="248"/>
      <c r="J32" s="248"/>
      <c r="K32" s="248"/>
      <c r="L32" s="248"/>
      <c r="M32" s="248"/>
      <c r="N32" s="248"/>
    </row>
    <row r="33" spans="2:34" s="167" customFormat="1" x14ac:dyDescent="0.25">
      <c r="B33" s="166"/>
      <c r="C33" s="166"/>
      <c r="D33" s="166"/>
      <c r="E33" s="166"/>
      <c r="G33" s="168"/>
      <c r="H33" s="168"/>
      <c r="I33" s="168"/>
      <c r="J33" s="168"/>
      <c r="K33" s="168"/>
      <c r="L33" s="168"/>
      <c r="M33" s="168"/>
      <c r="N33" s="168"/>
    </row>
    <row r="34" spans="2:34" s="167" customFormat="1" ht="18.75" x14ac:dyDescent="0.25">
      <c r="B34" s="169" t="s">
        <v>134</v>
      </c>
      <c r="C34" s="166"/>
      <c r="D34" s="166"/>
      <c r="E34" s="166"/>
      <c r="G34" s="168"/>
      <c r="H34" s="168"/>
      <c r="I34" s="168"/>
      <c r="J34" s="168"/>
      <c r="K34" s="168"/>
      <c r="L34" s="168"/>
      <c r="M34" s="168"/>
      <c r="N34" s="168"/>
    </row>
    <row r="35" spans="2:34" s="167" customFormat="1" x14ac:dyDescent="0.25">
      <c r="B35" s="170"/>
      <c r="C35" s="166"/>
      <c r="D35" s="166"/>
      <c r="E35" s="166"/>
      <c r="G35" s="168"/>
      <c r="H35" s="168"/>
      <c r="I35" s="168"/>
      <c r="J35" s="168"/>
      <c r="K35" s="168"/>
      <c r="L35" s="168"/>
      <c r="M35" s="168"/>
      <c r="N35" s="168"/>
    </row>
    <row r="36" spans="2:34" x14ac:dyDescent="0.25">
      <c r="B36" s="145">
        <v>2015</v>
      </c>
      <c r="C36" s="146">
        <v>2025</v>
      </c>
      <c r="D36" s="146">
        <v>2035</v>
      </c>
      <c r="E36" s="147">
        <v>2050</v>
      </c>
      <c r="G36" s="132"/>
      <c r="H36" s="132"/>
      <c r="I36" s="132"/>
      <c r="J36" s="132"/>
      <c r="K36" s="132"/>
      <c r="L36" s="132"/>
      <c r="M36" s="132"/>
      <c r="N36" s="132"/>
    </row>
    <row r="37" spans="2:34" ht="56.25" customHeight="1" x14ac:dyDescent="0.25">
      <c r="B37" s="134">
        <f>('LEAP Scenario'!N11-'LEAP Scenario'!N6)*1000</f>
        <v>11205000</v>
      </c>
      <c r="C37" s="135">
        <f>('LEAP Scenario'!O11-'LEAP Scenario'!O6)*1000</f>
        <v>11119000</v>
      </c>
      <c r="D37" s="135">
        <f>('LEAP Scenario'!P11-'LEAP Scenario'!P6)*1000</f>
        <v>10800000</v>
      </c>
      <c r="E37" s="136">
        <f>('LEAP Scenario'!Q11-'LEAP Scenario'!Q6)*1000</f>
        <v>10502000</v>
      </c>
      <c r="G37" s="248" t="s">
        <v>195</v>
      </c>
      <c r="H37" s="248"/>
      <c r="I37" s="248"/>
      <c r="J37" s="248"/>
      <c r="K37" s="248"/>
      <c r="L37" s="248"/>
      <c r="M37" s="248"/>
      <c r="N37" s="248"/>
    </row>
    <row r="38" spans="2:34" ht="56.25" customHeight="1" x14ac:dyDescent="0.25">
      <c r="B38" s="134">
        <f>'LEAP Scenario'!N6*1000</f>
        <v>7118000</v>
      </c>
      <c r="C38" s="135">
        <f>'LEAP Scenario'!O6*1000</f>
        <v>7192000</v>
      </c>
      <c r="D38" s="135">
        <f>'LEAP Scenario'!P6*1000</f>
        <v>7125000</v>
      </c>
      <c r="E38" s="136">
        <f>'LEAP Scenario'!Q6*1000</f>
        <v>7158000</v>
      </c>
      <c r="F38" s="192"/>
      <c r="G38" s="248" t="s">
        <v>107</v>
      </c>
      <c r="H38" s="248"/>
      <c r="I38" s="248"/>
      <c r="J38" s="248"/>
      <c r="K38" s="248"/>
      <c r="L38" s="248"/>
      <c r="M38" s="248"/>
      <c r="N38" s="248"/>
    </row>
    <row r="39" spans="2:34" ht="56.25" customHeight="1" x14ac:dyDescent="0.25">
      <c r="B39" s="134">
        <f>0.005*B38</f>
        <v>35590</v>
      </c>
      <c r="C39" s="135">
        <f>B39-(($B$39-$E$39)/3)</f>
        <v>143026.66666666669</v>
      </c>
      <c r="D39" s="135">
        <f>C39-(($B$39-$E$39)/3)</f>
        <v>250463.33333333337</v>
      </c>
      <c r="E39" s="136">
        <f>0.05*E38</f>
        <v>357900</v>
      </c>
      <c r="G39" s="248" t="s">
        <v>215</v>
      </c>
      <c r="H39" s="248"/>
      <c r="I39" s="248"/>
      <c r="J39" s="248"/>
      <c r="K39" s="248"/>
      <c r="L39" s="248"/>
      <c r="M39" s="248"/>
      <c r="N39" s="248"/>
      <c r="V39" s="21"/>
      <c r="W39" s="21"/>
      <c r="X39" s="21"/>
      <c r="Y39" s="21"/>
      <c r="AH39" s="21"/>
    </row>
    <row r="40" spans="2:34" ht="56.25" customHeight="1" x14ac:dyDescent="0.25">
      <c r="B40" s="148">
        <f>B39*(2.4-1)</f>
        <v>49826</v>
      </c>
      <c r="C40" s="149">
        <f>C39*(2.6-1)</f>
        <v>228842.66666666672</v>
      </c>
      <c r="D40" s="149">
        <f>D39*(2.8-1)</f>
        <v>450834</v>
      </c>
      <c r="E40" s="150">
        <f>E39*(3-1)</f>
        <v>715800</v>
      </c>
      <c r="G40" s="248" t="s">
        <v>216</v>
      </c>
      <c r="H40" s="248"/>
      <c r="I40" s="248"/>
      <c r="J40" s="248"/>
      <c r="K40" s="248"/>
      <c r="L40" s="248"/>
      <c r="M40" s="248"/>
      <c r="N40" s="248"/>
      <c r="V40" s="21"/>
      <c r="W40" s="21"/>
      <c r="X40" s="21"/>
      <c r="Y40" s="21"/>
      <c r="AH40" s="21"/>
    </row>
    <row r="41" spans="2:34" ht="56.25" customHeight="1" x14ac:dyDescent="0.25">
      <c r="B41" s="134">
        <f>('LEAP Scenario'!T11-'LEAP Scenario'!T6)*1000</f>
        <v>11011400</v>
      </c>
      <c r="C41" s="135">
        <f>('LEAP Scenario'!U11-'LEAP Scenario'!U6)*1000</f>
        <v>9904000</v>
      </c>
      <c r="D41" s="135">
        <f>('LEAP Scenario'!V11-'LEAP Scenario'!V6)*1000</f>
        <v>8521400</v>
      </c>
      <c r="E41" s="136">
        <f>('LEAP Scenario'!W11-'LEAP Scenario'!W6)*1000</f>
        <v>6448600</v>
      </c>
      <c r="G41" s="248" t="s">
        <v>217</v>
      </c>
      <c r="H41" s="248"/>
      <c r="I41" s="248"/>
      <c r="J41" s="248"/>
      <c r="K41" s="248"/>
      <c r="L41" s="248"/>
      <c r="M41" s="248"/>
      <c r="N41" s="248"/>
      <c r="AH41" s="21"/>
    </row>
    <row r="42" spans="2:34" ht="56.25" customHeight="1" x14ac:dyDescent="0.25">
      <c r="B42" s="134">
        <f>'LEAP Scenario'!T6*1000</f>
        <v>7117900</v>
      </c>
      <c r="C42" s="135">
        <f>'LEAP Scenario'!U6*1000</f>
        <v>7191700</v>
      </c>
      <c r="D42" s="135">
        <f>'LEAP Scenario'!V6*1000</f>
        <v>7124600</v>
      </c>
      <c r="E42" s="136">
        <f>'LEAP Scenario'!W6*1000</f>
        <v>7158400</v>
      </c>
      <c r="G42" s="248" t="s">
        <v>108</v>
      </c>
      <c r="H42" s="248"/>
      <c r="I42" s="248"/>
      <c r="J42" s="248"/>
      <c r="K42" s="248"/>
      <c r="L42" s="248"/>
      <c r="M42" s="248"/>
      <c r="N42" s="248"/>
      <c r="V42" s="29"/>
      <c r="W42" s="29"/>
      <c r="X42" s="29"/>
      <c r="Y42" s="29"/>
      <c r="AH42" s="21"/>
    </row>
    <row r="43" spans="2:34" ht="56.25" customHeight="1" x14ac:dyDescent="0.25">
      <c r="B43" s="134">
        <f>B39</f>
        <v>35590</v>
      </c>
      <c r="C43" s="135">
        <f>B43-(($B$43-$E$43)/3)</f>
        <v>479468.88888888893</v>
      </c>
      <c r="D43" s="135">
        <f>C43-(($B$43-$E$43)/3)</f>
        <v>923347.77777777787</v>
      </c>
      <c r="E43" s="136">
        <f>0.8*((E37+E39+E40-E41)/3)</f>
        <v>1367226.6666666667</v>
      </c>
      <c r="G43" s="248" t="s">
        <v>155</v>
      </c>
      <c r="H43" s="248"/>
      <c r="I43" s="248"/>
      <c r="J43" s="248"/>
      <c r="K43" s="248"/>
      <c r="L43" s="248"/>
      <c r="M43" s="248"/>
      <c r="N43" s="248"/>
      <c r="AH43" s="21"/>
    </row>
    <row r="44" spans="2:34" ht="56.25" customHeight="1" x14ac:dyDescent="0.25">
      <c r="B44" s="134">
        <f>B43*(2.4-1)</f>
        <v>49826</v>
      </c>
      <c r="C44" s="135">
        <f>C43*(2.6-1)</f>
        <v>767150.22222222236</v>
      </c>
      <c r="D44" s="135">
        <f>D43*(2.8-1)</f>
        <v>1662026</v>
      </c>
      <c r="E44" s="136">
        <f>E43*(3-1)</f>
        <v>2734453.3333333335</v>
      </c>
      <c r="F44" s="21"/>
      <c r="G44" s="248" t="s">
        <v>106</v>
      </c>
      <c r="H44" s="248"/>
      <c r="I44" s="248"/>
      <c r="J44" s="248"/>
      <c r="K44" s="248"/>
      <c r="L44" s="248"/>
      <c r="M44" s="248"/>
      <c r="N44" s="248"/>
      <c r="V44" s="21"/>
      <c r="W44" s="21"/>
      <c r="X44" s="21"/>
      <c r="Y44" s="21"/>
      <c r="AH44" s="21"/>
    </row>
    <row r="45" spans="2:34" ht="56.25" customHeight="1" x14ac:dyDescent="0.25">
      <c r="B45" s="134">
        <f>B37+B39+B40-B41-B43-B44</f>
        <v>193600</v>
      </c>
      <c r="C45" s="135">
        <f>C37+C39+C40-C41-C43-C44</f>
        <v>340250.22222222073</v>
      </c>
      <c r="D45" s="135">
        <f>D37+D39+D40-D41-D43-D44</f>
        <v>394523.55555555597</v>
      </c>
      <c r="E45" s="136">
        <f>E37+E39+E40-E41-E43-E44</f>
        <v>1025419.9999999995</v>
      </c>
      <c r="F45" s="97"/>
      <c r="G45" s="248" t="s">
        <v>162</v>
      </c>
      <c r="H45" s="248"/>
      <c r="I45" s="248"/>
      <c r="J45" s="248"/>
      <c r="K45" s="248"/>
      <c r="L45" s="248"/>
      <c r="M45" s="248"/>
      <c r="N45" s="248"/>
      <c r="AH45" s="21"/>
    </row>
    <row r="46" spans="2:34" ht="56.25" customHeight="1" x14ac:dyDescent="0.25">
      <c r="B46" s="256">
        <f>0.2*'1.Current Heat'!B27</f>
        <v>139.65730246548853</v>
      </c>
      <c r="C46" s="257"/>
      <c r="D46" s="257"/>
      <c r="E46" s="258"/>
      <c r="G46" s="248" t="s">
        <v>140</v>
      </c>
      <c r="H46" s="248"/>
      <c r="I46" s="248"/>
      <c r="J46" s="248"/>
      <c r="K46" s="248"/>
      <c r="L46" s="248"/>
      <c r="M46" s="248"/>
      <c r="N46" s="248"/>
      <c r="AH46" s="21"/>
    </row>
    <row r="47" spans="2:34" ht="56.25" customHeight="1" x14ac:dyDescent="0.25">
      <c r="B47" s="134">
        <f>B45/$B$46</f>
        <v>1386.2504615384616</v>
      </c>
      <c r="C47" s="135">
        <f>C45/$B$46</f>
        <v>2436.3224565811861</v>
      </c>
      <c r="D47" s="135">
        <f>D45/$B$46</f>
        <v>2824.9403976068406</v>
      </c>
      <c r="E47" s="136">
        <f>E45/$B$46</f>
        <v>7342.4015923076895</v>
      </c>
      <c r="G47" s="248" t="s">
        <v>141</v>
      </c>
      <c r="H47" s="248"/>
      <c r="I47" s="248"/>
      <c r="J47" s="248"/>
      <c r="K47" s="248"/>
      <c r="L47" s="248"/>
      <c r="M47" s="248"/>
      <c r="N47" s="248"/>
    </row>
    <row r="48" spans="2:34" ht="56.25" customHeight="1" x14ac:dyDescent="0.25">
      <c r="B48" s="137">
        <f>'1.Current Heat'!B25</f>
        <v>18000</v>
      </c>
      <c r="C48" s="138">
        <v>18500</v>
      </c>
      <c r="D48" s="138">
        <v>19000</v>
      </c>
      <c r="E48" s="139">
        <v>19500</v>
      </c>
      <c r="G48" s="248" t="s">
        <v>214</v>
      </c>
      <c r="H48" s="248"/>
      <c r="I48" s="248"/>
      <c r="J48" s="248"/>
      <c r="K48" s="248"/>
      <c r="L48" s="248"/>
      <c r="M48" s="248"/>
      <c r="N48" s="248"/>
      <c r="O48" s="194">
        <f>(E48/B48)^(1/(E36-B36))-1</f>
        <v>2.2895515342844508E-3</v>
      </c>
    </row>
    <row r="49" spans="1:14" ht="56.25" customHeight="1" x14ac:dyDescent="0.25">
      <c r="B49" s="140">
        <f>B47/B48</f>
        <v>7.7013914529914532E-2</v>
      </c>
      <c r="C49" s="141">
        <f>C47/C48</f>
        <v>0.13169310576114521</v>
      </c>
      <c r="D49" s="141">
        <f>D47/D48</f>
        <v>0.14868107355825477</v>
      </c>
      <c r="E49" s="142">
        <f>E47/E48</f>
        <v>0.37653341499013793</v>
      </c>
      <c r="G49" s="248" t="s">
        <v>198</v>
      </c>
      <c r="H49" s="248"/>
      <c r="I49" s="248"/>
      <c r="J49" s="248"/>
      <c r="K49" s="248"/>
      <c r="L49" s="248"/>
      <c r="M49" s="248"/>
      <c r="N49" s="248"/>
    </row>
    <row r="50" spans="1:14" x14ac:dyDescent="0.25">
      <c r="B50" s="151"/>
      <c r="C50" s="151"/>
      <c r="D50" s="151"/>
      <c r="E50" s="151"/>
      <c r="G50" s="132"/>
      <c r="H50" s="132"/>
      <c r="I50" s="132"/>
      <c r="J50" s="132"/>
      <c r="K50" s="132"/>
      <c r="L50" s="132"/>
      <c r="M50" s="132"/>
      <c r="N50" s="132"/>
    </row>
    <row r="51" spans="1:14" ht="18.75" x14ac:dyDescent="0.25">
      <c r="B51" s="143" t="s">
        <v>142</v>
      </c>
      <c r="C51" s="60"/>
      <c r="D51" s="60"/>
      <c r="E51" s="60"/>
      <c r="G51" s="132"/>
      <c r="H51" s="132"/>
      <c r="I51" s="132"/>
      <c r="J51" s="132"/>
      <c r="K51" s="132"/>
      <c r="L51" s="132"/>
      <c r="M51" s="132"/>
      <c r="N51" s="132"/>
    </row>
    <row r="52" spans="1:14" x14ac:dyDescent="0.25">
      <c r="B52" s="144"/>
      <c r="C52" s="60"/>
      <c r="D52" s="60"/>
      <c r="E52" s="60"/>
      <c r="G52" s="132"/>
      <c r="H52" s="132"/>
      <c r="I52" s="132"/>
      <c r="J52" s="132"/>
      <c r="K52" s="132"/>
      <c r="L52" s="132"/>
      <c r="M52" s="132"/>
      <c r="N52" s="132"/>
    </row>
    <row r="53" spans="1:14" x14ac:dyDescent="0.25">
      <c r="B53" s="145">
        <v>2015</v>
      </c>
      <c r="C53" s="146">
        <v>2025</v>
      </c>
      <c r="D53" s="146">
        <v>2035</v>
      </c>
      <c r="E53" s="147">
        <v>2050</v>
      </c>
      <c r="G53" s="132"/>
      <c r="H53" s="132"/>
      <c r="I53" s="132"/>
      <c r="J53" s="132"/>
      <c r="K53" s="132"/>
      <c r="L53" s="133"/>
      <c r="M53" s="132"/>
      <c r="N53" s="132"/>
    </row>
    <row r="54" spans="1:14" ht="56.25" customHeight="1" x14ac:dyDescent="0.25">
      <c r="B54" s="152">
        <f>'1.Current Heat'!B13</f>
        <v>110</v>
      </c>
      <c r="C54" s="153">
        <f>C32*($B$54-$B$29)+(1-C32)*$B$54</f>
        <v>106.96179775280899</v>
      </c>
      <c r="D54" s="153">
        <f>D32*($B$54-$B$29)+(1-D32)*$B$54</f>
        <v>104.02599277978339</v>
      </c>
      <c r="E54" s="154">
        <f>E32*($B$54-$B$29)+(1-E32)*$B$54</f>
        <v>94.075862068965506</v>
      </c>
      <c r="F54" s="1"/>
      <c r="G54" s="248" t="s">
        <v>122</v>
      </c>
      <c r="H54" s="248"/>
      <c r="I54" s="248"/>
      <c r="J54" s="248"/>
      <c r="K54" s="248"/>
      <c r="L54" s="248"/>
      <c r="M54" s="248"/>
      <c r="N54" s="248"/>
    </row>
    <row r="55" spans="1:14" ht="56.25" customHeight="1" x14ac:dyDescent="0.25">
      <c r="B55" s="155">
        <f>('LEAP Scenario'!H4+'LEAP Scenario'!H9+'LEAP Scenario'!H12)*1000</f>
        <v>11055000</v>
      </c>
      <c r="C55" s="156">
        <f>('LEAP Scenario'!I4+'LEAP Scenario'!I9+'LEAP Scenario'!I12)*1000</f>
        <v>8396000</v>
      </c>
      <c r="D55" s="156">
        <f>('LEAP Scenario'!J4+'LEAP Scenario'!J9+'LEAP Scenario'!J12)*1000</f>
        <v>5851000</v>
      </c>
      <c r="E55" s="157">
        <f>('LEAP Scenario'!K4+'LEAP Scenario'!K9+'LEAP Scenario'!K12)*1000</f>
        <v>1818000</v>
      </c>
      <c r="G55" s="248" t="s">
        <v>123</v>
      </c>
      <c r="H55" s="248"/>
      <c r="I55" s="248"/>
      <c r="J55" s="248"/>
      <c r="K55" s="248"/>
      <c r="L55" s="248"/>
      <c r="M55" s="248"/>
      <c r="N55" s="248"/>
    </row>
    <row r="56" spans="1:14" ht="56.25" customHeight="1" x14ac:dyDescent="0.25">
      <c r="B56" s="158">
        <f>'LEAP Scenario'!H4*1000/'2.Heat Targets'!B55</f>
        <v>7.6888285843509721E-3</v>
      </c>
      <c r="C56" s="159">
        <f>'LEAP Scenario'!I4*1000/'2.Heat Targets'!C55</f>
        <v>6.1457837065269173E-2</v>
      </c>
      <c r="D56" s="159">
        <f>'LEAP Scenario'!J4*1000/'2.Heat Targets'!D55</f>
        <v>0.16715091437361135</v>
      </c>
      <c r="E56" s="160">
        <f>'LEAP Scenario'!K4*1000/'2.Heat Targets'!E55</f>
        <v>1</v>
      </c>
      <c r="G56" s="248" t="s">
        <v>150</v>
      </c>
      <c r="H56" s="248"/>
      <c r="I56" s="248"/>
      <c r="J56" s="248"/>
      <c r="K56" s="248"/>
      <c r="L56" s="248"/>
      <c r="M56" s="248"/>
      <c r="N56" s="248"/>
    </row>
    <row r="57" spans="1:14" ht="56.25" customHeight="1" x14ac:dyDescent="0.25">
      <c r="B57" s="134">
        <f>B55/B54</f>
        <v>100500</v>
      </c>
      <c r="C57" s="135">
        <f>C55/C54</f>
        <v>78495.314929198707</v>
      </c>
      <c r="D57" s="135">
        <f>D55/D54</f>
        <v>56245.55789999722</v>
      </c>
      <c r="E57" s="136">
        <f>E55/E54</f>
        <v>19324.829557950299</v>
      </c>
      <c r="G57" s="248" t="s">
        <v>124</v>
      </c>
      <c r="H57" s="248"/>
      <c r="I57" s="248"/>
      <c r="J57" s="248"/>
      <c r="K57" s="248"/>
      <c r="L57" s="248"/>
      <c r="M57" s="248"/>
      <c r="N57" s="248"/>
    </row>
    <row r="58" spans="1:14" ht="56.25" customHeight="1" x14ac:dyDescent="0.25">
      <c r="B58" s="140">
        <f>B57/B31</f>
        <v>0.39105058365758755</v>
      </c>
      <c r="C58" s="141">
        <f>C57/C31</f>
        <v>0.29398994355505131</v>
      </c>
      <c r="D58" s="141">
        <f>D57/D31</f>
        <v>0.20305255559565782</v>
      </c>
      <c r="E58" s="142">
        <f>E57/E31</f>
        <v>6.6637343303276891E-2</v>
      </c>
      <c r="G58" s="248" t="s">
        <v>143</v>
      </c>
      <c r="H58" s="248"/>
      <c r="I58" s="248"/>
      <c r="J58" s="248"/>
      <c r="K58" s="248"/>
      <c r="L58" s="248"/>
      <c r="M58" s="248"/>
      <c r="N58" s="248"/>
    </row>
    <row r="59" spans="1:14" ht="56.25" customHeight="1" x14ac:dyDescent="0.25">
      <c r="B59" s="155">
        <f>('LEAP Scenario'!H5+'LEAP Scenario'!H13)*1000</f>
        <v>7824000</v>
      </c>
      <c r="C59" s="156">
        <f>('LEAP Scenario'!I5+'LEAP Scenario'!I13)*1000</f>
        <v>8071000</v>
      </c>
      <c r="D59" s="156">
        <f>('LEAP Scenario'!J5+'LEAP Scenario'!J13)*1000</f>
        <v>8140000</v>
      </c>
      <c r="E59" s="157">
        <f>('LEAP Scenario'!K5+'LEAP Scenario'!K13)*1000</f>
        <v>8317000</v>
      </c>
      <c r="G59" s="248" t="s">
        <v>125</v>
      </c>
      <c r="H59" s="248"/>
      <c r="I59" s="248"/>
      <c r="J59" s="248"/>
      <c r="K59" s="248"/>
      <c r="L59" s="248"/>
      <c r="M59" s="248"/>
      <c r="N59" s="248"/>
    </row>
    <row r="60" spans="1:14" ht="56.25" customHeight="1" x14ac:dyDescent="0.25">
      <c r="A60" s="2"/>
      <c r="B60" s="134">
        <f>B59/B54</f>
        <v>71127.272727272721</v>
      </c>
      <c r="C60" s="135">
        <f>C59/C54</f>
        <v>75456.846926341444</v>
      </c>
      <c r="D60" s="135">
        <f>D59/D54</f>
        <v>78249.673783281047</v>
      </c>
      <c r="E60" s="136">
        <f>E59/E54</f>
        <v>88407.374825892533</v>
      </c>
      <c r="G60" s="248" t="s">
        <v>153</v>
      </c>
      <c r="H60" s="248"/>
      <c r="I60" s="248"/>
      <c r="J60" s="248"/>
      <c r="K60" s="248"/>
      <c r="L60" s="248"/>
      <c r="M60" s="248"/>
      <c r="N60" s="248"/>
    </row>
    <row r="61" spans="1:14" ht="56.25" customHeight="1" x14ac:dyDescent="0.25">
      <c r="B61" s="140">
        <f>B60/B31</f>
        <v>0.27675981605942696</v>
      </c>
      <c r="C61" s="141">
        <f>C60/C31</f>
        <v>0.28260991358180315</v>
      </c>
      <c r="D61" s="141">
        <f>D60/D31</f>
        <v>0.28248979705155614</v>
      </c>
      <c r="E61" s="142">
        <f>E60/E31</f>
        <v>0.30485301664100872</v>
      </c>
      <c r="G61" s="248" t="s">
        <v>144</v>
      </c>
      <c r="H61" s="248"/>
      <c r="I61" s="248"/>
      <c r="J61" s="248"/>
      <c r="K61" s="248"/>
      <c r="L61" s="248"/>
      <c r="M61" s="248"/>
      <c r="N61" s="248"/>
    </row>
    <row r="62" spans="1:14" ht="56.25" customHeight="1" x14ac:dyDescent="0.25">
      <c r="B62" s="155">
        <f>('LEAP Scenario'!H7+'LEAP Scenario'!H8)*1000</f>
        <v>244000</v>
      </c>
      <c r="C62" s="156">
        <f>('LEAP Scenario'!I7+'LEAP Scenario'!I8)*1000</f>
        <v>1422000</v>
      </c>
      <c r="D62" s="156">
        <f>('LEAP Scenario'!J7+'LEAP Scenario'!J8)*1000</f>
        <v>2937000</v>
      </c>
      <c r="E62" s="157">
        <f>('LEAP Scenario'!K7+'LEAP Scenario'!K8)*1000</f>
        <v>4285000</v>
      </c>
      <c r="G62" s="248" t="s">
        <v>126</v>
      </c>
      <c r="H62" s="248"/>
      <c r="I62" s="248"/>
      <c r="J62" s="248"/>
      <c r="K62" s="248"/>
      <c r="L62" s="248"/>
      <c r="M62" s="248"/>
      <c r="N62" s="248"/>
    </row>
    <row r="63" spans="1:14" ht="56.25" customHeight="1" x14ac:dyDescent="0.25">
      <c r="B63" s="134">
        <f>B62/((0.7*B54)/2.4)</f>
        <v>7605.1948051948048</v>
      </c>
      <c r="C63" s="135">
        <f>C62/((0.75*C54)/2.6)</f>
        <v>46087.482667338962</v>
      </c>
      <c r="D63" s="135">
        <f>D62/((0.8*D54)/2.8)</f>
        <v>98816.648851994774</v>
      </c>
      <c r="E63" s="136">
        <f>E62/((0.85*E54)/3)</f>
        <v>160758.87139549028</v>
      </c>
      <c r="F63" s="96"/>
      <c r="G63" s="248" t="s">
        <v>196</v>
      </c>
      <c r="H63" s="248"/>
      <c r="I63" s="248"/>
      <c r="J63" s="248"/>
      <c r="K63" s="248"/>
      <c r="L63" s="248"/>
      <c r="M63" s="248"/>
      <c r="N63" s="248"/>
    </row>
    <row r="64" spans="1:14" ht="56.25" customHeight="1" x14ac:dyDescent="0.25">
      <c r="B64" s="140">
        <f>B63/B31</f>
        <v>2.9592197685582897E-2</v>
      </c>
      <c r="C64" s="141">
        <f>C63/C31</f>
        <v>0.17261229463422831</v>
      </c>
      <c r="D64" s="141">
        <f>D63/D31</f>
        <v>0.35673880451983675</v>
      </c>
      <c r="E64" s="142">
        <f>E63/E31</f>
        <v>0.55434093584651822</v>
      </c>
      <c r="G64" s="248" t="s">
        <v>127</v>
      </c>
      <c r="H64" s="248"/>
      <c r="I64" s="248"/>
      <c r="J64" s="248"/>
      <c r="K64" s="248"/>
      <c r="L64" s="248"/>
      <c r="M64" s="248"/>
      <c r="N64" s="248"/>
    </row>
    <row r="65" spans="1:20" ht="56.25" customHeight="1" x14ac:dyDescent="0.25">
      <c r="B65" s="155">
        <f>('LEAP Scenario'!H10+'LEAP Scenario'!H11)*1000</f>
        <v>9633000</v>
      </c>
      <c r="C65" s="156">
        <f>('LEAP Scenario'!I10+'LEAP Scenario'!I11)*1000</f>
        <v>7619000</v>
      </c>
      <c r="D65" s="156">
        <f>('LEAP Scenario'!J10+'LEAP Scenario'!J11)*1000</f>
        <v>4841000</v>
      </c>
      <c r="E65" s="157">
        <f>('LEAP Scenario'!K10+'LEAP Scenario'!K11)*1000</f>
        <v>1304000</v>
      </c>
      <c r="G65" s="248" t="s">
        <v>128</v>
      </c>
      <c r="H65" s="248"/>
      <c r="I65" s="248"/>
      <c r="J65" s="248"/>
      <c r="K65" s="248"/>
      <c r="L65" s="248"/>
      <c r="M65" s="248"/>
      <c r="N65" s="248"/>
    </row>
    <row r="66" spans="1:20" ht="56.25" customHeight="1" x14ac:dyDescent="0.25">
      <c r="B66" s="134">
        <f>B65/B54</f>
        <v>87572.727272727279</v>
      </c>
      <c r="C66" s="135">
        <f>C65/C54</f>
        <v>71231.039119290726</v>
      </c>
      <c r="D66" s="135">
        <f>D65/D54</f>
        <v>46536.44604236653</v>
      </c>
      <c r="E66" s="136">
        <f>E65/E54</f>
        <v>13861.153874349389</v>
      </c>
      <c r="G66" s="248" t="s">
        <v>159</v>
      </c>
      <c r="H66" s="248"/>
      <c r="I66" s="248"/>
      <c r="J66" s="248"/>
      <c r="K66" s="248"/>
      <c r="L66" s="248"/>
      <c r="M66" s="248"/>
      <c r="N66" s="248"/>
    </row>
    <row r="67" spans="1:20" ht="56.25" customHeight="1" x14ac:dyDescent="0.25">
      <c r="A67" s="21"/>
      <c r="B67" s="140">
        <f>B66/B31</f>
        <v>0.34074991156703222</v>
      </c>
      <c r="C67" s="141">
        <f>C66/C31</f>
        <v>0.266782918049778</v>
      </c>
      <c r="D67" s="141">
        <f>D66/D31</f>
        <v>0.16800161026125102</v>
      </c>
      <c r="E67" s="142">
        <f>E66/E31</f>
        <v>4.7797082325342723E-2</v>
      </c>
      <c r="G67" s="248" t="s">
        <v>129</v>
      </c>
      <c r="H67" s="248"/>
      <c r="I67" s="248"/>
      <c r="J67" s="248"/>
      <c r="K67" s="248"/>
      <c r="L67" s="248"/>
      <c r="M67" s="248"/>
      <c r="N67" s="248"/>
      <c r="Q67" s="21"/>
      <c r="R67" s="21"/>
      <c r="S67" s="21"/>
      <c r="T67" s="21"/>
    </row>
    <row r="68" spans="1:20" x14ac:dyDescent="0.25">
      <c r="B68" s="60"/>
      <c r="C68" s="60"/>
      <c r="D68" s="60"/>
      <c r="E68" s="60"/>
      <c r="G68" s="132"/>
      <c r="H68" s="132"/>
      <c r="I68" s="132"/>
      <c r="J68" s="132"/>
      <c r="K68" s="132"/>
      <c r="L68" s="132"/>
      <c r="M68" s="132"/>
      <c r="N68" s="132"/>
      <c r="Q68" s="21"/>
      <c r="R68" s="21"/>
      <c r="S68" s="21"/>
      <c r="T68" s="21"/>
    </row>
    <row r="69" spans="1:20" ht="18.75" x14ac:dyDescent="0.25">
      <c r="B69" s="143" t="s">
        <v>145</v>
      </c>
      <c r="C69" s="60"/>
      <c r="D69" s="60"/>
      <c r="E69" s="60"/>
      <c r="G69" s="132"/>
      <c r="H69" s="132"/>
      <c r="I69" s="132"/>
      <c r="J69" s="132"/>
      <c r="K69" s="132"/>
      <c r="L69" s="132"/>
      <c r="M69" s="132"/>
      <c r="N69" s="132"/>
    </row>
    <row r="70" spans="1:20" x14ac:dyDescent="0.25">
      <c r="B70" s="60"/>
      <c r="C70" s="60"/>
      <c r="D70" s="60"/>
      <c r="E70" s="60"/>
      <c r="G70" s="132"/>
      <c r="H70" s="132"/>
      <c r="I70" s="132"/>
      <c r="J70" s="132"/>
      <c r="K70" s="132"/>
      <c r="L70" s="132"/>
      <c r="M70" s="132"/>
      <c r="N70" s="132"/>
    </row>
    <row r="71" spans="1:20" x14ac:dyDescent="0.25">
      <c r="B71" s="145">
        <v>2015</v>
      </c>
      <c r="C71" s="146">
        <v>2025</v>
      </c>
      <c r="D71" s="146">
        <v>2035</v>
      </c>
      <c r="E71" s="147">
        <v>2050</v>
      </c>
      <c r="G71" s="132"/>
      <c r="H71" s="132"/>
      <c r="I71" s="132"/>
      <c r="J71" s="132"/>
      <c r="K71" s="132"/>
      <c r="L71" s="132"/>
      <c r="M71" s="132"/>
      <c r="N71" s="132"/>
    </row>
    <row r="72" spans="1:20" ht="56.25" customHeight="1" x14ac:dyDescent="0.25">
      <c r="B72" s="161">
        <f>'1.Current Heat'!B27</f>
        <v>698.28651232744267</v>
      </c>
      <c r="C72" s="162">
        <f>C49*($B$72-$B$46)+(1-C49)*$B$72</f>
        <v>679.89460842353878</v>
      </c>
      <c r="D72" s="162">
        <f>D49*($B$72-$B$46)+(1-D49)*$B$72</f>
        <v>677.52211466662391</v>
      </c>
      <c r="E72" s="163">
        <f>E49*($B$72-$B$46)+(1-E49)*$B$72</f>
        <v>645.70087130180161</v>
      </c>
      <c r="G72" s="255" t="s">
        <v>147</v>
      </c>
      <c r="H72" s="255"/>
      <c r="I72" s="255"/>
      <c r="J72" s="255"/>
      <c r="K72" s="255"/>
      <c r="L72" s="255"/>
      <c r="M72" s="255"/>
      <c r="N72" s="255"/>
    </row>
    <row r="73" spans="1:20" ht="56.25" customHeight="1" x14ac:dyDescent="0.25">
      <c r="B73" s="155">
        <f>('LEAP Scenario'!T4+'LEAP Scenario'!T5+'LEAP Scenario'!T9)*1000</f>
        <v>4265400</v>
      </c>
      <c r="C73" s="156">
        <f>('LEAP Scenario'!U4+'LEAP Scenario'!U5+'LEAP Scenario'!U9)*1000</f>
        <v>3416000</v>
      </c>
      <c r="D73" s="156">
        <f>('LEAP Scenario'!V4+'LEAP Scenario'!V5+'LEAP Scenario'!V9)*1000</f>
        <v>2440200</v>
      </c>
      <c r="E73" s="157">
        <f>('LEAP Scenario'!W4+'LEAP Scenario'!W5+'LEAP Scenario'!W9)*1000</f>
        <v>905800</v>
      </c>
      <c r="G73" s="248" t="s">
        <v>146</v>
      </c>
      <c r="H73" s="248"/>
      <c r="I73" s="248"/>
      <c r="J73" s="248"/>
      <c r="K73" s="248"/>
      <c r="L73" s="248"/>
      <c r="M73" s="248"/>
      <c r="N73" s="248"/>
    </row>
    <row r="74" spans="1:20" ht="56.25" customHeight="1" x14ac:dyDescent="0.25">
      <c r="B74" s="164">
        <f>'LEAP Scenario'!T4*1000/'2.Heat Targets'!B73</f>
        <v>9.6591175505228114E-3</v>
      </c>
      <c r="C74" s="151">
        <f>'LEAP Scenario'!U4*1000/'2.Heat Targets'!C73</f>
        <v>7.5409836065573776E-2</v>
      </c>
      <c r="D74" s="151">
        <f>'LEAP Scenario'!V4*1000/'2.Heat Targets'!D73</f>
        <v>0.19805753626751907</v>
      </c>
      <c r="E74" s="165">
        <f>'LEAP Scenario'!W4*1000/'2.Heat Targets'!E73</f>
        <v>0.94877456392139548</v>
      </c>
      <c r="G74" s="248" t="s">
        <v>149</v>
      </c>
      <c r="H74" s="248"/>
      <c r="I74" s="248"/>
      <c r="J74" s="248"/>
      <c r="K74" s="248"/>
      <c r="L74" s="248"/>
      <c r="M74" s="248"/>
      <c r="N74" s="248"/>
    </row>
    <row r="75" spans="1:20" ht="56.25" customHeight="1" x14ac:dyDescent="0.25">
      <c r="B75" s="134">
        <f>B73/B72</f>
        <v>6108.380907692308</v>
      </c>
      <c r="C75" s="135">
        <f>C73/C72</f>
        <v>5024.3081172839811</v>
      </c>
      <c r="D75" s="135">
        <f>D73/D72</f>
        <v>3601.6536540666357</v>
      </c>
      <c r="E75" s="136">
        <f>E73/E72</f>
        <v>1402.8167534818574</v>
      </c>
      <c r="G75" s="248" t="s">
        <v>148</v>
      </c>
      <c r="H75" s="248"/>
      <c r="I75" s="248"/>
      <c r="J75" s="248"/>
      <c r="K75" s="248"/>
      <c r="L75" s="248"/>
      <c r="M75" s="248"/>
      <c r="N75" s="248"/>
    </row>
    <row r="76" spans="1:20" ht="56.25" customHeight="1" x14ac:dyDescent="0.25">
      <c r="B76" s="140">
        <f>B75/B48</f>
        <v>0.33935449487179487</v>
      </c>
      <c r="C76" s="141">
        <f>C75/C48</f>
        <v>0.27158422255589088</v>
      </c>
      <c r="D76" s="141">
        <f>D75/D48</f>
        <v>0.18956071863508608</v>
      </c>
      <c r="E76" s="142">
        <f>E75/E48</f>
        <v>7.1939320691377304E-2</v>
      </c>
      <c r="G76" s="248" t="s">
        <v>197</v>
      </c>
      <c r="H76" s="248"/>
      <c r="I76" s="248"/>
      <c r="J76" s="248"/>
      <c r="K76" s="248"/>
      <c r="L76" s="248"/>
      <c r="M76" s="248"/>
      <c r="N76" s="248"/>
    </row>
    <row r="77" spans="1:20" ht="56.25" customHeight="1" x14ac:dyDescent="0.25">
      <c r="B77" s="134">
        <f>'LEAP Scenario'!T10*1000</f>
        <v>1343000</v>
      </c>
      <c r="C77" s="135">
        <f>'LEAP Scenario'!U10*1000</f>
        <v>1908000</v>
      </c>
      <c r="D77" s="135">
        <f>'LEAP Scenario'!V10*1000</f>
        <v>2472200</v>
      </c>
      <c r="E77" s="136">
        <f>'LEAP Scenario'!W10*1000</f>
        <v>3437400</v>
      </c>
      <c r="G77" s="248" t="s">
        <v>151</v>
      </c>
      <c r="H77" s="248"/>
      <c r="I77" s="248"/>
      <c r="J77" s="248"/>
      <c r="K77" s="248"/>
      <c r="L77" s="248"/>
      <c r="M77" s="248"/>
      <c r="N77" s="248"/>
    </row>
    <row r="78" spans="1:20" ht="56.25" customHeight="1" x14ac:dyDescent="0.25">
      <c r="B78" s="134">
        <f>B77/B72</f>
        <v>1923.2793076923076</v>
      </c>
      <c r="C78" s="135">
        <f>C77/C72</f>
        <v>2806.3172973588516</v>
      </c>
      <c r="D78" s="135">
        <f>D77/D72</f>
        <v>3648.8845846994245</v>
      </c>
      <c r="E78" s="136">
        <f>E77/E72</f>
        <v>5323.5176732375103</v>
      </c>
      <c r="G78" s="248" t="s">
        <v>152</v>
      </c>
      <c r="H78" s="248"/>
      <c r="I78" s="248"/>
      <c r="J78" s="248"/>
      <c r="K78" s="248"/>
      <c r="L78" s="248"/>
      <c r="M78" s="248"/>
      <c r="N78" s="248"/>
    </row>
    <row r="79" spans="1:20" ht="56.25" customHeight="1" x14ac:dyDescent="0.25">
      <c r="B79" s="140">
        <f>B78/B48</f>
        <v>0.10684885042735043</v>
      </c>
      <c r="C79" s="141">
        <f>C78/C48</f>
        <v>0.15169282688426225</v>
      </c>
      <c r="D79" s="141">
        <f>D78/D48</f>
        <v>0.1920465570894434</v>
      </c>
      <c r="E79" s="142">
        <f>E78/E48</f>
        <v>0.27300090631987234</v>
      </c>
      <c r="G79" s="248" t="s">
        <v>154</v>
      </c>
      <c r="H79" s="248"/>
      <c r="I79" s="248"/>
      <c r="J79" s="248"/>
      <c r="K79" s="248"/>
      <c r="L79" s="248"/>
      <c r="M79" s="248"/>
      <c r="N79" s="248"/>
    </row>
    <row r="80" spans="1:20" ht="56.25" customHeight="1" x14ac:dyDescent="0.25">
      <c r="B80" s="155">
        <f>B43</f>
        <v>35590</v>
      </c>
      <c r="C80" s="156">
        <f>C43</f>
        <v>479468.88888888893</v>
      </c>
      <c r="D80" s="156">
        <f>D43</f>
        <v>923347.77777777787</v>
      </c>
      <c r="E80" s="157">
        <f>E43</f>
        <v>1367226.6666666667</v>
      </c>
      <c r="G80" s="248" t="s">
        <v>155</v>
      </c>
      <c r="H80" s="248"/>
      <c r="I80" s="248"/>
      <c r="J80" s="248"/>
      <c r="K80" s="248"/>
      <c r="L80" s="248"/>
      <c r="M80" s="248"/>
      <c r="N80" s="248"/>
    </row>
    <row r="81" spans="2:14" ht="56.25" customHeight="1" x14ac:dyDescent="0.25">
      <c r="B81" s="134">
        <f>B80/((0.7*B72)/2.4)</f>
        <v>174.7461178021978</v>
      </c>
      <c r="C81" s="135">
        <f>C80/((0.75*C72)/2.6)</f>
        <v>2444.7301011385239</v>
      </c>
      <c r="D81" s="135">
        <f>D80/((0.8*D72)/2.8)</f>
        <v>4769.9066233615049</v>
      </c>
      <c r="E81" s="136">
        <f>E80/((0.85*E72)/3)</f>
        <v>7473.2838328438502</v>
      </c>
      <c r="G81" s="248" t="s">
        <v>156</v>
      </c>
      <c r="H81" s="248"/>
      <c r="I81" s="248"/>
      <c r="J81" s="248"/>
      <c r="K81" s="248"/>
      <c r="L81" s="248"/>
      <c r="M81" s="248"/>
      <c r="N81" s="248"/>
    </row>
    <row r="82" spans="2:14" ht="56.25" customHeight="1" x14ac:dyDescent="0.25">
      <c r="B82" s="140">
        <f>B81/B48</f>
        <v>9.708117655677655E-3</v>
      </c>
      <c r="C82" s="141">
        <f>C81/C48</f>
        <v>0.1321475730345148</v>
      </c>
      <c r="D82" s="141">
        <f>D81/D48</f>
        <v>0.25104771701902656</v>
      </c>
      <c r="E82" s="142">
        <f>E81/E48</f>
        <v>0.38324532476122308</v>
      </c>
      <c r="G82" s="248" t="s">
        <v>157</v>
      </c>
      <c r="H82" s="248"/>
      <c r="I82" s="248"/>
      <c r="J82" s="248"/>
      <c r="K82" s="248"/>
      <c r="L82" s="248"/>
      <c r="M82" s="248"/>
      <c r="N82" s="248"/>
    </row>
    <row r="83" spans="2:14" ht="56.25" customHeight="1" x14ac:dyDescent="0.25">
      <c r="B83" s="155">
        <f>('LEAP Scenario'!T7+'LEAP Scenario'!T8)*1000</f>
        <v>5403000</v>
      </c>
      <c r="C83" s="156">
        <f>('LEAP Scenario'!U7+'LEAP Scenario'!U8)*1000</f>
        <v>4580000</v>
      </c>
      <c r="D83" s="156">
        <f>('LEAP Scenario'!V7+'LEAP Scenario'!V8)*1000</f>
        <v>3608899.9999999995</v>
      </c>
      <c r="E83" s="157">
        <f>('LEAP Scenario'!W7+'LEAP Scenario'!W8)*1000</f>
        <v>2105400</v>
      </c>
      <c r="G83" s="248" t="s">
        <v>158</v>
      </c>
      <c r="H83" s="248"/>
      <c r="I83" s="248"/>
      <c r="J83" s="248"/>
      <c r="K83" s="248"/>
      <c r="L83" s="248"/>
      <c r="M83" s="248"/>
      <c r="N83" s="248"/>
    </row>
    <row r="84" spans="2:14" ht="56.25" customHeight="1" x14ac:dyDescent="0.25">
      <c r="B84" s="134">
        <f>B83/B72</f>
        <v>7737.5116153846157</v>
      </c>
      <c r="C84" s="135">
        <f>C83/C72</f>
        <v>6736.3381666161113</v>
      </c>
      <c r="D84" s="135">
        <f>D83/D72</f>
        <v>5326.6157987710349</v>
      </c>
      <c r="E84" s="136">
        <f>E83/E72</f>
        <v>3260.6429595724253</v>
      </c>
      <c r="G84" s="248" t="s">
        <v>160</v>
      </c>
      <c r="H84" s="248"/>
      <c r="I84" s="248"/>
      <c r="J84" s="248"/>
      <c r="K84" s="248"/>
      <c r="L84" s="248"/>
      <c r="M84" s="248"/>
      <c r="N84" s="248"/>
    </row>
    <row r="85" spans="2:14" ht="56.25" customHeight="1" x14ac:dyDescent="0.25">
      <c r="B85" s="140">
        <f>B84/B48</f>
        <v>0.42986175641025642</v>
      </c>
      <c r="C85" s="141">
        <f>C84/C48</f>
        <v>0.36412638738465464</v>
      </c>
      <c r="D85" s="141">
        <f>D84/D48</f>
        <v>0.28034819993531762</v>
      </c>
      <c r="E85" s="142">
        <f>E84/E48</f>
        <v>0.16721245946525257</v>
      </c>
      <c r="G85" s="248" t="s">
        <v>161</v>
      </c>
      <c r="H85" s="248"/>
      <c r="I85" s="248"/>
      <c r="J85" s="248"/>
      <c r="K85" s="248"/>
      <c r="L85" s="248"/>
      <c r="M85" s="248"/>
      <c r="N85" s="248"/>
    </row>
    <row r="87" spans="2:14" x14ac:dyDescent="0.25">
      <c r="B87" s="24"/>
      <c r="C87" s="24"/>
      <c r="D87" s="24"/>
      <c r="E87" s="24"/>
    </row>
    <row r="89" spans="2:14" x14ac:dyDescent="0.25">
      <c r="B89" s="21"/>
      <c r="C89" s="21"/>
      <c r="D89" s="21"/>
      <c r="E89" s="21"/>
    </row>
  </sheetData>
  <mergeCells count="56">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 ref="G58:N58"/>
    <mergeCell ref="G59:N59"/>
    <mergeCell ref="G57:N57"/>
    <mergeCell ref="G56:N56"/>
    <mergeCell ref="G55:N55"/>
    <mergeCell ref="G54:N54"/>
    <mergeCell ref="G49:N49"/>
    <mergeCell ref="G48:N48"/>
    <mergeCell ref="G47:N47"/>
    <mergeCell ref="G46:N46"/>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s>
  <pageMargins left="0.7" right="0.7" top="0.75" bottom="0.75" header="0.3" footer="0.3"/>
  <pageSetup orientation="portrait" horizontalDpi="200" verticalDpi="0" copies="0" r:id="rId1"/>
  <ignoredErrors>
    <ignoredError sqref="B4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9"/>
  <sheetViews>
    <sheetView zoomScale="70" zoomScaleNormal="70" workbookViewId="0">
      <selection activeCell="E21" sqref="E21"/>
    </sheetView>
  </sheetViews>
  <sheetFormatPr defaultRowHeight="15" x14ac:dyDescent="0.25"/>
  <cols>
    <col min="1" max="1" width="5.28515625" customWidth="1"/>
    <col min="2" max="20" width="12" customWidth="1"/>
  </cols>
  <sheetData>
    <row r="2" spans="2:15" ht="21" x14ac:dyDescent="0.35">
      <c r="B2" s="53" t="s">
        <v>112</v>
      </c>
    </row>
    <row r="3" spans="2:15" ht="21" x14ac:dyDescent="0.35">
      <c r="B3" s="53"/>
    </row>
    <row r="4" spans="2:15" ht="22.5" customHeight="1" x14ac:dyDescent="0.25">
      <c r="B4" s="259" t="s">
        <v>200</v>
      </c>
      <c r="C4" s="260"/>
      <c r="D4" s="260"/>
      <c r="E4" s="260"/>
      <c r="F4" s="260"/>
      <c r="G4" s="260"/>
      <c r="H4" s="260"/>
      <c r="I4" s="260"/>
      <c r="J4" s="260"/>
      <c r="K4" s="260"/>
      <c r="L4" s="260"/>
      <c r="M4" s="260"/>
      <c r="N4" s="261"/>
    </row>
    <row r="5" spans="2:15" ht="22.5" customHeight="1" x14ac:dyDescent="0.25">
      <c r="B5" s="262"/>
      <c r="C5" s="263"/>
      <c r="D5" s="263"/>
      <c r="E5" s="263"/>
      <c r="F5" s="263"/>
      <c r="G5" s="263"/>
      <c r="H5" s="263"/>
      <c r="I5" s="263"/>
      <c r="J5" s="263"/>
      <c r="K5" s="263"/>
      <c r="L5" s="263"/>
      <c r="M5" s="263"/>
      <c r="N5" s="264"/>
    </row>
    <row r="6" spans="2:15" ht="22.5" customHeight="1" x14ac:dyDescent="0.25">
      <c r="B6" s="265"/>
      <c r="C6" s="266"/>
      <c r="D6" s="266"/>
      <c r="E6" s="266"/>
      <c r="F6" s="266"/>
      <c r="G6" s="266"/>
      <c r="H6" s="266"/>
      <c r="I6" s="266"/>
      <c r="J6" s="266"/>
      <c r="K6" s="266"/>
      <c r="L6" s="266"/>
      <c r="M6" s="266"/>
      <c r="N6" s="267"/>
    </row>
    <row r="8" spans="2:15" ht="18.75" x14ac:dyDescent="0.3">
      <c r="B8" s="52" t="s">
        <v>114</v>
      </c>
    </row>
    <row r="10" spans="2:15" x14ac:dyDescent="0.25">
      <c r="B10" s="70">
        <v>100</v>
      </c>
      <c r="C10" s="71" t="s">
        <v>117</v>
      </c>
      <c r="D10" s="71"/>
      <c r="E10" s="71"/>
      <c r="F10" s="71"/>
      <c r="G10" s="71"/>
      <c r="H10" s="71"/>
      <c r="I10" s="71"/>
      <c r="J10" s="71"/>
      <c r="K10" s="72"/>
    </row>
    <row r="11" spans="2:15" x14ac:dyDescent="0.25">
      <c r="B11" s="75">
        <v>300</v>
      </c>
      <c r="C11" s="76" t="s">
        <v>115</v>
      </c>
      <c r="D11" s="76"/>
      <c r="E11" s="76"/>
      <c r="F11" s="76"/>
      <c r="G11" s="76"/>
      <c r="H11" s="76"/>
      <c r="I11" s="76"/>
      <c r="J11" s="76"/>
      <c r="K11" s="77"/>
      <c r="M11" s="268" t="s">
        <v>164</v>
      </c>
      <c r="N11" s="269"/>
      <c r="O11" s="270"/>
    </row>
    <row r="12" spans="2:15" x14ac:dyDescent="0.25">
      <c r="B12" s="1">
        <v>100</v>
      </c>
      <c r="C12" s="2" t="s">
        <v>116</v>
      </c>
      <c r="D12" s="2"/>
      <c r="E12" s="2"/>
      <c r="F12" s="2"/>
      <c r="G12" s="2"/>
      <c r="H12" s="2"/>
      <c r="I12" s="2"/>
      <c r="J12" s="2"/>
      <c r="K12" s="3"/>
      <c r="M12" s="271"/>
      <c r="N12" s="272"/>
      <c r="O12" s="273"/>
    </row>
    <row r="13" spans="2:15" x14ac:dyDescent="0.25">
      <c r="B13" s="6">
        <v>33</v>
      </c>
      <c r="C13" s="73" t="s">
        <v>118</v>
      </c>
      <c r="D13" s="73"/>
      <c r="E13" s="73"/>
      <c r="F13" s="73"/>
      <c r="G13" s="73"/>
      <c r="H13" s="73"/>
      <c r="I13" s="73"/>
      <c r="J13" s="73"/>
      <c r="K13" s="74"/>
    </row>
    <row r="14" spans="2:15" x14ac:dyDescent="0.25">
      <c r="B14" s="2"/>
      <c r="C14" s="2"/>
      <c r="D14" s="2"/>
      <c r="E14" s="2"/>
      <c r="F14" s="2"/>
      <c r="G14" s="2"/>
      <c r="H14" s="2"/>
      <c r="I14" s="2"/>
      <c r="J14" s="2"/>
      <c r="K14" s="2"/>
    </row>
    <row r="15" spans="2:15" ht="18.75" x14ac:dyDescent="0.3">
      <c r="B15" s="52" t="s">
        <v>165</v>
      </c>
    </row>
    <row r="17" spans="2:15" x14ac:dyDescent="0.25">
      <c r="B17" s="79">
        <v>2015</v>
      </c>
      <c r="C17" s="80">
        <v>2025</v>
      </c>
      <c r="D17" s="80">
        <v>2035</v>
      </c>
      <c r="E17" s="81">
        <v>2050</v>
      </c>
    </row>
    <row r="18" spans="2:15" ht="54.75" customHeight="1" x14ac:dyDescent="0.25">
      <c r="B18" s="134">
        <f>IF($F$18&lt;&gt;"",'LEAP Scenario'!H26*1000,'LEAP Scenario'!H26*1000000)</f>
        <v>0</v>
      </c>
      <c r="C18" s="135">
        <f>IF($F$18&lt;&gt;"",'LEAP Scenario'!I26*1000,'LEAP Scenario'!I26*1000000)</f>
        <v>1000000</v>
      </c>
      <c r="D18" s="135">
        <f>IF($F$18&lt;&gt;"",'LEAP Scenario'!J26*1000,'LEAP Scenario'!J26*1000000)</f>
        <v>2000000</v>
      </c>
      <c r="E18" s="136">
        <f>IF($F$18&lt;&gt;"",'LEAP Scenario'!K26*1000,'LEAP Scenario'!K26*1000000)</f>
        <v>5000000</v>
      </c>
      <c r="F18" s="58"/>
      <c r="G18" s="248" t="s">
        <v>221</v>
      </c>
      <c r="H18" s="248"/>
      <c r="I18" s="248"/>
      <c r="J18" s="248"/>
      <c r="K18" s="248"/>
      <c r="L18" s="248"/>
      <c r="M18" s="248"/>
      <c r="N18" s="248"/>
    </row>
    <row r="19" spans="2:15" ht="54.75" customHeight="1" x14ac:dyDescent="0.25">
      <c r="B19" s="134">
        <f>('1.Current Trans'!$B$15/'1.Current Trans'!$B$37)*'1.Current Trans'!$B$39/1000000</f>
        <v>14.216666666666669</v>
      </c>
      <c r="C19" s="135">
        <f>B19-(($B$19-$E$19)/3)</f>
        <v>13.031944444444445</v>
      </c>
      <c r="D19" s="135">
        <f>C19-(($B$19-$E$19)/3)</f>
        <v>11.847222222222221</v>
      </c>
      <c r="E19" s="136">
        <f>('1.Current Trans'!$B$15/4)*'1.Current Trans'!$B$39/1000000</f>
        <v>10.6625</v>
      </c>
      <c r="G19" s="248" t="s">
        <v>208</v>
      </c>
      <c r="H19" s="248"/>
      <c r="I19" s="248"/>
      <c r="J19" s="248"/>
      <c r="K19" s="248"/>
      <c r="L19" s="248"/>
      <c r="M19" s="248"/>
      <c r="N19" s="248"/>
    </row>
    <row r="20" spans="2:15" ht="54.75" customHeight="1" x14ac:dyDescent="0.25">
      <c r="B20" s="134">
        <f>B18/B19</f>
        <v>0</v>
      </c>
      <c r="C20" s="135">
        <f>C18/C19</f>
        <v>76734.519876372156</v>
      </c>
      <c r="D20" s="135">
        <f>D18/D19</f>
        <v>168815.94372801876</v>
      </c>
      <c r="E20" s="136">
        <f>E18/E19</f>
        <v>468933.17702227435</v>
      </c>
      <c r="G20" s="248" t="s">
        <v>119</v>
      </c>
      <c r="H20" s="248"/>
      <c r="I20" s="248"/>
      <c r="J20" s="248"/>
      <c r="K20" s="248"/>
      <c r="L20" s="248"/>
      <c r="M20" s="248"/>
      <c r="N20" s="248"/>
    </row>
    <row r="21" spans="2:15" ht="54.75" customHeight="1" x14ac:dyDescent="0.25">
      <c r="B21" s="137">
        <f>'1.Current Trans'!B11+'1.Current Trans'!B34</f>
        <v>512000</v>
      </c>
      <c r="C21" s="138">
        <v>515000</v>
      </c>
      <c r="D21" s="138">
        <v>520000</v>
      </c>
      <c r="E21" s="139">
        <v>525000</v>
      </c>
      <c r="G21" s="248" t="s">
        <v>207</v>
      </c>
      <c r="H21" s="248"/>
      <c r="I21" s="248"/>
      <c r="J21" s="248"/>
      <c r="K21" s="248"/>
      <c r="L21" s="248"/>
      <c r="M21" s="248"/>
      <c r="N21" s="248"/>
      <c r="O21" s="194">
        <f>(E21/B21)^(1/(E17-B17))-1</f>
        <v>7.1664631269530155E-4</v>
      </c>
    </row>
    <row r="22" spans="2:15" ht="54.75" customHeight="1" x14ac:dyDescent="0.25">
      <c r="B22" s="140">
        <f>B20/B21</f>
        <v>0</v>
      </c>
      <c r="C22" s="141">
        <f>C20/C21</f>
        <v>0.14899906772111099</v>
      </c>
      <c r="D22" s="141">
        <f>D20/D21</f>
        <v>0.32464604563080529</v>
      </c>
      <c r="E22" s="142">
        <f>E20/E21</f>
        <v>0.89320605147099874</v>
      </c>
      <c r="G22" s="248" t="s">
        <v>210</v>
      </c>
      <c r="H22" s="248"/>
      <c r="I22" s="248"/>
      <c r="J22" s="248"/>
      <c r="K22" s="248"/>
      <c r="L22" s="248"/>
      <c r="M22" s="248"/>
      <c r="N22" s="248"/>
    </row>
    <row r="23" spans="2:15" ht="54.75" customHeight="1" x14ac:dyDescent="0.25">
      <c r="B23" s="172">
        <f>IF($F$18&lt;&gt;"",('LEAP Scenario'!H24+'LEAP Scenario'!H25+'LEAP Scenario'!H27+'LEAP Scenario'!H28)*1000,('LEAP Scenario'!H24+'LEAP Scenario'!H25+'LEAP Scenario'!H27+'LEAP Scenario'!H28)*1000000)</f>
        <v>33000000</v>
      </c>
      <c r="C23" s="173">
        <f>IF($F$18&lt;&gt;"",('LEAP Scenario'!I24+'LEAP Scenario'!I25+'LEAP Scenario'!I27+'LEAP Scenario'!I28)*1000,('LEAP Scenario'!I24+'LEAP Scenario'!I25+'LEAP Scenario'!I27+'LEAP Scenario'!I28)*1000000)</f>
        <v>24000000</v>
      </c>
      <c r="D23" s="173">
        <f>IF($F$18&lt;&gt;"",('LEAP Scenario'!J24+'LEAP Scenario'!J25+'LEAP Scenario'!J27+'LEAP Scenario'!J28)*1000,('LEAP Scenario'!J24+'LEAP Scenario'!J25+'LEAP Scenario'!J27+'LEAP Scenario'!J28)*1000000)</f>
        <v>13000000</v>
      </c>
      <c r="E23" s="174">
        <f>IF($F$18&lt;&gt;"",('LEAP Scenario'!K24+'LEAP Scenario'!K25+'LEAP Scenario'!K27+'LEAP Scenario'!K28)*1000,('LEAP Scenario'!K24+'LEAP Scenario'!K25+'LEAP Scenario'!K27+'LEAP Scenario'!K28)*1000000)</f>
        <v>2000000</v>
      </c>
      <c r="G23" s="248" t="s">
        <v>209</v>
      </c>
      <c r="H23" s="248"/>
      <c r="I23" s="248"/>
      <c r="J23" s="248"/>
      <c r="K23" s="248"/>
      <c r="L23" s="248"/>
      <c r="M23" s="248"/>
      <c r="N23" s="248"/>
    </row>
    <row r="24" spans="2:15" ht="54.75" customHeight="1" x14ac:dyDescent="0.25">
      <c r="B24" s="164">
        <f>IF($F$18&lt;&gt;"",('LEAP Scenario'!H25+'LEAP Scenario'!H28)*1000/'2.Trans Targets'!B23,('LEAP Scenario'!H25+'LEAP Scenario'!H28)*1000000/'2.Trans Targets'!B23)</f>
        <v>0.12121212121212122</v>
      </c>
      <c r="C24" s="151">
        <f>IF($F$18&lt;&gt;"",('LEAP Scenario'!I25+'LEAP Scenario'!I28)*1000/'2.Trans Targets'!C23,('LEAP Scenario'!I25+'LEAP Scenario'!I28)*1000000/'2.Trans Targets'!C23)</f>
        <v>0.125</v>
      </c>
      <c r="D24" s="151">
        <f>IF($F$18&lt;&gt;"",('LEAP Scenario'!J25+'LEAP Scenario'!J28)*1000/'2.Trans Targets'!D23,('LEAP Scenario'!J25+'LEAP Scenario'!J28)*1000000/'2.Trans Targets'!D23)</f>
        <v>0.15384615384615385</v>
      </c>
      <c r="E24" s="165">
        <f>IF($F$18&lt;&gt;"",('LEAP Scenario'!K25+'LEAP Scenario'!K28)*1000/'2.Trans Targets'!E23,('LEAP Scenario'!K25+'LEAP Scenario'!K28)*1000000/'2.Trans Targets'!E23)</f>
        <v>0.5</v>
      </c>
      <c r="G24" s="248" t="s">
        <v>211</v>
      </c>
      <c r="H24" s="248"/>
      <c r="I24" s="248"/>
      <c r="J24" s="248"/>
      <c r="K24" s="248"/>
      <c r="L24" s="248"/>
      <c r="M24" s="248"/>
      <c r="N24" s="248"/>
    </row>
    <row r="25" spans="2:15" ht="54.75" customHeight="1" x14ac:dyDescent="0.25">
      <c r="B25" s="134">
        <f>'1.Current Trans'!B28/'1.Current Trans'!B11</f>
        <v>67.027917613636347</v>
      </c>
      <c r="C25" s="135">
        <f>B25-(($B$25-$E$25)/3)</f>
        <v>57.316372159090896</v>
      </c>
      <c r="D25" s="135">
        <f>C25-(($B$25-$E$25)/3)</f>
        <v>47.604826704545445</v>
      </c>
      <c r="E25" s="175">
        <f>('1.Current Trans'!B11*'1.Current Trans'!B15/40)*'1.Current Trans'!B23/'1.Current Trans'!B11/1000000</f>
        <v>37.893281250000001</v>
      </c>
      <c r="G25" s="248" t="s">
        <v>212</v>
      </c>
      <c r="H25" s="248"/>
      <c r="I25" s="248"/>
      <c r="J25" s="248"/>
      <c r="K25" s="248"/>
      <c r="L25" s="248"/>
      <c r="M25" s="248"/>
      <c r="N25" s="248"/>
    </row>
    <row r="26" spans="2:15" ht="54.75" customHeight="1" x14ac:dyDescent="0.25">
      <c r="B26" s="134">
        <f>B23/B25</f>
        <v>492332.1680709112</v>
      </c>
      <c r="C26" s="135">
        <f>C23/C25</f>
        <v>418728.52547931863</v>
      </c>
      <c r="D26" s="135">
        <f>D23/D25</f>
        <v>273081.55285772152</v>
      </c>
      <c r="E26" s="136">
        <f>E23/E25</f>
        <v>52779.805127063257</v>
      </c>
      <c r="G26" s="248" t="s">
        <v>120</v>
      </c>
      <c r="H26" s="248"/>
      <c r="I26" s="248"/>
      <c r="J26" s="248"/>
      <c r="K26" s="248"/>
      <c r="L26" s="248"/>
      <c r="M26" s="248"/>
      <c r="N26" s="248"/>
    </row>
    <row r="27" spans="2:15" ht="54.75" customHeight="1" x14ac:dyDescent="0.25">
      <c r="B27" s="140">
        <f>B26/B21</f>
        <v>0.96158626576349848</v>
      </c>
      <c r="C27" s="141">
        <f>C26/C21</f>
        <v>0.81306509801809446</v>
      </c>
      <c r="D27" s="141">
        <f>D26/D21</f>
        <v>0.52515683241869526</v>
      </c>
      <c r="E27" s="142">
        <f>E26/E21</f>
        <v>0.10053296214678716</v>
      </c>
      <c r="G27" s="248" t="s">
        <v>121</v>
      </c>
      <c r="H27" s="248"/>
      <c r="I27" s="248"/>
      <c r="J27" s="248"/>
      <c r="K27" s="248"/>
      <c r="L27" s="248"/>
      <c r="M27" s="248"/>
      <c r="N27" s="248"/>
    </row>
    <row r="28" spans="2:15" x14ac:dyDescent="0.25">
      <c r="B28" s="78"/>
      <c r="C28" s="78"/>
      <c r="D28" s="78"/>
      <c r="E28" s="78"/>
    </row>
    <row r="29" spans="2:15" x14ac:dyDescent="0.25">
      <c r="B29" s="82"/>
      <c r="C29" s="82"/>
      <c r="D29" s="82"/>
      <c r="E29" s="82"/>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E17" sqref="E17"/>
    </sheetView>
  </sheetViews>
  <sheetFormatPr defaultRowHeight="15" x14ac:dyDescent="0.25"/>
  <cols>
    <col min="1" max="1" width="4.28515625" customWidth="1"/>
    <col min="2" max="14" width="13.28515625" customWidth="1"/>
  </cols>
  <sheetData>
    <row r="2" spans="2:14" ht="21" x14ac:dyDescent="0.35">
      <c r="B2" s="53" t="s">
        <v>203</v>
      </c>
    </row>
    <row r="4" spans="2:14" x14ac:dyDescent="0.25">
      <c r="B4" s="79">
        <v>2015</v>
      </c>
      <c r="C4" s="80">
        <v>2025</v>
      </c>
      <c r="D4" s="80">
        <v>2035</v>
      </c>
      <c r="E4" s="81">
        <v>2050</v>
      </c>
    </row>
    <row r="5" spans="2:14" s="132" customFormat="1" ht="45" customHeight="1" x14ac:dyDescent="0.2">
      <c r="B5" s="177">
        <f>'LEAP Scenario'!B49*1000000</f>
        <v>103000000</v>
      </c>
      <c r="C5" s="178">
        <f>'LEAP Scenario'!C49*1000000</f>
        <v>493000000</v>
      </c>
      <c r="D5" s="178">
        <f>'LEAP Scenario'!D49*1000000</f>
        <v>855000000</v>
      </c>
      <c r="E5" s="179">
        <f>'LEAP Scenario'!E49*1000000</f>
        <v>1410000000</v>
      </c>
      <c r="G5" s="248" t="s">
        <v>204</v>
      </c>
      <c r="H5" s="248"/>
      <c r="I5" s="248"/>
      <c r="J5" s="248"/>
      <c r="K5" s="248"/>
      <c r="L5" s="248"/>
      <c r="M5" s="248"/>
      <c r="N5" s="248"/>
    </row>
    <row r="6" spans="2:14" s="132" customFormat="1" ht="45" customHeight="1" x14ac:dyDescent="0.2">
      <c r="B6" s="274">
        <v>400</v>
      </c>
      <c r="C6" s="275"/>
      <c r="D6" s="275"/>
      <c r="E6" s="276"/>
      <c r="G6" s="248" t="s">
        <v>213</v>
      </c>
      <c r="H6" s="248"/>
      <c r="I6" s="248"/>
      <c r="J6" s="248"/>
      <c r="K6" s="248"/>
      <c r="L6" s="248"/>
      <c r="M6" s="248"/>
      <c r="N6" s="248"/>
    </row>
    <row r="7" spans="2:14" s="132" customFormat="1" ht="45" customHeight="1" x14ac:dyDescent="0.2">
      <c r="B7" s="177">
        <f>B5/13/$B$6</f>
        <v>19807.692307692309</v>
      </c>
      <c r="C7" s="178">
        <f>C5/13/$B$6</f>
        <v>94807.692307692298</v>
      </c>
      <c r="D7" s="178">
        <f>D5/13/$B$6</f>
        <v>164423.07692307691</v>
      </c>
      <c r="E7" s="179">
        <f>E5/13/$B$6</f>
        <v>271153.84615384619</v>
      </c>
      <c r="G7" s="248" t="s">
        <v>202</v>
      </c>
      <c r="H7" s="248"/>
      <c r="I7" s="248"/>
      <c r="J7" s="248"/>
      <c r="K7" s="248"/>
      <c r="L7" s="248"/>
      <c r="M7" s="248"/>
      <c r="N7" s="248"/>
    </row>
    <row r="8" spans="2:14" s="132" customFormat="1" ht="45" customHeight="1" x14ac:dyDescent="0.2">
      <c r="B8" s="36">
        <v>300000</v>
      </c>
      <c r="C8" s="36">
        <v>320000</v>
      </c>
      <c r="D8" s="36">
        <v>340000</v>
      </c>
      <c r="E8" s="36">
        <v>360000</v>
      </c>
      <c r="G8" s="248" t="s">
        <v>205</v>
      </c>
      <c r="H8" s="248"/>
      <c r="I8" s="248"/>
      <c r="J8" s="248"/>
      <c r="K8" s="248"/>
      <c r="L8" s="248"/>
      <c r="M8" s="248"/>
      <c r="N8" s="248"/>
    </row>
    <row r="9" spans="2:14" s="132" customFormat="1" ht="45" customHeight="1" x14ac:dyDescent="0.2">
      <c r="B9" s="180">
        <f>B7/B8</f>
        <v>6.6025641025641027E-2</v>
      </c>
      <c r="C9" s="181">
        <f>C7/C8</f>
        <v>0.29627403846153844</v>
      </c>
      <c r="D9" s="181">
        <f>D7/D8</f>
        <v>0.48359728506787325</v>
      </c>
      <c r="E9" s="182">
        <f>E7/E8</f>
        <v>0.7532051282051283</v>
      </c>
      <c r="G9" s="248" t="s">
        <v>206</v>
      </c>
      <c r="H9" s="248"/>
      <c r="I9" s="248"/>
      <c r="J9" s="248"/>
      <c r="K9" s="248"/>
      <c r="L9" s="248"/>
      <c r="M9" s="248"/>
      <c r="N9" s="248"/>
    </row>
    <row r="12" spans="2:14" x14ac:dyDescent="0.25">
      <c r="B12" s="176"/>
      <c r="C12" s="176"/>
      <c r="D12" s="176"/>
      <c r="E12" s="176"/>
    </row>
    <row r="14" spans="2:14" x14ac:dyDescent="0.25">
      <c r="B14" s="21"/>
      <c r="C14" s="21"/>
      <c r="D14" s="21"/>
      <c r="E14" s="21"/>
    </row>
    <row r="15" spans="2:14" x14ac:dyDescent="0.25">
      <c r="B15" s="21"/>
      <c r="C15" s="21"/>
      <c r="D15" s="21"/>
      <c r="E15" s="21"/>
    </row>
    <row r="16" spans="2:14" x14ac:dyDescent="0.25">
      <c r="B16" s="171"/>
      <c r="C16" s="171"/>
      <c r="D16" s="171"/>
      <c r="E16" s="171"/>
    </row>
    <row r="17" spans="2:5" x14ac:dyDescent="0.25">
      <c r="B17" s="198"/>
      <c r="C17" s="198"/>
      <c r="D17" s="198"/>
      <c r="E17" s="198"/>
    </row>
  </sheetData>
  <mergeCells count="6">
    <mergeCell ref="G5:N5"/>
    <mergeCell ref="B6:E6"/>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9"/>
  <sheetViews>
    <sheetView zoomScale="70" zoomScaleNormal="70" workbookViewId="0">
      <selection activeCell="M22" sqref="M22:Q22"/>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2" spans="1:25" ht="32.25" customHeight="1" x14ac:dyDescent="0.25">
      <c r="A2" s="202" t="s">
        <v>25</v>
      </c>
      <c r="B2" s="203"/>
      <c r="C2" s="203"/>
      <c r="D2" s="203"/>
      <c r="E2" s="204"/>
      <c r="G2" s="202" t="s">
        <v>30</v>
      </c>
      <c r="H2" s="203"/>
      <c r="I2" s="203"/>
      <c r="J2" s="203"/>
      <c r="K2" s="204"/>
      <c r="M2" s="202" t="s">
        <v>31</v>
      </c>
      <c r="N2" s="203"/>
      <c r="O2" s="203"/>
      <c r="P2" s="203"/>
      <c r="Q2" s="204"/>
      <c r="R2" s="10"/>
      <c r="S2" s="202" t="s">
        <v>32</v>
      </c>
      <c r="T2" s="203"/>
      <c r="U2" s="203"/>
      <c r="V2" s="203"/>
      <c r="W2" s="204"/>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c r="C4" s="2"/>
      <c r="D4" s="2"/>
      <c r="E4" s="3"/>
      <c r="G4" s="1" t="s">
        <v>1</v>
      </c>
      <c r="H4" s="4">
        <v>85</v>
      </c>
      <c r="I4" s="4">
        <v>516</v>
      </c>
      <c r="J4" s="4">
        <v>978</v>
      </c>
      <c r="K4" s="5">
        <v>1818</v>
      </c>
      <c r="L4" s="21"/>
      <c r="M4" s="1" t="s">
        <v>13</v>
      </c>
      <c r="N4" s="4"/>
      <c r="O4" s="4"/>
      <c r="P4" s="4"/>
      <c r="Q4" s="5"/>
      <c r="R4" s="2"/>
      <c r="S4" s="1" t="s">
        <v>13</v>
      </c>
      <c r="T4" s="4">
        <v>41.2</v>
      </c>
      <c r="U4" s="4">
        <v>257.60000000000002</v>
      </c>
      <c r="V4" s="4">
        <v>483.3</v>
      </c>
      <c r="W4" s="5">
        <v>859.4</v>
      </c>
      <c r="Y4" s="23"/>
    </row>
    <row r="5" spans="1:25" x14ac:dyDescent="0.25">
      <c r="A5" s="1" t="s">
        <v>3</v>
      </c>
      <c r="B5" s="4">
        <v>7018</v>
      </c>
      <c r="C5" s="4">
        <v>6497</v>
      </c>
      <c r="D5" s="4">
        <v>6094</v>
      </c>
      <c r="E5" s="5">
        <v>5610</v>
      </c>
      <c r="G5" s="1" t="s">
        <v>3</v>
      </c>
      <c r="H5" s="4">
        <v>7040</v>
      </c>
      <c r="I5" s="4">
        <v>6646</v>
      </c>
      <c r="J5" s="4">
        <v>6248</v>
      </c>
      <c r="K5" s="5">
        <v>6048</v>
      </c>
      <c r="L5" s="21"/>
      <c r="M5" s="1" t="s">
        <v>14</v>
      </c>
      <c r="N5" s="4">
        <v>3874</v>
      </c>
      <c r="O5" s="4">
        <v>3130</v>
      </c>
      <c r="P5" s="4">
        <v>2273</v>
      </c>
      <c r="Q5" s="5">
        <v>928</v>
      </c>
      <c r="R5" s="2"/>
      <c r="S5" s="1" t="s">
        <v>14</v>
      </c>
      <c r="T5" s="4">
        <v>3831.5</v>
      </c>
      <c r="U5" s="4">
        <v>2865.9</v>
      </c>
      <c r="V5" s="4">
        <v>1777.3</v>
      </c>
      <c r="W5" s="5">
        <v>46.4</v>
      </c>
      <c r="Y5" s="97"/>
    </row>
    <row r="6" spans="1:25" x14ac:dyDescent="0.25">
      <c r="A6" s="1" t="s">
        <v>4</v>
      </c>
      <c r="B6" s="4">
        <v>1193</v>
      </c>
      <c r="C6" s="4">
        <v>966</v>
      </c>
      <c r="D6" s="4">
        <v>646</v>
      </c>
      <c r="E6" s="5">
        <v>250</v>
      </c>
      <c r="G6" s="1" t="s">
        <v>4</v>
      </c>
      <c r="H6" s="4">
        <v>1204</v>
      </c>
      <c r="I6" s="4">
        <v>1004</v>
      </c>
      <c r="J6" s="4">
        <v>573</v>
      </c>
      <c r="K6" s="5">
        <v>174</v>
      </c>
      <c r="L6" s="21"/>
      <c r="M6" s="1" t="s">
        <v>15</v>
      </c>
      <c r="N6" s="94">
        <v>7118</v>
      </c>
      <c r="O6" s="94">
        <v>7192</v>
      </c>
      <c r="P6" s="94">
        <v>7125</v>
      </c>
      <c r="Q6" s="95">
        <v>7158</v>
      </c>
      <c r="R6" s="4"/>
      <c r="S6" s="1" t="s">
        <v>15</v>
      </c>
      <c r="T6" s="94">
        <v>7117.9</v>
      </c>
      <c r="U6" s="94">
        <v>7191.7</v>
      </c>
      <c r="V6" s="94">
        <v>7124.6</v>
      </c>
      <c r="W6" s="95">
        <v>7158.4</v>
      </c>
      <c r="Y6" s="97"/>
    </row>
    <row r="7" spans="1:25" x14ac:dyDescent="0.25">
      <c r="A7" s="1" t="s">
        <v>5</v>
      </c>
      <c r="B7" s="4">
        <v>111</v>
      </c>
      <c r="C7" s="4">
        <v>633</v>
      </c>
      <c r="D7" s="4">
        <v>1224</v>
      </c>
      <c r="E7" s="5">
        <v>1689</v>
      </c>
      <c r="G7" s="1" t="s">
        <v>5</v>
      </c>
      <c r="H7" s="4">
        <v>191</v>
      </c>
      <c r="I7" s="4">
        <v>1088</v>
      </c>
      <c r="J7" s="4">
        <v>2180</v>
      </c>
      <c r="K7" s="5">
        <v>3029</v>
      </c>
      <c r="M7" s="1" t="s">
        <v>8</v>
      </c>
      <c r="N7" s="4">
        <v>2897</v>
      </c>
      <c r="O7" s="4">
        <v>2975</v>
      </c>
      <c r="P7" s="4">
        <v>2997</v>
      </c>
      <c r="Q7" s="5">
        <v>3094</v>
      </c>
      <c r="R7" s="4"/>
      <c r="S7" s="1" t="s">
        <v>8</v>
      </c>
      <c r="T7" s="4">
        <v>2815.1</v>
      </c>
      <c r="U7" s="4">
        <v>2459.6999999999998</v>
      </c>
      <c r="V7" s="4">
        <v>2030.6</v>
      </c>
      <c r="W7" s="5">
        <v>1375</v>
      </c>
      <c r="Y7" s="97"/>
    </row>
    <row r="8" spans="1:25" x14ac:dyDescent="0.25">
      <c r="A8" s="1" t="s">
        <v>6</v>
      </c>
      <c r="B8" s="4">
        <v>13</v>
      </c>
      <c r="C8" s="4">
        <v>96</v>
      </c>
      <c r="D8" s="4">
        <v>334</v>
      </c>
      <c r="E8" s="5">
        <v>697</v>
      </c>
      <c r="G8" s="1" t="s">
        <v>6</v>
      </c>
      <c r="H8" s="4">
        <v>53</v>
      </c>
      <c r="I8" s="4">
        <v>334</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1002</v>
      </c>
      <c r="C9" s="4">
        <v>808</v>
      </c>
      <c r="D9" s="4">
        <v>613</v>
      </c>
      <c r="E9" s="5">
        <v>287</v>
      </c>
      <c r="G9" s="1" t="s">
        <v>7</v>
      </c>
      <c r="H9" s="4">
        <v>981</v>
      </c>
      <c r="I9" s="4">
        <v>699</v>
      </c>
      <c r="J9" s="4">
        <v>426</v>
      </c>
      <c r="K9" s="5">
        <v>0</v>
      </c>
      <c r="L9" s="21"/>
      <c r="M9" s="1" t="s">
        <v>16</v>
      </c>
      <c r="N9" s="4">
        <v>393</v>
      </c>
      <c r="O9" s="4">
        <v>293</v>
      </c>
      <c r="P9" s="4">
        <v>180</v>
      </c>
      <c r="Q9" s="5"/>
      <c r="R9" s="2"/>
      <c r="S9" s="1" t="s">
        <v>16</v>
      </c>
      <c r="T9" s="4">
        <v>392.7</v>
      </c>
      <c r="U9" s="4">
        <v>292.5</v>
      </c>
      <c r="V9" s="4">
        <v>179.6</v>
      </c>
      <c r="W9" s="5">
        <v>0</v>
      </c>
      <c r="Y9" s="23"/>
    </row>
    <row r="10" spans="1:25" x14ac:dyDescent="0.25">
      <c r="A10" s="1" t="s">
        <v>8</v>
      </c>
      <c r="B10" s="4">
        <v>5403</v>
      </c>
      <c r="C10" s="4">
        <v>4364</v>
      </c>
      <c r="D10" s="4">
        <v>3266</v>
      </c>
      <c r="E10" s="5">
        <v>1234</v>
      </c>
      <c r="G10" s="1" t="s">
        <v>8</v>
      </c>
      <c r="H10" s="4">
        <v>5338</v>
      </c>
      <c r="I10" s="4">
        <v>4105</v>
      </c>
      <c r="J10" s="4">
        <v>2899</v>
      </c>
      <c r="K10" s="5">
        <v>1025</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4688</v>
      </c>
      <c r="C11" s="4">
        <v>6084</v>
      </c>
      <c r="D11" s="4">
        <v>7847</v>
      </c>
      <c r="E11" s="5">
        <v>11613</v>
      </c>
      <c r="G11" s="1" t="s">
        <v>9</v>
      </c>
      <c r="H11" s="4">
        <v>4295</v>
      </c>
      <c r="I11" s="4">
        <v>3514</v>
      </c>
      <c r="J11" s="4">
        <v>1942</v>
      </c>
      <c r="K11" s="5">
        <v>279</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10203</v>
      </c>
      <c r="C12" s="4">
        <v>8103</v>
      </c>
      <c r="D12" s="4">
        <v>5387</v>
      </c>
      <c r="E12" s="5">
        <v>1592</v>
      </c>
      <c r="G12" s="1" t="s">
        <v>10</v>
      </c>
      <c r="H12" s="4">
        <v>9989</v>
      </c>
      <c r="I12" s="4">
        <v>7181</v>
      </c>
      <c r="J12" s="4">
        <v>4447</v>
      </c>
      <c r="K12" s="5">
        <v>0</v>
      </c>
      <c r="L12" s="21"/>
    </row>
    <row r="13" spans="1:25" x14ac:dyDescent="0.25">
      <c r="A13" s="1" t="s">
        <v>11</v>
      </c>
      <c r="B13" s="4">
        <v>677</v>
      </c>
      <c r="C13" s="4">
        <v>881</v>
      </c>
      <c r="D13" s="4">
        <v>1068</v>
      </c>
      <c r="E13" s="5">
        <v>1342</v>
      </c>
      <c r="G13" s="1" t="s">
        <v>11</v>
      </c>
      <c r="H13" s="4">
        <v>784</v>
      </c>
      <c r="I13" s="4">
        <v>1425</v>
      </c>
      <c r="J13" s="4">
        <v>1892</v>
      </c>
      <c r="K13" s="5">
        <v>2269</v>
      </c>
      <c r="L13" s="21"/>
      <c r="N13" s="21"/>
      <c r="O13" s="21"/>
      <c r="P13" s="21"/>
      <c r="Q13" s="21"/>
      <c r="T13" s="21"/>
      <c r="U13" s="21"/>
      <c r="V13" s="21"/>
      <c r="W13" s="21"/>
    </row>
    <row r="14" spans="1:25" x14ac:dyDescent="0.25">
      <c r="A14" s="7" t="s">
        <v>12</v>
      </c>
      <c r="B14" s="8">
        <f>SUM(B4:B13)</f>
        <v>30308</v>
      </c>
      <c r="C14" s="8">
        <f>SUM(C4:C13)</f>
        <v>28432</v>
      </c>
      <c r="D14" s="8">
        <f>SUM(D4:D13)</f>
        <v>26479</v>
      </c>
      <c r="E14" s="9">
        <f>SUM(E4:E13)</f>
        <v>24314</v>
      </c>
      <c r="G14" s="7" t="s">
        <v>12</v>
      </c>
      <c r="H14" s="8">
        <f>SUM(H4:H13)</f>
        <v>29960</v>
      </c>
      <c r="I14" s="8">
        <f>SUM(I4:I13)</f>
        <v>26512</v>
      </c>
      <c r="J14" s="8">
        <f>SUM(J4:J13)</f>
        <v>22342</v>
      </c>
      <c r="K14" s="9">
        <f>SUM(K4:K13)</f>
        <v>15898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02" t="s">
        <v>219</v>
      </c>
      <c r="B22" s="203"/>
      <c r="C22" s="203"/>
      <c r="D22" s="203"/>
      <c r="E22" s="204"/>
      <c r="G22" s="202" t="s">
        <v>220</v>
      </c>
      <c r="H22" s="203"/>
      <c r="I22" s="203"/>
      <c r="J22" s="203"/>
      <c r="K22" s="204"/>
      <c r="L22" s="22"/>
      <c r="M22" s="202" t="s">
        <v>35</v>
      </c>
      <c r="N22" s="203"/>
      <c r="O22" s="203"/>
      <c r="P22" s="203"/>
      <c r="Q22" s="204"/>
      <c r="S22" s="202" t="s">
        <v>36</v>
      </c>
      <c r="T22" s="203"/>
      <c r="U22" s="203"/>
      <c r="V22" s="203"/>
      <c r="W22" s="204"/>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c r="C29" s="18"/>
      <c r="D29" s="18"/>
      <c r="E29" s="19"/>
      <c r="G29" s="1" t="s">
        <v>24</v>
      </c>
      <c r="H29" s="4"/>
      <c r="I29" s="4"/>
      <c r="J29" s="4"/>
      <c r="K29" s="5"/>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05" t="s">
        <v>201</v>
      </c>
      <c r="B48" s="17">
        <v>2015</v>
      </c>
      <c r="C48" s="17">
        <v>2025</v>
      </c>
      <c r="D48" s="17">
        <v>2035</v>
      </c>
      <c r="E48" s="17">
        <v>2050</v>
      </c>
    </row>
    <row r="49" spans="1:5" ht="74.25" customHeight="1" x14ac:dyDescent="0.25">
      <c r="A49" s="205"/>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L29" sqref="L29"/>
    </sheetView>
  </sheetViews>
  <sheetFormatPr defaultRowHeight="15" x14ac:dyDescent="0.25"/>
  <cols>
    <col min="1" max="1" width="2.8554687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02" t="s">
        <v>25</v>
      </c>
      <c r="C4" s="203"/>
      <c r="D4" s="203"/>
      <c r="E4" s="203"/>
      <c r="F4" s="204"/>
      <c r="H4" s="202" t="s">
        <v>30</v>
      </c>
      <c r="I4" s="203"/>
      <c r="J4" s="203"/>
      <c r="K4" s="203"/>
      <c r="L4" s="204"/>
      <c r="N4" s="202" t="s">
        <v>30</v>
      </c>
      <c r="O4" s="203"/>
      <c r="P4" s="203"/>
      <c r="Q4" s="203"/>
      <c r="R4" s="204"/>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2" t="s">
        <v>2</v>
      </c>
      <c r="D6" s="2" t="s">
        <v>2</v>
      </c>
      <c r="E6" s="2" t="s">
        <v>2</v>
      </c>
      <c r="F6" s="3" t="s">
        <v>2</v>
      </c>
      <c r="H6" s="1" t="s">
        <v>1</v>
      </c>
      <c r="I6" s="4">
        <v>85000</v>
      </c>
      <c r="J6" s="4">
        <v>516000</v>
      </c>
      <c r="K6" s="4">
        <v>978000</v>
      </c>
      <c r="L6" s="5">
        <v>1818000</v>
      </c>
      <c r="M6" s="23"/>
      <c r="N6" s="1" t="s">
        <v>1</v>
      </c>
      <c r="O6" s="86">
        <f>I6-10000-9000+500000</f>
        <v>566000</v>
      </c>
      <c r="P6" s="86">
        <f>J6-10000-9000+500000</f>
        <v>997000</v>
      </c>
      <c r="Q6" s="86">
        <f>K6-10000-9000+500000</f>
        <v>1459000</v>
      </c>
      <c r="R6" s="87">
        <f>L6-10000-9000+500000</f>
        <v>2299000</v>
      </c>
      <c r="T6" t="s">
        <v>222</v>
      </c>
    </row>
    <row r="7" spans="2:20" x14ac:dyDescent="0.25">
      <c r="B7" s="1" t="s">
        <v>3</v>
      </c>
      <c r="C7" s="2">
        <v>7018000</v>
      </c>
      <c r="D7" s="2">
        <v>6497000</v>
      </c>
      <c r="E7" s="2">
        <v>6094000</v>
      </c>
      <c r="F7" s="3">
        <v>5610000</v>
      </c>
      <c r="H7" s="1" t="s">
        <v>3</v>
      </c>
      <c r="I7" s="4">
        <v>7040000</v>
      </c>
      <c r="J7" s="4">
        <v>6646000</v>
      </c>
      <c r="K7" s="4">
        <v>6248000</v>
      </c>
      <c r="L7" s="5">
        <v>6048000</v>
      </c>
      <c r="M7" s="23"/>
      <c r="N7" s="1" t="s">
        <v>3</v>
      </c>
      <c r="O7" s="4">
        <f>I7-500000</f>
        <v>6540000</v>
      </c>
      <c r="P7" s="4">
        <f>J7-500000</f>
        <v>6146000</v>
      </c>
      <c r="Q7" s="4">
        <f>K7-500000</f>
        <v>5748000</v>
      </c>
      <c r="R7" s="5">
        <f>L7-500000</f>
        <v>5548000</v>
      </c>
      <c r="T7" t="s">
        <v>223</v>
      </c>
    </row>
    <row r="8" spans="2:20" x14ac:dyDescent="0.25">
      <c r="B8" s="1" t="s">
        <v>4</v>
      </c>
      <c r="C8" s="2">
        <v>1193000</v>
      </c>
      <c r="D8" s="2">
        <v>966000</v>
      </c>
      <c r="E8" s="2">
        <v>646000</v>
      </c>
      <c r="F8" s="3">
        <v>250000</v>
      </c>
      <c r="H8" s="1" t="s">
        <v>4</v>
      </c>
      <c r="I8" s="4">
        <v>1204000</v>
      </c>
      <c r="J8" s="4">
        <v>1004000</v>
      </c>
      <c r="K8" s="4">
        <v>573000</v>
      </c>
      <c r="L8" s="5">
        <v>174000</v>
      </c>
      <c r="M8" s="23"/>
      <c r="N8" s="1" t="s">
        <v>4</v>
      </c>
      <c r="O8" s="4">
        <f>I8</f>
        <v>1204000</v>
      </c>
      <c r="P8" s="4">
        <f>J8</f>
        <v>1004000</v>
      </c>
      <c r="Q8" s="4">
        <f>K8</f>
        <v>573000</v>
      </c>
      <c r="R8" s="5">
        <f>L8</f>
        <v>174000</v>
      </c>
    </row>
    <row r="9" spans="2:20" x14ac:dyDescent="0.25">
      <c r="B9" s="1" t="s">
        <v>5</v>
      </c>
      <c r="C9" s="2">
        <v>111000</v>
      </c>
      <c r="D9" s="2">
        <v>633000</v>
      </c>
      <c r="E9" s="2">
        <v>1224000</v>
      </c>
      <c r="F9" s="3">
        <v>1689000</v>
      </c>
      <c r="H9" s="1" t="s">
        <v>5</v>
      </c>
      <c r="I9" s="4">
        <v>191000</v>
      </c>
      <c r="J9" s="4">
        <v>1088000</v>
      </c>
      <c r="K9" s="4">
        <v>2180000</v>
      </c>
      <c r="L9" s="5">
        <v>3029000</v>
      </c>
      <c r="M9" s="23"/>
      <c r="N9" s="1" t="s">
        <v>5</v>
      </c>
      <c r="O9" s="86">
        <f>I9-100000-40000</f>
        <v>51000</v>
      </c>
      <c r="P9" s="86">
        <f>J9-100000-40000</f>
        <v>948000</v>
      </c>
      <c r="Q9" s="86">
        <f>K9-100000-40000</f>
        <v>2040000</v>
      </c>
      <c r="R9" s="87">
        <f>L9-100000-40000</f>
        <v>2889000</v>
      </c>
      <c r="T9" t="s">
        <v>170</v>
      </c>
    </row>
    <row r="10" spans="2:20" x14ac:dyDescent="0.25">
      <c r="B10" s="1" t="s">
        <v>6</v>
      </c>
      <c r="C10" s="2">
        <v>13000</v>
      </c>
      <c r="D10" s="2">
        <v>96000</v>
      </c>
      <c r="E10" s="2">
        <v>334000</v>
      </c>
      <c r="F10" s="3">
        <v>697000</v>
      </c>
      <c r="H10" s="1" t="s">
        <v>6</v>
      </c>
      <c r="I10" s="4">
        <v>53000</v>
      </c>
      <c r="J10" s="4">
        <v>334000</v>
      </c>
      <c r="K10" s="4">
        <v>757000</v>
      </c>
      <c r="L10" s="5">
        <v>1256000</v>
      </c>
      <c r="M10" s="23"/>
      <c r="N10" s="1" t="s">
        <v>6</v>
      </c>
      <c r="O10" s="4">
        <f t="shared" ref="O10:R12" si="0">I10</f>
        <v>53000</v>
      </c>
      <c r="P10" s="4">
        <f t="shared" si="0"/>
        <v>334000</v>
      </c>
      <c r="Q10" s="4">
        <f t="shared" si="0"/>
        <v>757000</v>
      </c>
      <c r="R10" s="5">
        <f t="shared" si="0"/>
        <v>1256000</v>
      </c>
    </row>
    <row r="11" spans="2:20" x14ac:dyDescent="0.25">
      <c r="B11" s="1" t="s">
        <v>7</v>
      </c>
      <c r="C11" s="2">
        <v>1002000</v>
      </c>
      <c r="D11" s="2">
        <v>808000</v>
      </c>
      <c r="E11" s="2">
        <v>613000</v>
      </c>
      <c r="F11" s="3">
        <v>287000</v>
      </c>
      <c r="H11" s="1" t="s">
        <v>7</v>
      </c>
      <c r="I11" s="4">
        <v>981000</v>
      </c>
      <c r="J11" s="4">
        <v>699000</v>
      </c>
      <c r="K11" s="4">
        <v>426000</v>
      </c>
      <c r="L11" s="5">
        <v>0</v>
      </c>
      <c r="M11" s="23"/>
      <c r="N11" s="1" t="s">
        <v>7</v>
      </c>
      <c r="O11" s="4">
        <f t="shared" si="0"/>
        <v>981000</v>
      </c>
      <c r="P11" s="4">
        <f t="shared" si="0"/>
        <v>699000</v>
      </c>
      <c r="Q11" s="4">
        <f t="shared" si="0"/>
        <v>426000</v>
      </c>
      <c r="R11" s="5">
        <f t="shared" si="0"/>
        <v>0</v>
      </c>
    </row>
    <row r="12" spans="2:20" x14ac:dyDescent="0.25">
      <c r="B12" s="1" t="s">
        <v>8</v>
      </c>
      <c r="C12" s="2">
        <v>5403000</v>
      </c>
      <c r="D12" s="2">
        <v>4364000</v>
      </c>
      <c r="E12" s="2">
        <v>3266000</v>
      </c>
      <c r="F12" s="3">
        <v>1234000</v>
      </c>
      <c r="H12" s="1" t="s">
        <v>8</v>
      </c>
      <c r="I12" s="4">
        <v>5338000</v>
      </c>
      <c r="J12" s="4">
        <v>4105000</v>
      </c>
      <c r="K12" s="4">
        <v>2899000</v>
      </c>
      <c r="L12" s="5">
        <v>1025000</v>
      </c>
      <c r="M12" s="23"/>
      <c r="N12" s="1" t="s">
        <v>8</v>
      </c>
      <c r="O12" s="4">
        <f t="shared" si="0"/>
        <v>5338000</v>
      </c>
      <c r="P12" s="4">
        <f t="shared" si="0"/>
        <v>4105000</v>
      </c>
      <c r="Q12" s="4">
        <f t="shared" si="0"/>
        <v>2899000</v>
      </c>
      <c r="R12" s="5">
        <f t="shared" si="0"/>
        <v>1025000</v>
      </c>
    </row>
    <row r="13" spans="2:20" x14ac:dyDescent="0.25">
      <c r="B13" s="1" t="s">
        <v>9</v>
      </c>
      <c r="C13" s="2">
        <v>4688000</v>
      </c>
      <c r="D13" s="2">
        <v>6084000</v>
      </c>
      <c r="E13" s="2">
        <v>7847000</v>
      </c>
      <c r="F13" s="3">
        <v>11613000</v>
      </c>
      <c r="H13" s="1" t="s">
        <v>9</v>
      </c>
      <c r="I13" s="4">
        <v>4295000</v>
      </c>
      <c r="J13" s="4">
        <v>3514000</v>
      </c>
      <c r="K13" s="4">
        <v>1942000</v>
      </c>
      <c r="L13" s="5">
        <v>279000</v>
      </c>
      <c r="N13" s="1" t="s">
        <v>9</v>
      </c>
      <c r="O13" s="86">
        <f>I13-100000</f>
        <v>4195000</v>
      </c>
      <c r="P13" s="86">
        <f>J13-100000</f>
        <v>3414000</v>
      </c>
      <c r="Q13" s="86">
        <f>K13-100000</f>
        <v>1842000</v>
      </c>
      <c r="R13" s="87">
        <f>L13-100000</f>
        <v>179000</v>
      </c>
      <c r="T13" t="s">
        <v>171</v>
      </c>
    </row>
    <row r="14" spans="2:20" x14ac:dyDescent="0.25">
      <c r="B14" s="1" t="s">
        <v>10</v>
      </c>
      <c r="C14" s="2">
        <v>10203000</v>
      </c>
      <c r="D14" s="2">
        <v>8103000</v>
      </c>
      <c r="E14" s="2">
        <v>5387000</v>
      </c>
      <c r="F14" s="3">
        <v>1592000</v>
      </c>
      <c r="H14" s="1" t="s">
        <v>10</v>
      </c>
      <c r="I14" s="4">
        <v>9989000</v>
      </c>
      <c r="J14" s="4">
        <v>7181000</v>
      </c>
      <c r="K14" s="4">
        <v>4447000</v>
      </c>
      <c r="L14" s="5">
        <v>0</v>
      </c>
      <c r="N14" s="1" t="s">
        <v>10</v>
      </c>
      <c r="O14" s="4">
        <f>I14</f>
        <v>9989000</v>
      </c>
      <c r="P14" s="4">
        <f>J14</f>
        <v>7181000</v>
      </c>
      <c r="Q14" s="4">
        <f>K14</f>
        <v>4447000</v>
      </c>
      <c r="R14" s="5">
        <f>L14</f>
        <v>0</v>
      </c>
    </row>
    <row r="15" spans="2:20" x14ac:dyDescent="0.25">
      <c r="B15" s="1" t="s">
        <v>11</v>
      </c>
      <c r="C15" s="2">
        <v>677000</v>
      </c>
      <c r="D15" s="2">
        <v>881000</v>
      </c>
      <c r="E15" s="2">
        <v>1068000</v>
      </c>
      <c r="F15" s="3">
        <v>1342000</v>
      </c>
      <c r="H15" s="1" t="s">
        <v>11</v>
      </c>
      <c r="I15" s="4">
        <v>784000</v>
      </c>
      <c r="J15" s="4">
        <v>1425000</v>
      </c>
      <c r="K15" s="4">
        <v>1892000</v>
      </c>
      <c r="L15" s="5">
        <v>2269000</v>
      </c>
      <c r="N15" s="1" t="s">
        <v>11</v>
      </c>
      <c r="O15" s="86">
        <f>I15-90000</f>
        <v>694000</v>
      </c>
      <c r="P15" s="86">
        <f>J15-90000</f>
        <v>1335000</v>
      </c>
      <c r="Q15" s="86">
        <f>K15-90000</f>
        <v>1802000</v>
      </c>
      <c r="R15" s="87">
        <f>L15-90000</f>
        <v>2179000</v>
      </c>
      <c r="T15" t="s">
        <v>174</v>
      </c>
    </row>
    <row r="16" spans="2:20" x14ac:dyDescent="0.25">
      <c r="B16" s="7" t="s">
        <v>12</v>
      </c>
      <c r="C16" s="8">
        <f>SUM(C6:C15)</f>
        <v>30308000</v>
      </c>
      <c r="D16" s="8">
        <f>SUM(D6:D15)</f>
        <v>28432000</v>
      </c>
      <c r="E16" s="8">
        <f>SUM(E6:E15)</f>
        <v>26479000</v>
      </c>
      <c r="F16" s="9">
        <f>SUM(F6:F15)</f>
        <v>24314000</v>
      </c>
      <c r="H16" s="7" t="s">
        <v>12</v>
      </c>
      <c r="I16" s="8">
        <f>SUM(I6:I15)</f>
        <v>29960000</v>
      </c>
      <c r="J16" s="8">
        <f>SUM(J6:J15)</f>
        <v>26512000</v>
      </c>
      <c r="K16" s="8">
        <f>SUM(K6:K15)</f>
        <v>22342000</v>
      </c>
      <c r="L16" s="9">
        <f>SUM(L6:L15)</f>
        <v>15898000</v>
      </c>
      <c r="N16" s="7" t="s">
        <v>12</v>
      </c>
      <c r="O16" s="8">
        <f>SUM(O6:O15)</f>
        <v>29611000</v>
      </c>
      <c r="P16" s="8">
        <f>SUM(P6:P15)</f>
        <v>26163000</v>
      </c>
      <c r="Q16" s="8">
        <f>SUM(Q6:Q15)</f>
        <v>21993000</v>
      </c>
      <c r="R16" s="9">
        <f>SUM(R6:R15)</f>
        <v>15549000</v>
      </c>
    </row>
    <row r="18" spans="8:20" ht="18.75" x14ac:dyDescent="0.3">
      <c r="H18" s="52" t="s">
        <v>132</v>
      </c>
      <c r="J18" s="21"/>
      <c r="K18" s="21"/>
      <c r="L18" s="21"/>
      <c r="N18" s="52" t="s">
        <v>131</v>
      </c>
    </row>
    <row r="19" spans="8:20" x14ac:dyDescent="0.25">
      <c r="I19" s="21"/>
      <c r="J19" s="21"/>
      <c r="K19" s="21"/>
      <c r="L19" s="30"/>
      <c r="O19" s="25"/>
    </row>
    <row r="20" spans="8:20" x14ac:dyDescent="0.25">
      <c r="I20" s="79">
        <f>'2.Heat Targets'!B23</f>
        <v>2015</v>
      </c>
      <c r="J20" s="80">
        <f>'2.Heat Targets'!C23</f>
        <v>2025</v>
      </c>
      <c r="K20" s="80">
        <f>'2.Heat Targets'!D23</f>
        <v>2035</v>
      </c>
      <c r="L20" s="81">
        <f>'2.Heat Targets'!E23</f>
        <v>2050</v>
      </c>
      <c r="O20" s="79">
        <v>2015</v>
      </c>
      <c r="P20" s="80">
        <v>2025</v>
      </c>
      <c r="Q20" s="80">
        <v>2035</v>
      </c>
      <c r="R20" s="81">
        <v>2050</v>
      </c>
    </row>
    <row r="21" spans="8:20" x14ac:dyDescent="0.25">
      <c r="I21" s="64">
        <f>'2.Heat Targets'!B24</f>
        <v>30308000</v>
      </c>
      <c r="J21" s="65">
        <f>'2.Heat Targets'!C24</f>
        <v>28432000</v>
      </c>
      <c r="K21" s="65">
        <f>'2.Heat Targets'!D24</f>
        <v>26479000</v>
      </c>
      <c r="L21" s="66">
        <f>'2.Heat Targets'!E24</f>
        <v>24314000</v>
      </c>
      <c r="O21" s="64">
        <f>C16</f>
        <v>30308000</v>
      </c>
      <c r="P21" s="65">
        <f>D16</f>
        <v>28432000</v>
      </c>
      <c r="Q21" s="65">
        <f>E16</f>
        <v>26479000</v>
      </c>
      <c r="R21" s="66">
        <f>F16</f>
        <v>24314000</v>
      </c>
      <c r="T21" t="str">
        <f>'2.Heat Targets'!G24</f>
        <v>Total heat energy consumed by Residential buildings in the Reference Scenario, in millions of Btu (taken from Table 1)</v>
      </c>
    </row>
    <row r="22" spans="8:20" x14ac:dyDescent="0.25">
      <c r="I22" s="64">
        <f>'2.Heat Targets'!B25</f>
        <v>173600</v>
      </c>
      <c r="J22" s="65">
        <f>'2.Heat Targets'!C25</f>
        <v>1166400</v>
      </c>
      <c r="K22" s="65">
        <f>'2.Heat Targets'!D25</f>
        <v>2804399.9999999995</v>
      </c>
      <c r="L22" s="66">
        <f>'2.Heat Targets'!E25</f>
        <v>4772000</v>
      </c>
      <c r="O22" s="64">
        <f>(C9+C10)*(2.4-1)</f>
        <v>173600</v>
      </c>
      <c r="P22" s="65">
        <f>(D9+D10)*(2.6-1)</f>
        <v>1166400</v>
      </c>
      <c r="Q22" s="65">
        <f>(E9+E10)*(2.8-1)</f>
        <v>2804399.9999999995</v>
      </c>
      <c r="R22" s="66">
        <f>(F9+F10)*(3-1)</f>
        <v>4772000</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4">
        <f>'2.Heat Targets'!B26</f>
        <v>29960000</v>
      </c>
      <c r="J23" s="65">
        <f>'2.Heat Targets'!C26</f>
        <v>26512000</v>
      </c>
      <c r="K23" s="65">
        <f>'2.Heat Targets'!D26</f>
        <v>22342000</v>
      </c>
      <c r="L23" s="66">
        <f>'2.Heat Targets'!E26</f>
        <v>15898000</v>
      </c>
      <c r="O23" s="64">
        <f>O16</f>
        <v>29611000</v>
      </c>
      <c r="P23" s="65">
        <f>P16</f>
        <v>26163000</v>
      </c>
      <c r="Q23" s="65">
        <f>Q16</f>
        <v>21993000</v>
      </c>
      <c r="R23" s="66">
        <f>R16</f>
        <v>15549000</v>
      </c>
      <c r="T23" t="str">
        <f>'2.Heat Targets'!G26</f>
        <v>Total heat energy consumed by Residential buildings in 90x50 Scenario, in millions of Btu (taken from Table 2)</v>
      </c>
    </row>
    <row r="24" spans="8:20" x14ac:dyDescent="0.25">
      <c r="I24" s="64">
        <f>'2.Heat Targets'!B27</f>
        <v>341599.99999999994</v>
      </c>
      <c r="J24" s="65">
        <f>'2.Heat Targets'!C27</f>
        <v>2275200.0000000005</v>
      </c>
      <c r="K24" s="65">
        <f>'2.Heat Targets'!D27</f>
        <v>5286599.9999999991</v>
      </c>
      <c r="L24" s="66">
        <f>'2.Heat Targets'!E27</f>
        <v>8570000</v>
      </c>
      <c r="O24" s="64">
        <f>(O9+O10)*(2.4-1)</f>
        <v>145600</v>
      </c>
      <c r="P24" s="65">
        <f>(P9+P10)*(2.6-1)</f>
        <v>2051200</v>
      </c>
      <c r="Q24" s="65">
        <f>(Q9+Q10)*(2.8-1)</f>
        <v>5034599.9999999991</v>
      </c>
      <c r="R24" s="66">
        <f>(R9+R10)*(3-1)</f>
        <v>8290000</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4">
        <f>'2.Heat Targets'!B28</f>
        <v>180000.00000000006</v>
      </c>
      <c r="J25" s="65">
        <f>'2.Heat Targets'!C28</f>
        <v>811199.99999999953</v>
      </c>
      <c r="K25" s="65">
        <f>'2.Heat Targets'!D28</f>
        <v>1654800.0000000009</v>
      </c>
      <c r="L25" s="66">
        <f>'2.Heat Targets'!E28</f>
        <v>4618000</v>
      </c>
      <c r="O25" s="64">
        <f>O21+O22-O23-O24</f>
        <v>725000</v>
      </c>
      <c r="P25" s="65">
        <f>P21+P22-P23-P24</f>
        <v>1384200</v>
      </c>
      <c r="Q25" s="65">
        <f>Q21+Q22-Q23-Q24</f>
        <v>2255800.0000000009</v>
      </c>
      <c r="R25" s="66">
        <f>R21+R22-R23-R24</f>
        <v>5247000</v>
      </c>
      <c r="T25" t="str">
        <f>'2.Heat Targets'!G28</f>
        <v>Total heat energy saved through weatherization of Residential buildings, in millions of Btu</v>
      </c>
    </row>
    <row r="26" spans="8:20" x14ac:dyDescent="0.25">
      <c r="I26" s="277">
        <f>'2.Heat Targets'!B29</f>
        <v>27.5</v>
      </c>
      <c r="J26" s="278">
        <f>'2.Heat Targets'!C29</f>
        <v>0</v>
      </c>
      <c r="K26" s="278">
        <f>'2.Heat Targets'!D29</f>
        <v>0</v>
      </c>
      <c r="L26" s="279">
        <f>'2.Heat Targets'!E29</f>
        <v>0</v>
      </c>
      <c r="O26" s="277">
        <f>I26</f>
        <v>27.5</v>
      </c>
      <c r="P26" s="278"/>
      <c r="Q26" s="278"/>
      <c r="R26" s="279"/>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4">
        <f>'2.Heat Targets'!B30</f>
        <v>6545.4545454545478</v>
      </c>
      <c r="J27" s="65">
        <f>'2.Heat Targets'!C30</f>
        <v>29498.181818181802</v>
      </c>
      <c r="K27" s="65">
        <f>'2.Heat Targets'!D30</f>
        <v>60174.545454545485</v>
      </c>
      <c r="L27" s="66">
        <f>'2.Heat Targets'!E30</f>
        <v>167927.27272727274</v>
      </c>
      <c r="O27" s="64">
        <f>O25/$O$26</f>
        <v>26363.636363636364</v>
      </c>
      <c r="P27" s="65">
        <f>P25/$O$26</f>
        <v>50334.545454545456</v>
      </c>
      <c r="Q27" s="65">
        <f>Q25/$O$26</f>
        <v>82029.090909090941</v>
      </c>
      <c r="R27" s="66">
        <f>R25/$O$26</f>
        <v>190800</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89">
        <f>'2.Heat Targets'!B31</f>
        <v>257000</v>
      </c>
      <c r="J28" s="88">
        <f>'2.Heat Targets'!C31</f>
        <v>267000</v>
      </c>
      <c r="K28" s="88">
        <f>'2.Heat Targets'!D31</f>
        <v>277000</v>
      </c>
      <c r="L28" s="90">
        <f>'2.Heat Targets'!E31</f>
        <v>290000</v>
      </c>
      <c r="O28" s="89">
        <f>'2.Heat Targets'!B31</f>
        <v>257000</v>
      </c>
      <c r="P28" s="88">
        <f>'2.Heat Targets'!C31</f>
        <v>267000</v>
      </c>
      <c r="Q28" s="88">
        <f>'2.Heat Targets'!D31</f>
        <v>277000</v>
      </c>
      <c r="R28" s="90">
        <f>'2.Heat Targets'!E31</f>
        <v>290000</v>
      </c>
      <c r="T28" t="str">
        <f>'2.Heat Targets'!G31</f>
        <v>Enter a projection of the number of future residences in the area by each year.</v>
      </c>
    </row>
    <row r="29" spans="8:20" x14ac:dyDescent="0.25">
      <c r="I29" s="91">
        <f>'2.Heat Targets'!B32</f>
        <v>2.5468694729395128E-2</v>
      </c>
      <c r="J29" s="92">
        <f>'2.Heat Targets'!C32</f>
        <v>0.11048008171603671</v>
      </c>
      <c r="K29" s="92">
        <f>'2.Heat Targets'!D32</f>
        <v>0.21723662618969489</v>
      </c>
      <c r="L29" s="93">
        <f>'2.Heat Targets'!E32</f>
        <v>0.57905956112852663</v>
      </c>
      <c r="O29" s="109">
        <f>O27/O28</f>
        <v>0.10258224266006367</v>
      </c>
      <c r="P29" s="110">
        <f>P27/P28</f>
        <v>0.18851889683350359</v>
      </c>
      <c r="Q29" s="110">
        <f>Q27/Q28</f>
        <v>0.29613390219888425</v>
      </c>
      <c r="R29" s="111">
        <f>R27/R28</f>
        <v>0.65793103448275858</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2" t="s">
        <v>172</v>
      </c>
      <c r="N31" s="52" t="s">
        <v>173</v>
      </c>
    </row>
    <row r="33" spans="9:20" x14ac:dyDescent="0.25">
      <c r="I33" s="79">
        <f>'2.Heat Targets'!B53</f>
        <v>2015</v>
      </c>
      <c r="J33" s="80">
        <f>'2.Heat Targets'!C53</f>
        <v>2025</v>
      </c>
      <c r="K33" s="80">
        <f>'2.Heat Targets'!D53</f>
        <v>2035</v>
      </c>
      <c r="L33" s="81">
        <f>'2.Heat Targets'!E53</f>
        <v>2050</v>
      </c>
      <c r="O33" s="79">
        <v>2015</v>
      </c>
      <c r="P33" s="80">
        <v>2025</v>
      </c>
      <c r="Q33" s="80">
        <v>2035</v>
      </c>
      <c r="R33" s="81">
        <v>2050</v>
      </c>
    </row>
    <row r="34" spans="9:20" x14ac:dyDescent="0.25">
      <c r="I34" s="98">
        <f>'2.Heat Targets'!B54</f>
        <v>110</v>
      </c>
      <c r="J34" s="99">
        <f>'2.Heat Targets'!C54</f>
        <v>106.96179775280899</v>
      </c>
      <c r="K34" s="99">
        <f>'2.Heat Targets'!D54</f>
        <v>104.02599277978339</v>
      </c>
      <c r="L34" s="100">
        <f>'2.Heat Targets'!E54</f>
        <v>94.075862068965506</v>
      </c>
      <c r="O34" s="112">
        <f>'1.Current Heat'!B13</f>
        <v>110</v>
      </c>
      <c r="P34" s="113">
        <f>P29*($O$34-$O$26)+(1-P29)*$O$34</f>
        <v>104.81573033707863</v>
      </c>
      <c r="Q34" s="113">
        <f>Q29*($O$34-$O$26)+(1-Q29)*$O$34</f>
        <v>101.85631768953068</v>
      </c>
      <c r="R34" s="115">
        <f>R29*($O$34-$O$26)+(1-R29)*$O$34</f>
        <v>91.906896551724145</v>
      </c>
      <c r="T34" t="str">
        <f>'2.Heat Targets'!G54</f>
        <v>This is a projection of the average area residential heating load, in millions of Btu, computed based on values inputted above and in the "1.Current Heat" tab</v>
      </c>
    </row>
    <row r="35" spans="9:20" x14ac:dyDescent="0.25">
      <c r="I35" s="83">
        <f>'2.Heat Targets'!B55</f>
        <v>11055000</v>
      </c>
      <c r="J35" s="84">
        <f>'2.Heat Targets'!C55</f>
        <v>8396000</v>
      </c>
      <c r="K35" s="84">
        <f>'2.Heat Targets'!D55</f>
        <v>5851000</v>
      </c>
      <c r="L35" s="85">
        <f>'2.Heat Targets'!E55</f>
        <v>1818000</v>
      </c>
      <c r="O35" s="83">
        <f>O6+O11+O14</f>
        <v>11536000</v>
      </c>
      <c r="P35" s="83">
        <f>P6+P11+P14</f>
        <v>8877000</v>
      </c>
      <c r="Q35" s="83">
        <f>Q6+Q11+Q14</f>
        <v>6332000</v>
      </c>
      <c r="R35" s="104">
        <f>R6+R11+R14</f>
        <v>2299000</v>
      </c>
      <c r="T35" t="str">
        <f>'2.Heat Targets'!G55</f>
        <v>Total biofuel-blended heat energy consumed by Residences in 90x50 Scenario, in millions of Btu (taken from Table 2)</v>
      </c>
    </row>
    <row r="36" spans="9:20" x14ac:dyDescent="0.25">
      <c r="I36" s="101">
        <f>'2.Heat Targets'!B56</f>
        <v>7.6888285843509721E-3</v>
      </c>
      <c r="J36" s="102">
        <f>'2.Heat Targets'!C56</f>
        <v>6.1457837065269173E-2</v>
      </c>
      <c r="K36" s="102">
        <f>'2.Heat Targets'!D56</f>
        <v>0.16715091437361135</v>
      </c>
      <c r="L36" s="103">
        <f>'2.Heat Targets'!E56</f>
        <v>1</v>
      </c>
      <c r="O36" s="101">
        <f>O6/O35</f>
        <v>4.9063800277392509E-2</v>
      </c>
      <c r="P36" s="101">
        <f>P6/P35</f>
        <v>0.11231271826067366</v>
      </c>
      <c r="Q36" s="101">
        <f>Q6/Q35</f>
        <v>0.23041692987997472</v>
      </c>
      <c r="R36" s="116">
        <f>R6/R35</f>
        <v>1</v>
      </c>
      <c r="T36" t="str">
        <f>'2.Heat Targets'!G56</f>
        <v>This formula computes the biofuel share of biofuel-blended heat consumed by Residences in the 90x50 scenario.</v>
      </c>
    </row>
    <row r="37" spans="9:20" x14ac:dyDescent="0.25">
      <c r="I37" s="64">
        <f>'2.Heat Targets'!B57</f>
        <v>100500</v>
      </c>
      <c r="J37" s="65">
        <f>'2.Heat Targets'!C57</f>
        <v>78495.314929198707</v>
      </c>
      <c r="K37" s="65">
        <f>'2.Heat Targets'!D57</f>
        <v>56245.55789999722</v>
      </c>
      <c r="L37" s="66">
        <f>'2.Heat Targets'!E57</f>
        <v>19324.829557950299</v>
      </c>
      <c r="O37" s="64">
        <f>O35/O34</f>
        <v>104872.72727272728</v>
      </c>
      <c r="P37" s="64">
        <f>P35/P34</f>
        <v>84691.486396672612</v>
      </c>
      <c r="Q37" s="64">
        <f>Q35/Q34</f>
        <v>62166.001516966637</v>
      </c>
      <c r="R37" s="117">
        <f>R35/R34</f>
        <v>25014.444903012791</v>
      </c>
      <c r="T37" t="str">
        <f>'2.Heat Targets'!G57</f>
        <v>This formula computes an estimate the number of residences using biofuel-blended heat energy in the 90x50 scenario based on values inputted in the "1.Current Heat" tab.</v>
      </c>
    </row>
    <row r="38" spans="9:20" x14ac:dyDescent="0.25">
      <c r="I38" s="67">
        <f>'2.Heat Targets'!B58</f>
        <v>0.39105058365758755</v>
      </c>
      <c r="J38" s="68">
        <f>'2.Heat Targets'!C58</f>
        <v>0.29398994355505131</v>
      </c>
      <c r="K38" s="68">
        <f>'2.Heat Targets'!D58</f>
        <v>0.20305255559565782</v>
      </c>
      <c r="L38" s="69">
        <f>'2.Heat Targets'!E58</f>
        <v>6.6637343303276891E-2</v>
      </c>
      <c r="O38" s="114">
        <f>O37/O28</f>
        <v>0.40806508666430846</v>
      </c>
      <c r="P38" s="114">
        <f>P37/P28</f>
        <v>0.31719657826469144</v>
      </c>
      <c r="Q38" s="114">
        <f>Q37/Q28</f>
        <v>0.22442599825619725</v>
      </c>
      <c r="R38" s="118">
        <f>R37/R28</f>
        <v>8.6256706562113067E-2</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3">
        <f>'2.Heat Targets'!B59</f>
        <v>7824000</v>
      </c>
      <c r="J39" s="84">
        <f>'2.Heat Targets'!C59</f>
        <v>8071000</v>
      </c>
      <c r="K39" s="84">
        <f>'2.Heat Targets'!D59</f>
        <v>8140000</v>
      </c>
      <c r="L39" s="85">
        <f>'2.Heat Targets'!E59</f>
        <v>8317000</v>
      </c>
      <c r="O39" s="83">
        <f>O7+O15</f>
        <v>7234000</v>
      </c>
      <c r="P39" s="83">
        <f>P7+P15</f>
        <v>7481000</v>
      </c>
      <c r="Q39" s="83">
        <f>Q7+Q15</f>
        <v>7550000</v>
      </c>
      <c r="R39" s="104">
        <f>R7+R15</f>
        <v>7727000</v>
      </c>
      <c r="T39" t="str">
        <f>'2.Heat Targets'!G59</f>
        <v>Total wood heat energy consumed by area residences in 90x50 Scenario, in millions of Btu (taken from Table 2)</v>
      </c>
    </row>
    <row r="40" spans="9:20" x14ac:dyDescent="0.25">
      <c r="I40" s="64">
        <f>'2.Heat Targets'!B60</f>
        <v>71127.272727272721</v>
      </c>
      <c r="J40" s="65">
        <f>'2.Heat Targets'!C60</f>
        <v>75456.846926341444</v>
      </c>
      <c r="K40" s="65">
        <f>'2.Heat Targets'!D60</f>
        <v>78249.673783281047</v>
      </c>
      <c r="L40" s="66">
        <f>'2.Heat Targets'!E60</f>
        <v>88407.374825892533</v>
      </c>
      <c r="O40" s="64">
        <f>O39/O34</f>
        <v>65763.636363636368</v>
      </c>
      <c r="P40" s="64">
        <f>P39/P34</f>
        <v>71372.874815084811</v>
      </c>
      <c r="Q40" s="64">
        <f>Q39/Q34</f>
        <v>74124.022655258697</v>
      </c>
      <c r="R40" s="117">
        <f>R39/R34</f>
        <v>84074.213034180008</v>
      </c>
      <c r="T40" t="str">
        <f>'2.Heat Targets'!G60</f>
        <v>This formula computes an estimate of the number of area residences using Wood heat energy in the 90x50 scenario based on values inputted above and in the "1.Current Heat" tab.</v>
      </c>
    </row>
    <row r="41" spans="9:20" x14ac:dyDescent="0.25">
      <c r="I41" s="67">
        <f>'2.Heat Targets'!B61</f>
        <v>0.27675981605942696</v>
      </c>
      <c r="J41" s="68">
        <f>'2.Heat Targets'!C61</f>
        <v>0.28260991358180315</v>
      </c>
      <c r="K41" s="68">
        <f>'2.Heat Targets'!D61</f>
        <v>0.28248979705155614</v>
      </c>
      <c r="L41" s="69">
        <f>'2.Heat Targets'!E61</f>
        <v>0.30485301664100872</v>
      </c>
      <c r="O41" s="114">
        <f>O40/O28</f>
        <v>0.25588963565617262</v>
      </c>
      <c r="P41" s="114">
        <f>P40/P28</f>
        <v>0.26731413788421277</v>
      </c>
      <c r="Q41" s="114">
        <f>Q40/Q28</f>
        <v>0.26759574965797361</v>
      </c>
      <c r="R41" s="118">
        <f>R40/R28</f>
        <v>0.28991107942820693</v>
      </c>
      <c r="T41" t="str">
        <f>'2.Heat Targets'!G61</f>
        <v>This formula computes the estimated share of area residences using Wood heat  in the 90x50 scenario, based on values inputted in the "1.Current Heat" tab.</v>
      </c>
    </row>
    <row r="42" spans="9:20" x14ac:dyDescent="0.25">
      <c r="I42" s="83">
        <f>'2.Heat Targets'!B62</f>
        <v>244000</v>
      </c>
      <c r="J42" s="84">
        <f>'2.Heat Targets'!C62</f>
        <v>1422000</v>
      </c>
      <c r="K42" s="84">
        <f>'2.Heat Targets'!D62</f>
        <v>2937000</v>
      </c>
      <c r="L42" s="85">
        <f>'2.Heat Targets'!E62</f>
        <v>4285000</v>
      </c>
      <c r="O42" s="83">
        <f>O9+O10</f>
        <v>104000</v>
      </c>
      <c r="P42" s="83">
        <f>P9+P10</f>
        <v>1282000</v>
      </c>
      <c r="Q42" s="83">
        <f>Q9+Q10</f>
        <v>2797000</v>
      </c>
      <c r="R42" s="104">
        <f>R9+R10</f>
        <v>4145000</v>
      </c>
      <c r="T42" t="str">
        <f>'2.Heat Targets'!G62</f>
        <v>Total heat pump  energy consumed by area residences in 90x50 Scenario, in millions of Btu (taken from Table 2)</v>
      </c>
    </row>
    <row r="43" spans="9:20" x14ac:dyDescent="0.25">
      <c r="I43" s="64">
        <f>'2.Heat Targets'!B63</f>
        <v>7605.1948051948048</v>
      </c>
      <c r="J43" s="65">
        <f>'2.Heat Targets'!C63</f>
        <v>46087.482667338962</v>
      </c>
      <c r="K43" s="65">
        <f>'2.Heat Targets'!D63</f>
        <v>98816.648851994774</v>
      </c>
      <c r="L43" s="66">
        <f>'2.Heat Targets'!E63</f>
        <v>160758.87139549028</v>
      </c>
      <c r="O43" s="64">
        <f>O42/((0.7*O34)/2.4)</f>
        <v>3241.5584415584412</v>
      </c>
      <c r="P43" s="117">
        <f>P42/((0.75*P34)/2.6)</f>
        <v>42400.760385624148</v>
      </c>
      <c r="Q43" s="117">
        <f>Q42/((0.8*Q34)/2.8)</f>
        <v>96110.876792537078</v>
      </c>
      <c r="R43" s="66">
        <f>R42/((0.85*R34)/3)</f>
        <v>159176.43086199323</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7">
        <f>'2.Heat Targets'!B64</f>
        <v>2.9592197685582897E-2</v>
      </c>
      <c r="J44" s="68">
        <f>'2.Heat Targets'!C64</f>
        <v>0.17261229463422831</v>
      </c>
      <c r="K44" s="68">
        <f>'2.Heat Targets'!D64</f>
        <v>0.35673880451983675</v>
      </c>
      <c r="L44" s="69">
        <f>'2.Heat Targets'!E64</f>
        <v>0.55434093584651822</v>
      </c>
      <c r="O44" s="67">
        <f>O43/O28</f>
        <v>1.2613067865986153E-2</v>
      </c>
      <c r="P44" s="67">
        <f>P43/P28</f>
        <v>0.1588043460135736</v>
      </c>
      <c r="Q44" s="67">
        <f>Q43/Q28</f>
        <v>0.34697067434128909</v>
      </c>
      <c r="R44" s="119">
        <f>R43/R28</f>
        <v>0.5488842443517008</v>
      </c>
      <c r="T44" t="str">
        <f>'2.Heat Targets'!G64</f>
        <v>This formula computes the estimated share of area residences using Heat Pumps in the 90x50 scenario based on values inputted above and in the "1.Current Heat" tab.</v>
      </c>
    </row>
    <row r="45" spans="9:20" x14ac:dyDescent="0.25">
      <c r="I45" s="83">
        <f>'2.Heat Targets'!B65</f>
        <v>9633000</v>
      </c>
      <c r="J45" s="84">
        <f>'2.Heat Targets'!C65</f>
        <v>7619000</v>
      </c>
      <c r="K45" s="84">
        <f>'2.Heat Targets'!D65</f>
        <v>4841000</v>
      </c>
      <c r="L45" s="85">
        <f>'2.Heat Targets'!E65</f>
        <v>1304000</v>
      </c>
      <c r="O45" s="83">
        <f>O12+O13</f>
        <v>9533000</v>
      </c>
      <c r="P45" s="83">
        <f>P12+P13</f>
        <v>7519000</v>
      </c>
      <c r="Q45" s="83">
        <f>Q12+Q13</f>
        <v>4741000</v>
      </c>
      <c r="R45" s="104">
        <f>R12+R13</f>
        <v>1204000</v>
      </c>
      <c r="T45" t="str">
        <f>'2.Heat Targets'!G65</f>
        <v>Total fossil heat energy consumed by Residences in 90x50 Scenario, in millions of Btu (taken from Table 2)</v>
      </c>
    </row>
    <row r="46" spans="9:20" x14ac:dyDescent="0.25">
      <c r="I46" s="64">
        <f>'2.Heat Targets'!B66</f>
        <v>87572.727272727279</v>
      </c>
      <c r="J46" s="65">
        <f>'2.Heat Targets'!C66</f>
        <v>71231.039119290726</v>
      </c>
      <c r="K46" s="65">
        <f>'2.Heat Targets'!D66</f>
        <v>46536.44604236653</v>
      </c>
      <c r="L46" s="66">
        <f>'2.Heat Targets'!E66</f>
        <v>13861.153874349389</v>
      </c>
      <c r="O46" s="64">
        <f>O45/O34</f>
        <v>86663.636363636368</v>
      </c>
      <c r="P46" s="64">
        <f>P45/P34</f>
        <v>71735.415818022011</v>
      </c>
      <c r="Q46" s="64">
        <f>Q45/Q34</f>
        <v>46545.959126964437</v>
      </c>
      <c r="R46" s="117">
        <f>R45/R34</f>
        <v>13100.213859603045</v>
      </c>
      <c r="T46" t="str">
        <f>'2.Heat Targets'!G66</f>
        <v>This formula computes the estimates number of area residences using fossil heat in the 90x50 scenario based on values inputted in the "1.Current Heat" tab.</v>
      </c>
    </row>
    <row r="47" spans="9:20" x14ac:dyDescent="0.25">
      <c r="I47" s="67">
        <f>'2.Heat Targets'!B67</f>
        <v>0.34074991156703222</v>
      </c>
      <c r="J47" s="68">
        <f>'2.Heat Targets'!C67</f>
        <v>0.266782918049778</v>
      </c>
      <c r="K47" s="68">
        <f>'2.Heat Targets'!D67</f>
        <v>0.16800161026125102</v>
      </c>
      <c r="L47" s="69">
        <f>'2.Heat Targets'!E67</f>
        <v>4.7797082325342723E-2</v>
      </c>
      <c r="O47" s="67">
        <f>O46/O28</f>
        <v>0.33721259285461619</v>
      </c>
      <c r="P47" s="67">
        <f>P46/P28</f>
        <v>0.26867196935588766</v>
      </c>
      <c r="Q47" s="67">
        <f>Q46/Q28</f>
        <v>0.16803595352694742</v>
      </c>
      <c r="R47" s="119">
        <f>R46/R28</f>
        <v>4.5173151240010499E-2</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9:R9 O13:R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Formatting</vt:lpstr>
      <vt:lpstr>Instructions</vt:lpstr>
      <vt:lpstr>1.Current Trans</vt:lpstr>
      <vt:lpstr>1.Current Heat</vt:lpstr>
      <vt:lpstr>2.Heat Targets</vt:lpstr>
      <vt:lpstr>2.Trans Targets</vt:lpstr>
      <vt:lpstr>2.Electric Targets</vt:lpstr>
      <vt:lpstr>LEAP Scenario</vt:lpstr>
      <vt:lpstr>Exchange Example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Public Service Department</cp:lastModifiedBy>
  <dcterms:created xsi:type="dcterms:W3CDTF">2016-10-03T13:03:02Z</dcterms:created>
  <dcterms:modified xsi:type="dcterms:W3CDTF">2017-03-30T16:01:20Z</dcterms:modified>
</cp:coreProperties>
</file>