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7.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threadedComments/threadedComment4.xml" ContentType="application/vnd.ms-excel.threaded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0.xml" ContentType="application/vnd.openxmlformats-officedocument.spreadsheetml.comments+xml"/>
  <Override PartName="/xl/threadedComments/threadedComment5.xml" ContentType="application/vnd.ms-excel.threadedcomments+xml"/>
  <Override PartName="/xl/comments11.xml" ContentType="application/vnd.openxmlformats-officedocument.spreadsheetml.comments+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vermontgov.sharepoint.com/teams/PSD-PERDTeam/Shared Documents/Annual Energy Report/2023 AER/2023 RES model/"/>
    </mc:Choice>
  </mc:AlternateContent>
  <xr:revisionPtr revIDLastSave="0" documentId="8_{17871DAC-2A07-4912-A7AC-1D00E854E31E}" xr6:coauthVersionLast="47" xr6:coauthVersionMax="47" xr10:uidLastSave="{00000000-0000-0000-0000-000000000000}"/>
  <bookViews>
    <workbookView xWindow="-108" yWindow="-108" windowWidth="23256" windowHeight="12576" tabRatio="801" xr2:uid="{00000000-000D-0000-FFFF-FFFF00000000}"/>
  </bookViews>
  <sheets>
    <sheet name="Notes" sheetId="15" r:id="rId1"/>
    <sheet name="Core Assumptions" sheetId="5" r:id="rId2"/>
    <sheet name="Current Run &amp; Summary Results" sheetId="16" r:id="rId3"/>
    <sheet name="requirements" sheetId="2" r:id="rId4"/>
    <sheet name="loads" sheetId="1" r:id="rId5"/>
    <sheet name="impact" sheetId="7" r:id="rId6"/>
    <sheet name="Tier I" sheetId="4" r:id="rId7"/>
    <sheet name="Tier II" sheetId="6" r:id="rId8"/>
    <sheet name="Tier III" sheetId="8" r:id="rId9"/>
    <sheet name="price forecasts" sheetId="9" r:id="rId10"/>
    <sheet name="emissions" sheetId="13" r:id="rId11"/>
    <sheet name="AEO- reference" sheetId="12" r:id="rId12"/>
    <sheet name="Savings Calculator 2022" sheetId="21" r:id="rId13"/>
    <sheet name="annual RES req" sheetId="17" r:id="rId14"/>
    <sheet name="Tier III incentives" sheetId="10" state="hidden" r:id="rId15"/>
    <sheet name="Tier III PT" sheetId="11" r:id="rId16"/>
    <sheet name="Savings Calculator_2020" sheetId="20" state="hidden" r:id="rId17"/>
    <sheet name="Savings Calculator_2019" sheetId="19" state="hidden" r:id="rId18"/>
  </sheets>
  <externalReferences>
    <externalReference r:id="rId19"/>
    <externalReference r:id="rId20"/>
    <externalReference r:id="rId21"/>
    <externalReference r:id="rId22"/>
    <externalReference r:id="rId23"/>
  </externalReferences>
  <definedNames>
    <definedName name="_xlnm._FilterDatabase" localSheetId="12" hidden="1">'Savings Calculator 2022'!$A$2:$Q$166</definedName>
    <definedName name="_xlnm._FilterDatabase" localSheetId="17" hidden="1">'Savings Calculator_2019'!$A$2:$Q$116</definedName>
    <definedName name="_ftn1" localSheetId="12">'Savings Calculator 2022'!$I$189</definedName>
    <definedName name="_ftn1" localSheetId="17">'Savings Calculator_2019'!$I$139</definedName>
    <definedName name="_ftn2" localSheetId="12">'Savings Calculator 2022'!$I$190</definedName>
    <definedName name="_ftn2" localSheetId="17">'Savings Calculator_2019'!$I$140</definedName>
    <definedName name="_ftn3" localSheetId="12">'Savings Calculator 2022'!$I$191</definedName>
    <definedName name="_ftn3" localSheetId="17">'Savings Calculator_2019'!$I$141</definedName>
    <definedName name="_ftn5" localSheetId="12">'Savings Calculator 2022'!$I$193</definedName>
    <definedName name="_ftn5" localSheetId="17">'Savings Calculator_2019'!$I$143</definedName>
    <definedName name="_ftn6" localSheetId="12">'Savings Calculator 2022'!$I$197</definedName>
    <definedName name="_ftn6" localSheetId="17">'Savings Calculator_2019'!$I$147</definedName>
    <definedName name="_ftnref1" localSheetId="12">'Savings Calculator 2022'!#REF!</definedName>
    <definedName name="_ftnref1" localSheetId="17">'Savings Calculator_2019'!#REF!</definedName>
    <definedName name="_ftnref2" localSheetId="12">'Savings Calculator 2022'!#REF!</definedName>
    <definedName name="_ftnref2" localSheetId="17">'Savings Calculator_2019'!#REF!</definedName>
    <definedName name="_ftnref3" localSheetId="12">'Savings Calculator 2022'!$K$176</definedName>
    <definedName name="_ftnref3" localSheetId="17">'Savings Calculator_2019'!$K$126</definedName>
    <definedName name="_ftnref4" localSheetId="12">'Savings Calculator 2022'!$K$178</definedName>
    <definedName name="_ftnref4" localSheetId="17">'Savings Calculator_2019'!$K$128</definedName>
    <definedName name="_ftnref5" localSheetId="12">'Savings Calculator 2022'!$J$179</definedName>
    <definedName name="_ftnref5" localSheetId="17">'Savings Calculator_2019'!$J$129</definedName>
    <definedName name="_ftnref6" localSheetId="12">'Savings Calculator 2022'!$J$186</definedName>
    <definedName name="_ftnref6" localSheetId="17">'Savings Calculator_2019'!$J$136</definedName>
    <definedName name="base_year">'Core Assumptions'!$D$5</definedName>
    <definedName name="cap_factor">[1]user_inputs!$A$2</definedName>
    <definedName name="CCHP_incentive_escalation">'Core Assumptions'!$D$38</definedName>
    <definedName name="CCHP_LMP_multiplier">'Core Assumptions'!$D$44</definedName>
    <definedName name="COS_depreciation">impact!$B$5</definedName>
    <definedName name="COS_inflation">impact!$B$4</definedName>
    <definedName name="COS_market">impact!$B$3</definedName>
    <definedName name="cust_disc_rate_res">'[2]energy$'!$A$2</definedName>
    <definedName name="custom_incentive_escalation">'Core Assumptions'!$D$41</definedName>
    <definedName name="Custom_LMP_multiplier">'Core Assumptions'!$D$47</definedName>
    <definedName name="D_losses">'[2]ELC WS'!$K$1</definedName>
    <definedName name="depreciation_rate">'Core Assumptions'!$D$8</definedName>
    <definedName name="discount_rate">'Core Assumptions'!$D$7</definedName>
    <definedName name="ELC_price_trend">'[2]energy$'!$A$4</definedName>
    <definedName name="ELC_price_yr1">'[2]energy$'!$A$3</definedName>
    <definedName name="equip_cost_CCHP_space">'Tier III incentives'!$C$5</definedName>
    <definedName name="equip_cost_EV">[2]EV!$C$3</definedName>
    <definedName name="equip_cost_ICE">[2]EV!$B$3</definedName>
    <definedName name="equip_cost_trend_CCHP">'Tier III incentives'!$C$7</definedName>
    <definedName name="equip_cost_trend_EV">[2]EV!$C$4</definedName>
    <definedName name="equip_cost_trend_ICE">[2]EV!$B$4</definedName>
    <definedName name="EV_incentive_escalation">'Core Assumptions'!$D$39</definedName>
    <definedName name="EV_LMP_multiplier">'Core Assumptions'!$D$45</definedName>
    <definedName name="EV_rate">'Core Assumptions'!$D$15</definedName>
    <definedName name="FCA_multiplier">'[2]ELC WS'!$A$3</definedName>
    <definedName name="FCA_multiplier_trend">'[2]ELC WS'!$A$4</definedName>
    <definedName name="FCM_coincidence">'Core Assumptions'!$D$49</definedName>
    <definedName name="FF_price_case">'[2]energy$'!$A$13</definedName>
    <definedName name="FF_price_high_case_assumption">'[2]energy$'!$A$11</definedName>
    <definedName name="FF_price_htg_cum_chg">[2]AEO!#REF!</definedName>
    <definedName name="FF_price_htg_trend">'[2]energy$'!$A$7</definedName>
    <definedName name="FF_price_htg_yr1">'[2]energy$'!$A$5</definedName>
    <definedName name="FF_price_htg_yr2">'[2]energy$'!$C$13</definedName>
    <definedName name="FF_price_low_case_assumption">'[2]energy$'!$A$10</definedName>
    <definedName name="FF_price_trans_trend">'[2]energy$'!$A$8</definedName>
    <definedName name="FF_price_trans_yr1">'[2]energy$'!$A$6</definedName>
    <definedName name="FF_price_trans_yr2">'[2]energy$'!$C$14</definedName>
    <definedName name="FF_scenario">'Core Assumptions'!$D$18</definedName>
    <definedName name="fuel_cons_trans_EV">'Tier III incentives'!$C$6</definedName>
    <definedName name="fuel_cons_trans_ICE">[2]EV!$B$6</definedName>
    <definedName name="High_FF_esc">'Core Assumptions'!$D$21</definedName>
    <definedName name="htg_load_baseline_space">'Tier III incentives'!$B$3</definedName>
    <definedName name="htg_load_baseline_water">'Tier III incentives'!$B$4</definedName>
    <definedName name="htg_load_CCHP_backup">'Tier III incentives'!$C$12</definedName>
    <definedName name="htg_load_CCHP_space">'Tier III incentives'!$C$10</definedName>
    <definedName name="infl_rate">'[2]energy$'!$A$1</definedName>
    <definedName name="inflation_rate">'Core Assumptions'!$D$6</definedName>
    <definedName name="LMP_mult_CCHP_clg">[2]CCHP!$C$21</definedName>
    <definedName name="LMP_mult_CCHP_htg">[2]CCHP!$C$20</definedName>
    <definedName name="LMP_mult_EV">[2]EV!$C$12</definedName>
    <definedName name="LMP_trend">'[2]ELC WS'!$A$1</definedName>
    <definedName name="losses_yr1">[1]user_inputs!$A$50</definedName>
    <definedName name="Low_FF_esc">'Core Assumptions'!$D$19</definedName>
    <definedName name="maint_cost_trans_yr1_EV">[2]EV!$C$8</definedName>
    <definedName name="maint_cost_trans_yr1_ICE">[2]EV!$B$8</definedName>
    <definedName name="Mid_FF_esc">'Core Assumptions'!$D$20</definedName>
    <definedName name="NM_escalation">'Core Assumptions'!$D$11</definedName>
    <definedName name="NM_growth">'[2]T1&amp;2'!$M$1</definedName>
    <definedName name="overhead_escalation">'Core Assumptions'!$D$52</definedName>
    <definedName name="peak_contributino_VT_CCHP">[2]CCHP!$C$22</definedName>
    <definedName name="peak_contribution_NE_CCHP">[2]CCHP!$C$23</definedName>
    <definedName name="pk_contribution_NE_EV">[2]EV!$C$14</definedName>
    <definedName name="pk_contribution_VT_EV">[2]EV!$C$13</definedName>
    <definedName name="_xlnm.Print_Area" localSheetId="1">'Core Assumptions'!$A$1:$J$52</definedName>
    <definedName name="_xlnm.Print_Area" localSheetId="5">impact!$B$35:$N$43</definedName>
    <definedName name="REC_scenario">'Core Assumptions'!$D$12</definedName>
    <definedName name="Retail_Rate_escalation">'Core Assumptions'!$D$16</definedName>
    <definedName name="Retail_Rate_yr1">'Core Assumptions'!$D$14</definedName>
    <definedName name="retail_sales_forecast">'Core Assumptions'!$D$10</definedName>
    <definedName name="retail_sales_scenario">'Core Assumptions'!$D$10</definedName>
    <definedName name="RNS_coincidence">'Core Assumptions'!$D$48</definedName>
    <definedName name="RNS_trend">'[2]ELC WS'!$A$2</definedName>
    <definedName name="scenario">'Core Assumptions'!$D$1</definedName>
    <definedName name="seasonal_COP">[2]CCHP!#REF!</definedName>
    <definedName name="T1_cost_projection">'[2]RE gen'!$J$6:$J$15</definedName>
    <definedName name="T1_cost_trend">'[2]RE gen'!$I$1</definedName>
    <definedName name="T1_cost_yr1">'[2]RE gen'!$B$1</definedName>
    <definedName name="T2_cost_projection">'[2]RE gen'!$K$6:$K$15</definedName>
    <definedName name="T2_cost_trend">'[2]RE gen'!$I$2</definedName>
    <definedName name="T2_cost_yr1">'[2]RE gen'!$B$3</definedName>
    <definedName name="T3_credit_CCHP_space">[2]CCHP!$C$17</definedName>
    <definedName name="T3_credit_EV">[2]EV!$C$10</definedName>
    <definedName name="T3_share_CCHP">[2]COS!$J$3</definedName>
    <definedName name="T3_share_EV">[2]COS!$K$3</definedName>
    <definedName name="Tier3_Overhead">'Core Assumptions'!$D$51</definedName>
    <definedName name="UEC_CCHP_clg">[2]CCHP!$C$15</definedName>
    <definedName name="UEC_CCHP_htg_space">[2]CCHP!$C$13</definedName>
    <definedName name="UEC_EV">[2]EV!$C$9</definedName>
    <definedName name="UEC_window_clg">'Tier III incentives'!$B$16</definedName>
    <definedName name="wholesale_cost_trend">'[2]ELC WS'!$H$20</definedName>
    <definedName name="wx_incentive_escalation">'Core Assumptions'!$D$40</definedName>
  </definedNames>
  <calcPr calcId="191028"/>
  <pivotCaches>
    <pivotCache cacheId="0"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8" i="13" l="1"/>
  <c r="G38" i="13"/>
  <c r="F40" i="11"/>
  <c r="E40" i="11"/>
  <c r="Q3" i="8" s="1"/>
  <c r="D40" i="11"/>
  <c r="H60" i="1" l="1"/>
  <c r="N35" i="6"/>
  <c r="F93" i="16"/>
  <c r="F92" i="16"/>
  <c r="E93" i="16"/>
  <c r="E92" i="16"/>
  <c r="C93" i="16"/>
  <c r="C92" i="16"/>
  <c r="D93" i="16"/>
  <c r="D92" i="16"/>
  <c r="D90" i="16"/>
  <c r="D89" i="16"/>
  <c r="D88" i="16"/>
  <c r="F90" i="16"/>
  <c r="F89" i="16"/>
  <c r="F88" i="16"/>
  <c r="F86" i="16"/>
  <c r="F85" i="16"/>
  <c r="E90" i="16"/>
  <c r="E89" i="16"/>
  <c r="E88" i="16"/>
  <c r="E86" i="16"/>
  <c r="E85" i="16"/>
  <c r="D86" i="16"/>
  <c r="D85" i="16"/>
  <c r="C90" i="16"/>
  <c r="C89" i="16"/>
  <c r="C88" i="16"/>
  <c r="C86" i="16"/>
  <c r="C85" i="16"/>
  <c r="D102" i="16"/>
  <c r="D105" i="16"/>
  <c r="D103" i="16"/>
  <c r="D101" i="16"/>
  <c r="D106" i="16"/>
  <c r="D104" i="16"/>
  <c r="Q81" i="13" l="1"/>
  <c r="Q80" i="13"/>
  <c r="H21" i="17" l="1"/>
  <c r="I21" i="17"/>
  <c r="G21" i="17"/>
  <c r="E42" i="11"/>
  <c r="C2" i="11"/>
  <c r="Z4" i="8"/>
  <c r="Z5" i="8"/>
  <c r="Z6" i="8"/>
  <c r="Z7" i="8"/>
  <c r="Z3" i="8"/>
  <c r="AH4" i="8"/>
  <c r="AI4" i="8" s="1"/>
  <c r="AH5" i="8"/>
  <c r="AI5" i="8" s="1"/>
  <c r="AH7" i="8"/>
  <c r="AI7" i="8" s="1"/>
  <c r="AH3" i="8"/>
  <c r="AI3" i="8" s="1"/>
  <c r="AB6" i="8"/>
  <c r="AH6" i="8" s="1"/>
  <c r="AI6" i="8" s="1"/>
  <c r="AE7" i="8"/>
  <c r="AF7" i="8" s="1"/>
  <c r="AG7" i="8" s="1"/>
  <c r="AE4" i="8"/>
  <c r="AF4" i="8" s="1"/>
  <c r="AG4" i="8" s="1"/>
  <c r="AE5" i="8"/>
  <c r="AF5" i="8" s="1"/>
  <c r="AG5" i="8" s="1"/>
  <c r="AE3" i="8"/>
  <c r="AF3" i="8" s="1"/>
  <c r="AG3" i="8" s="1"/>
  <c r="AC23" i="9"/>
  <c r="AB8" i="8" l="1"/>
  <c r="AE6" i="8"/>
  <c r="AF6" i="8" s="1"/>
  <c r="AG6" i="8" s="1"/>
  <c r="AG8" i="8" s="1"/>
  <c r="C92" i="13" s="1"/>
  <c r="AC5" i="8"/>
  <c r="AC7" i="8"/>
  <c r="AC3" i="8"/>
  <c r="AC6" i="8"/>
  <c r="AC4" i="8"/>
  <c r="AI8" i="8"/>
  <c r="E1" i="8" l="1"/>
  <c r="F4" i="8" s="1"/>
  <c r="I10" i="1"/>
  <c r="K69" i="16"/>
  <c r="L69" i="16"/>
  <c r="D45" i="5"/>
  <c r="C3" i="16"/>
  <c r="AD32" i="9"/>
  <c r="H5" i="1"/>
  <c r="D14" i="5"/>
  <c r="D15" i="5"/>
  <c r="U15" i="4"/>
  <c r="V15" i="4" s="1"/>
  <c r="W15" i="4" s="1"/>
  <c r="X15" i="4" s="1"/>
  <c r="Y15" i="4" s="1"/>
  <c r="Z15" i="4" s="1"/>
  <c r="AA15" i="4" s="1"/>
  <c r="AB15" i="4" s="1"/>
  <c r="AC15" i="4" s="1"/>
  <c r="AD15" i="4" s="1"/>
  <c r="AE15" i="4" s="1"/>
  <c r="AF15" i="4" s="1"/>
  <c r="AG15" i="4" s="1"/>
  <c r="AH15" i="4" s="1"/>
  <c r="AI15" i="4" s="1"/>
  <c r="AJ15" i="4" s="1"/>
  <c r="AK15" i="4" s="1"/>
  <c r="Q2" i="4"/>
  <c r="R2" i="4" s="1"/>
  <c r="S2" i="4" s="1"/>
  <c r="T2" i="4" s="1"/>
  <c r="U2" i="4" s="1"/>
  <c r="V2" i="4" s="1"/>
  <c r="W2" i="4" s="1"/>
  <c r="X2" i="4" s="1"/>
  <c r="Y2" i="4" s="1"/>
  <c r="Z2" i="4" s="1"/>
  <c r="AA2" i="4" s="1"/>
  <c r="AB2" i="4" s="1"/>
  <c r="AC2" i="4" s="1"/>
  <c r="AD2" i="4" s="1"/>
  <c r="AE2" i="4" s="1"/>
  <c r="AF2" i="4" s="1"/>
  <c r="AG2" i="4" s="1"/>
  <c r="AH2" i="4" s="1"/>
  <c r="AI2" i="4" s="1"/>
  <c r="AJ2" i="4" s="1"/>
  <c r="AK2" i="4" s="1"/>
  <c r="Q15" i="4"/>
  <c r="R15" i="4" s="1"/>
  <c r="S15" i="4" s="1"/>
  <c r="T15" i="4" s="1"/>
  <c r="E101" i="16"/>
  <c r="G15" i="7" l="1"/>
  <c r="H14" i="7"/>
  <c r="I15" i="4"/>
  <c r="J15" i="4" s="1"/>
  <c r="K15" i="4" s="1"/>
  <c r="L15" i="4" s="1"/>
  <c r="M15" i="4" s="1"/>
  <c r="N15" i="4" s="1"/>
  <c r="O15" i="4" s="1"/>
  <c r="P15" i="4" s="1"/>
  <c r="H7" i="1"/>
  <c r="C3" i="8"/>
  <c r="C4" i="8"/>
  <c r="S44" i="1"/>
  <c r="H38" i="1"/>
  <c r="H37" i="1"/>
  <c r="H36" i="1"/>
  <c r="H12" i="1"/>
  <c r="H11" i="1"/>
  <c r="G3" i="8"/>
  <c r="R44" i="1"/>
  <c r="K44" i="1"/>
  <c r="L44" i="1"/>
  <c r="M44" i="1"/>
  <c r="N44" i="1"/>
  <c r="O44" i="1"/>
  <c r="P44" i="1"/>
  <c r="Q44" i="1"/>
  <c r="J44" i="1"/>
  <c r="G52" i="1"/>
  <c r="I36" i="1"/>
  <c r="AC27" i="9" l="1"/>
  <c r="P27" i="9"/>
  <c r="O27" i="9"/>
  <c r="N27" i="9"/>
  <c r="L27" i="9"/>
  <c r="P25" i="9"/>
  <c r="O25" i="9"/>
  <c r="N25" i="9"/>
  <c r="P36" i="6"/>
  <c r="O36" i="6"/>
  <c r="N36" i="6"/>
  <c r="M36" i="6"/>
  <c r="L36" i="6"/>
  <c r="K36" i="6"/>
  <c r="J36" i="6"/>
  <c r="H35" i="6"/>
  <c r="I35" i="6" s="1"/>
  <c r="J35" i="6" s="1"/>
  <c r="K35" i="6" s="1"/>
  <c r="L35" i="6" s="1"/>
  <c r="M35" i="6" s="1"/>
  <c r="O35" i="6" s="1"/>
  <c r="P35" i="6" s="1"/>
  <c r="G35" i="6"/>
  <c r="G36" i="6" l="1"/>
  <c r="G34" i="6"/>
  <c r="I45" i="1"/>
  <c r="H21" i="1"/>
  <c r="H45" i="1" s="1"/>
  <c r="G62" i="6" l="1"/>
  <c r="G28" i="6" l="1"/>
  <c r="F34" i="6"/>
  <c r="AE12" i="9"/>
  <c r="AE13" i="9"/>
  <c r="AE14" i="9"/>
  <c r="AE11" i="9"/>
  <c r="A27" i="7" l="1"/>
  <c r="H62" i="1" l="1"/>
  <c r="G62" i="1"/>
  <c r="I62" i="1"/>
  <c r="J62" i="1"/>
  <c r="K62" i="1"/>
  <c r="L62" i="1"/>
  <c r="M62" i="1"/>
  <c r="N62" i="1"/>
  <c r="O62" i="1"/>
  <c r="P62" i="1"/>
  <c r="Q62" i="1"/>
  <c r="R62" i="1"/>
  <c r="S62" i="1"/>
  <c r="T62" i="1"/>
  <c r="U62" i="1"/>
  <c r="V62" i="1"/>
  <c r="W62" i="1"/>
  <c r="H10" i="1"/>
  <c r="C5" i="8"/>
  <c r="Q8" i="2"/>
  <c r="S26" i="1"/>
  <c r="S53" i="1" s="1"/>
  <c r="S7" i="1" s="1"/>
  <c r="S57" i="1"/>
  <c r="S24" i="1" s="1"/>
  <c r="S27" i="1" s="1"/>
  <c r="S45" i="1"/>
  <c r="S25" i="1"/>
  <c r="S29" i="1"/>
  <c r="S30" i="1"/>
  <c r="S31" i="1"/>
  <c r="S32" i="1"/>
  <c r="Q7" i="2"/>
  <c r="Q9" i="2"/>
  <c r="P113" i="6"/>
  <c r="P114" i="6"/>
  <c r="Q114" i="6" s="1"/>
  <c r="R114" i="6" s="1"/>
  <c r="S114" i="6" s="1"/>
  <c r="P112" i="6"/>
  <c r="Q112" i="6" s="1"/>
  <c r="R112" i="6" s="1"/>
  <c r="F113" i="6"/>
  <c r="F114" i="6"/>
  <c r="G113" i="6"/>
  <c r="G114" i="6"/>
  <c r="H113" i="6"/>
  <c r="I113" i="6"/>
  <c r="J113" i="6"/>
  <c r="J114" i="6"/>
  <c r="K113" i="6"/>
  <c r="K114" i="6"/>
  <c r="L113" i="6"/>
  <c r="M113" i="6"/>
  <c r="N113" i="6"/>
  <c r="N114" i="6"/>
  <c r="O113" i="6"/>
  <c r="O114" i="6"/>
  <c r="H114" i="6"/>
  <c r="I114" i="6"/>
  <c r="L114" i="6"/>
  <c r="M114" i="6"/>
  <c r="E114" i="6"/>
  <c r="E113" i="6"/>
  <c r="C5" i="16"/>
  <c r="F13" i="9"/>
  <c r="F12" i="9"/>
  <c r="F9" i="9"/>
  <c r="AC22" i="9"/>
  <c r="E106" i="16"/>
  <c r="E105" i="16"/>
  <c r="E104" i="16"/>
  <c r="E103" i="16"/>
  <c r="E102" i="16"/>
  <c r="D17" i="13"/>
  <c r="E46" i="9"/>
  <c r="M25" i="9"/>
  <c r="L25" i="9"/>
  <c r="K25" i="1"/>
  <c r="I6" i="6" s="1"/>
  <c r="L25" i="1"/>
  <c r="M25" i="1"/>
  <c r="K6" i="6" s="1"/>
  <c r="N25" i="1"/>
  <c r="O25" i="1"/>
  <c r="P25" i="1"/>
  <c r="Q25" i="1"/>
  <c r="R25" i="1"/>
  <c r="J25" i="1"/>
  <c r="I25" i="1"/>
  <c r="H25" i="1"/>
  <c r="F6" i="6" s="1"/>
  <c r="Q24" i="1"/>
  <c r="O5" i="6" s="1"/>
  <c r="O18" i="6" s="1"/>
  <c r="G12" i="7"/>
  <c r="G39" i="9"/>
  <c r="F39" i="9"/>
  <c r="M27" i="9"/>
  <c r="F16" i="9"/>
  <c r="F7" i="4"/>
  <c r="F20" i="2" s="1"/>
  <c r="AC8" i="9"/>
  <c r="AC6" i="9"/>
  <c r="F19" i="9"/>
  <c r="F17" i="9"/>
  <c r="F14" i="9"/>
  <c r="AC16" i="9"/>
  <c r="AC11" i="9"/>
  <c r="P16" i="9"/>
  <c r="G12" i="9"/>
  <c r="G14" i="7"/>
  <c r="I14" i="7" s="1"/>
  <c r="J14" i="7" s="1"/>
  <c r="K14" i="7" s="1"/>
  <c r="L14" i="7" s="1"/>
  <c r="M14" i="7" s="1"/>
  <c r="N14" i="7" s="1"/>
  <c r="O14" i="7" s="1"/>
  <c r="P14" i="7" s="1"/>
  <c r="Q14" i="7" s="1"/>
  <c r="R14" i="7" s="1"/>
  <c r="G13" i="7"/>
  <c r="F12" i="7"/>
  <c r="E15" i="11"/>
  <c r="D15" i="11"/>
  <c r="C15" i="11"/>
  <c r="F14" i="11"/>
  <c r="E14" i="11"/>
  <c r="D14" i="11"/>
  <c r="C14" i="11"/>
  <c r="E12" i="11"/>
  <c r="D12" i="11"/>
  <c r="C12" i="11"/>
  <c r="C18" i="11"/>
  <c r="D18" i="11"/>
  <c r="E18" i="11"/>
  <c r="C19" i="11"/>
  <c r="D19" i="11"/>
  <c r="E19" i="11"/>
  <c r="C20" i="11"/>
  <c r="D20" i="11"/>
  <c r="E20" i="11"/>
  <c r="C21" i="11"/>
  <c r="D21" i="11"/>
  <c r="E21" i="11"/>
  <c r="F21" i="11"/>
  <c r="C22" i="11"/>
  <c r="D22" i="11"/>
  <c r="E22" i="11"/>
  <c r="F22" i="11"/>
  <c r="C23" i="11"/>
  <c r="D23" i="11"/>
  <c r="E23" i="11"/>
  <c r="F23" i="11"/>
  <c r="C24" i="11"/>
  <c r="D24" i="11"/>
  <c r="E24" i="11"/>
  <c r="C25" i="11"/>
  <c r="D25" i="11"/>
  <c r="E25" i="11"/>
  <c r="C26" i="11"/>
  <c r="D26" i="11"/>
  <c r="E26" i="11"/>
  <c r="C27" i="11"/>
  <c r="D27" i="11"/>
  <c r="E27" i="11"/>
  <c r="C28" i="11"/>
  <c r="D28" i="11"/>
  <c r="E28" i="11"/>
  <c r="C29" i="11"/>
  <c r="D29" i="11"/>
  <c r="E29" i="11"/>
  <c r="C30" i="11"/>
  <c r="D30" i="11"/>
  <c r="E30" i="11"/>
  <c r="F30" i="11"/>
  <c r="C31" i="11"/>
  <c r="D31" i="11"/>
  <c r="E31" i="11"/>
  <c r="C32" i="11"/>
  <c r="D32" i="11"/>
  <c r="E32" i="11"/>
  <c r="C33" i="11"/>
  <c r="D33" i="11"/>
  <c r="E33" i="11"/>
  <c r="C34" i="11"/>
  <c r="D34" i="11"/>
  <c r="E34" i="11"/>
  <c r="C35" i="11"/>
  <c r="D35" i="11"/>
  <c r="E35" i="11"/>
  <c r="F35" i="11"/>
  <c r="D43" i="11"/>
  <c r="E17" i="11"/>
  <c r="C17" i="11"/>
  <c r="D17" i="11"/>
  <c r="E3" i="11"/>
  <c r="E4" i="11"/>
  <c r="E5" i="11"/>
  <c r="E6" i="11"/>
  <c r="E7" i="11"/>
  <c r="E8" i="11"/>
  <c r="E9" i="11"/>
  <c r="E2" i="11"/>
  <c r="D9" i="11"/>
  <c r="D8" i="11"/>
  <c r="D7" i="11"/>
  <c r="D6" i="11"/>
  <c r="D5" i="11"/>
  <c r="D4" i="11"/>
  <c r="D3" i="11"/>
  <c r="D2" i="11"/>
  <c r="C3" i="11"/>
  <c r="C4" i="11"/>
  <c r="C5" i="11"/>
  <c r="C6" i="11"/>
  <c r="C7" i="11"/>
  <c r="C8" i="11"/>
  <c r="C9" i="11"/>
  <c r="S161" i="21"/>
  <c r="L161" i="21"/>
  <c r="K161" i="21"/>
  <c r="N161" i="21"/>
  <c r="O161" i="21"/>
  <c r="P161" i="21" s="1"/>
  <c r="J161" i="21"/>
  <c r="H161" i="21"/>
  <c r="G161" i="21"/>
  <c r="Q161" i="21"/>
  <c r="D161" i="21"/>
  <c r="S160" i="21"/>
  <c r="N160" i="21"/>
  <c r="O160" i="21"/>
  <c r="P160" i="21" s="1"/>
  <c r="K160" i="21"/>
  <c r="L160" i="21"/>
  <c r="J160" i="21"/>
  <c r="H160" i="21"/>
  <c r="G160" i="21"/>
  <c r="Q160" i="21"/>
  <c r="D160" i="21"/>
  <c r="S159" i="21"/>
  <c r="J159" i="21"/>
  <c r="G159" i="21"/>
  <c r="Q159" i="21"/>
  <c r="S158" i="21"/>
  <c r="Q158" i="21"/>
  <c r="K158" i="21"/>
  <c r="L158" i="21"/>
  <c r="J158" i="21"/>
  <c r="S157" i="21"/>
  <c r="J157" i="21"/>
  <c r="K157" i="21" s="1"/>
  <c r="N157" i="21" s="1"/>
  <c r="O157" i="21" s="1"/>
  <c r="P157" i="21" s="1"/>
  <c r="H157" i="21"/>
  <c r="G157" i="21"/>
  <c r="D157" i="21"/>
  <c r="S156" i="21"/>
  <c r="J156" i="21"/>
  <c r="K156" i="21" s="1"/>
  <c r="N156" i="21" s="1"/>
  <c r="O156" i="21" s="1"/>
  <c r="P156" i="21" s="1"/>
  <c r="H156" i="21"/>
  <c r="G156" i="21"/>
  <c r="Q156" i="21"/>
  <c r="D156" i="21"/>
  <c r="S155" i="21"/>
  <c r="J155" i="21"/>
  <c r="K155" i="21" s="1"/>
  <c r="L155" i="21" s="1"/>
  <c r="H155" i="21"/>
  <c r="G155" i="21"/>
  <c r="D155" i="21"/>
  <c r="S154" i="21"/>
  <c r="J154" i="21"/>
  <c r="T154" i="21" s="1"/>
  <c r="H154" i="21"/>
  <c r="G154" i="21"/>
  <c r="Q154" i="21"/>
  <c r="D154" i="21"/>
  <c r="S153" i="21"/>
  <c r="J153" i="21"/>
  <c r="H153" i="21"/>
  <c r="G153" i="21"/>
  <c r="D153" i="21"/>
  <c r="S152" i="21"/>
  <c r="J152" i="21"/>
  <c r="K152" i="21" s="1"/>
  <c r="H152" i="21"/>
  <c r="G152" i="21"/>
  <c r="Q152" i="21"/>
  <c r="D152" i="21"/>
  <c r="S151" i="21"/>
  <c r="J151" i="21"/>
  <c r="K151" i="21" s="1"/>
  <c r="N151" i="21" s="1"/>
  <c r="O151" i="21" s="1"/>
  <c r="P151" i="21" s="1"/>
  <c r="H151" i="21"/>
  <c r="G151" i="21"/>
  <c r="S150" i="21"/>
  <c r="J150" i="21"/>
  <c r="H150" i="21"/>
  <c r="G150" i="21"/>
  <c r="Q150" i="21"/>
  <c r="S149" i="21"/>
  <c r="T149" i="21" s="1"/>
  <c r="Q149" i="21"/>
  <c r="K149" i="21"/>
  <c r="N149" i="21"/>
  <c r="O149" i="21"/>
  <c r="P149" i="21" s="1"/>
  <c r="S148" i="21"/>
  <c r="J148" i="21"/>
  <c r="K148" i="21" s="1"/>
  <c r="L148" i="21" s="1"/>
  <c r="H148" i="21"/>
  <c r="G148" i="21"/>
  <c r="S147" i="21"/>
  <c r="J147" i="21"/>
  <c r="K147" i="21" s="1"/>
  <c r="L147" i="21" s="1"/>
  <c r="H147" i="21"/>
  <c r="G147" i="21"/>
  <c r="Q147" i="21"/>
  <c r="S146" i="21"/>
  <c r="J146" i="21"/>
  <c r="K146" i="21" s="1"/>
  <c r="N146" i="21" s="1"/>
  <c r="O146" i="21" s="1"/>
  <c r="P146" i="21" s="1"/>
  <c r="H146" i="21"/>
  <c r="G146" i="21"/>
  <c r="Q146" i="21"/>
  <c r="S145" i="21"/>
  <c r="Q145" i="21"/>
  <c r="J145" i="21"/>
  <c r="H145" i="21"/>
  <c r="G145" i="21"/>
  <c r="S144" i="21"/>
  <c r="J144" i="21"/>
  <c r="K144" i="21" s="1"/>
  <c r="H144" i="21"/>
  <c r="G144" i="21"/>
  <c r="Q144" i="21"/>
  <c r="S143" i="21"/>
  <c r="J143" i="21"/>
  <c r="K143" i="21" s="1"/>
  <c r="L143" i="21" s="1"/>
  <c r="H143" i="21"/>
  <c r="G143" i="21"/>
  <c r="Q143" i="21"/>
  <c r="S142" i="21"/>
  <c r="J142" i="21"/>
  <c r="H142" i="21"/>
  <c r="G142" i="21"/>
  <c r="Q142" i="21"/>
  <c r="S141" i="21"/>
  <c r="J141" i="21"/>
  <c r="K141" i="21" s="1"/>
  <c r="N141" i="21" s="1"/>
  <c r="O141" i="21" s="1"/>
  <c r="P141" i="21" s="1"/>
  <c r="H141" i="21"/>
  <c r="G141" i="21"/>
  <c r="Q141" i="21"/>
  <c r="S140" i="21"/>
  <c r="J140" i="21"/>
  <c r="K140" i="21" s="1"/>
  <c r="N140" i="21" s="1"/>
  <c r="O140" i="21" s="1"/>
  <c r="P140" i="21" s="1"/>
  <c r="H140" i="21"/>
  <c r="G140" i="21"/>
  <c r="S139" i="21"/>
  <c r="J139" i="21"/>
  <c r="K139" i="21" s="1"/>
  <c r="H139" i="21"/>
  <c r="G139" i="21"/>
  <c r="Q139" i="21"/>
  <c r="S138" i="21"/>
  <c r="J138" i="21"/>
  <c r="K138" i="21" s="1"/>
  <c r="L138" i="21" s="1"/>
  <c r="H138" i="21"/>
  <c r="G138" i="21"/>
  <c r="Q138" i="21"/>
  <c r="S137" i="21"/>
  <c r="J137" i="21"/>
  <c r="H137" i="21"/>
  <c r="G137" i="21"/>
  <c r="S136" i="21"/>
  <c r="J136" i="21"/>
  <c r="K136" i="21" s="1"/>
  <c r="H136" i="21"/>
  <c r="G136" i="21"/>
  <c r="Q136" i="21"/>
  <c r="S135" i="21"/>
  <c r="J135" i="21"/>
  <c r="H135" i="21"/>
  <c r="G135" i="21"/>
  <c r="Q135" i="21"/>
  <c r="S134" i="21"/>
  <c r="J134" i="21"/>
  <c r="H134" i="21"/>
  <c r="G134" i="21"/>
  <c r="Q134" i="21"/>
  <c r="S133" i="21"/>
  <c r="J133" i="21"/>
  <c r="K133" i="21" s="1"/>
  <c r="L133" i="21" s="1"/>
  <c r="H133" i="21"/>
  <c r="G133" i="21"/>
  <c r="Q133" i="21"/>
  <c r="S132" i="21"/>
  <c r="J132" i="21"/>
  <c r="K132" i="21" s="1"/>
  <c r="H132" i="21"/>
  <c r="G132" i="21"/>
  <c r="S131" i="21"/>
  <c r="Q131" i="21"/>
  <c r="J131" i="21"/>
  <c r="K131" i="21" s="1"/>
  <c r="H131" i="21"/>
  <c r="G131" i="21"/>
  <c r="S130" i="21"/>
  <c r="J130" i="21"/>
  <c r="K130" i="21" s="1"/>
  <c r="H130" i="21"/>
  <c r="G130" i="21"/>
  <c r="Q130" i="21"/>
  <c r="S129" i="21"/>
  <c r="J129" i="21"/>
  <c r="K129" i="21" s="1"/>
  <c r="H129" i="21"/>
  <c r="G129" i="21"/>
  <c r="S128" i="21"/>
  <c r="J128" i="21"/>
  <c r="K128" i="21" s="1"/>
  <c r="N128" i="21" s="1"/>
  <c r="O128" i="21" s="1"/>
  <c r="P128" i="21" s="1"/>
  <c r="H128" i="21"/>
  <c r="G128" i="21"/>
  <c r="Q128" i="21"/>
  <c r="S127" i="21"/>
  <c r="J127" i="21"/>
  <c r="K127" i="21" s="1"/>
  <c r="N127" i="21" s="1"/>
  <c r="O127" i="21" s="1"/>
  <c r="P127" i="21" s="1"/>
  <c r="H127" i="21"/>
  <c r="G127" i="21"/>
  <c r="Q127" i="21"/>
  <c r="S126" i="21"/>
  <c r="J126" i="21"/>
  <c r="K126" i="21" s="1"/>
  <c r="L126" i="21" s="1"/>
  <c r="H126" i="21"/>
  <c r="G126" i="21"/>
  <c r="S125" i="21"/>
  <c r="J125" i="21"/>
  <c r="K125" i="21" s="1"/>
  <c r="N125" i="21" s="1"/>
  <c r="O125" i="21" s="1"/>
  <c r="P125" i="21" s="1"/>
  <c r="H125" i="21"/>
  <c r="G125" i="21"/>
  <c r="Q125" i="21"/>
  <c r="S124" i="21"/>
  <c r="J124" i="21"/>
  <c r="H124" i="21"/>
  <c r="G124" i="21"/>
  <c r="S123" i="21"/>
  <c r="J123" i="21"/>
  <c r="K123" i="21" s="1"/>
  <c r="N123" i="21" s="1"/>
  <c r="O123" i="21" s="1"/>
  <c r="P123" i="21" s="1"/>
  <c r="H123" i="21"/>
  <c r="G123" i="21"/>
  <c r="Q123" i="21"/>
  <c r="S122" i="21"/>
  <c r="J122" i="21"/>
  <c r="K122" i="21" s="1"/>
  <c r="L122" i="21" s="1"/>
  <c r="H122" i="21"/>
  <c r="G122" i="21"/>
  <c r="Q122" i="21"/>
  <c r="S121" i="21"/>
  <c r="Q121" i="21"/>
  <c r="J121" i="21"/>
  <c r="K121" i="21" s="1"/>
  <c r="N121" i="21" s="1"/>
  <c r="O121" i="21" s="1"/>
  <c r="P121" i="21" s="1"/>
  <c r="H121" i="21"/>
  <c r="G121" i="21"/>
  <c r="D121" i="21"/>
  <c r="S120" i="21"/>
  <c r="J120" i="21"/>
  <c r="K120" i="21" s="1"/>
  <c r="N120" i="21" s="1"/>
  <c r="O120" i="21" s="1"/>
  <c r="P120" i="21" s="1"/>
  <c r="H120" i="21"/>
  <c r="G120" i="21"/>
  <c r="Q120" i="21"/>
  <c r="D120" i="21"/>
  <c r="S119" i="21"/>
  <c r="Q119" i="21"/>
  <c r="J119" i="21"/>
  <c r="H119" i="21"/>
  <c r="G119" i="21"/>
  <c r="D119" i="21"/>
  <c r="S118" i="21"/>
  <c r="J118" i="21"/>
  <c r="K118" i="21" s="1"/>
  <c r="L118" i="21" s="1"/>
  <c r="H118" i="21"/>
  <c r="G118" i="21"/>
  <c r="Q118" i="21"/>
  <c r="D118" i="21"/>
  <c r="S117" i="21"/>
  <c r="Q117" i="21"/>
  <c r="J117" i="21"/>
  <c r="K117" i="21" s="1"/>
  <c r="N117" i="21" s="1"/>
  <c r="O117" i="21" s="1"/>
  <c r="P117" i="21" s="1"/>
  <c r="H117" i="21"/>
  <c r="G117" i="21"/>
  <c r="S116" i="21"/>
  <c r="J116" i="21"/>
  <c r="K116" i="21" s="1"/>
  <c r="H116" i="21"/>
  <c r="G116" i="21"/>
  <c r="Q116" i="21"/>
  <c r="S115" i="21"/>
  <c r="J115" i="21"/>
  <c r="K115" i="21" s="1"/>
  <c r="N115" i="21" s="1"/>
  <c r="O115" i="21" s="1"/>
  <c r="P115" i="21" s="1"/>
  <c r="H115" i="21"/>
  <c r="G115" i="21"/>
  <c r="Q115" i="21"/>
  <c r="S114" i="21"/>
  <c r="J114" i="21"/>
  <c r="K114" i="21" s="1"/>
  <c r="H114" i="21"/>
  <c r="G114" i="21"/>
  <c r="S113" i="21"/>
  <c r="J113" i="21"/>
  <c r="H113" i="21"/>
  <c r="G113" i="21"/>
  <c r="Q113" i="21"/>
  <c r="S112" i="21"/>
  <c r="J112" i="21"/>
  <c r="K112" i="21" s="1"/>
  <c r="L112" i="21" s="1"/>
  <c r="H112" i="21"/>
  <c r="G112" i="21"/>
  <c r="S111" i="21"/>
  <c r="Q111" i="21"/>
  <c r="J111" i="21"/>
  <c r="K111" i="21" s="1"/>
  <c r="N111" i="21" s="1"/>
  <c r="O111" i="21" s="1"/>
  <c r="P111" i="21" s="1"/>
  <c r="H111" i="21"/>
  <c r="G111" i="21"/>
  <c r="S110" i="21"/>
  <c r="J110" i="21"/>
  <c r="K110" i="21" s="1"/>
  <c r="L110" i="21" s="1"/>
  <c r="H110" i="21"/>
  <c r="G110" i="21"/>
  <c r="Q110" i="21"/>
  <c r="S109" i="21"/>
  <c r="J109" i="21"/>
  <c r="H109" i="21"/>
  <c r="G109" i="21"/>
  <c r="S108" i="21"/>
  <c r="J108" i="21"/>
  <c r="K108" i="21" s="1"/>
  <c r="H108" i="21"/>
  <c r="G108" i="21"/>
  <c r="Q108" i="21"/>
  <c r="S107" i="21"/>
  <c r="J107" i="21"/>
  <c r="K107" i="21" s="1"/>
  <c r="H107" i="21"/>
  <c r="G107" i="21"/>
  <c r="Q107" i="21"/>
  <c r="S106" i="21"/>
  <c r="J106" i="21"/>
  <c r="K106" i="21" s="1"/>
  <c r="N106" i="21" s="1"/>
  <c r="O106" i="21" s="1"/>
  <c r="P106" i="21" s="1"/>
  <c r="H106" i="21"/>
  <c r="G106" i="21"/>
  <c r="S105" i="21"/>
  <c r="J105" i="21"/>
  <c r="K105" i="21" s="1"/>
  <c r="L105" i="21" s="1"/>
  <c r="H105" i="21"/>
  <c r="G105" i="21"/>
  <c r="Q105" i="21"/>
  <c r="S104" i="21"/>
  <c r="Q104" i="21"/>
  <c r="J104" i="21"/>
  <c r="K104" i="21" s="1"/>
  <c r="L104" i="21" s="1"/>
  <c r="H104" i="21"/>
  <c r="G104" i="21"/>
  <c r="S103" i="21"/>
  <c r="Q103" i="21"/>
  <c r="J103" i="21"/>
  <c r="H103" i="21"/>
  <c r="G103" i="21"/>
  <c r="S102" i="21"/>
  <c r="J102" i="21"/>
  <c r="K102" i="21" s="1"/>
  <c r="L102" i="21" s="1"/>
  <c r="H102" i="21"/>
  <c r="G102" i="21"/>
  <c r="Q102" i="21"/>
  <c r="S101" i="21"/>
  <c r="J101" i="21"/>
  <c r="K101" i="21" s="1"/>
  <c r="H101" i="21"/>
  <c r="G101" i="21"/>
  <c r="S100" i="21"/>
  <c r="J100" i="21"/>
  <c r="K100" i="21" s="1"/>
  <c r="H100" i="21"/>
  <c r="G100" i="21"/>
  <c r="Q100" i="21"/>
  <c r="S99" i="21"/>
  <c r="J99" i="21"/>
  <c r="K99" i="21" s="1"/>
  <c r="H99" i="21"/>
  <c r="G99" i="21"/>
  <c r="Q99" i="21"/>
  <c r="S98" i="21"/>
  <c r="J98" i="21"/>
  <c r="K98" i="21" s="1"/>
  <c r="L98" i="21" s="1"/>
  <c r="H98" i="21"/>
  <c r="G98" i="21"/>
  <c r="Q98" i="21"/>
  <c r="S97" i="21"/>
  <c r="J97" i="21"/>
  <c r="K97" i="21" s="1"/>
  <c r="L97" i="21" s="1"/>
  <c r="H97" i="21"/>
  <c r="G97" i="21"/>
  <c r="Q97" i="21"/>
  <c r="S96" i="21"/>
  <c r="J96" i="21"/>
  <c r="H96" i="21"/>
  <c r="G96" i="21"/>
  <c r="S95" i="21"/>
  <c r="J95" i="21"/>
  <c r="K95" i="21" s="1"/>
  <c r="H95" i="21"/>
  <c r="G95" i="21"/>
  <c r="Q95" i="21"/>
  <c r="S94" i="21"/>
  <c r="T94" i="21" s="1"/>
  <c r="J94" i="21"/>
  <c r="K94" i="21" s="1"/>
  <c r="N94" i="21" s="1"/>
  <c r="O94" i="21" s="1"/>
  <c r="P94" i="21" s="1"/>
  <c r="H94" i="21"/>
  <c r="G94" i="21"/>
  <c r="Q94" i="21"/>
  <c r="S93" i="21"/>
  <c r="Q93" i="21"/>
  <c r="J93" i="21"/>
  <c r="K93" i="21" s="1"/>
  <c r="N93" i="21" s="1"/>
  <c r="H93" i="21"/>
  <c r="G93" i="21"/>
  <c r="S92" i="21"/>
  <c r="J92" i="21"/>
  <c r="K92" i="21" s="1"/>
  <c r="H92" i="21"/>
  <c r="G92" i="21"/>
  <c r="Q92" i="21"/>
  <c r="S91" i="21"/>
  <c r="J91" i="21"/>
  <c r="K91" i="21" s="1"/>
  <c r="H91" i="21"/>
  <c r="G91" i="21"/>
  <c r="Q91" i="21"/>
  <c r="S90" i="21"/>
  <c r="J90" i="21"/>
  <c r="K90" i="21" s="1"/>
  <c r="N90" i="21" s="1"/>
  <c r="O90" i="21" s="1"/>
  <c r="P90" i="21" s="1"/>
  <c r="H90" i="21"/>
  <c r="G90" i="21"/>
  <c r="S89" i="21"/>
  <c r="T89" i="21" s="1"/>
  <c r="J89" i="21"/>
  <c r="H89" i="21"/>
  <c r="G89" i="21"/>
  <c r="Q89" i="21"/>
  <c r="S88" i="21"/>
  <c r="T88" i="21" s="1"/>
  <c r="Q88" i="21"/>
  <c r="N88" i="21"/>
  <c r="O88" i="21"/>
  <c r="P88" i="21" s="1"/>
  <c r="L88" i="21"/>
  <c r="K88" i="21"/>
  <c r="S87" i="21"/>
  <c r="T87" i="21" s="1"/>
  <c r="Q87" i="21"/>
  <c r="N87" i="21"/>
  <c r="O87" i="21"/>
  <c r="P87" i="21" s="1"/>
  <c r="L87" i="21"/>
  <c r="K87" i="21"/>
  <c r="S86" i="21"/>
  <c r="T86" i="21" s="1"/>
  <c r="Q86" i="21"/>
  <c r="N86" i="21"/>
  <c r="O86" i="21"/>
  <c r="P86" i="21" s="1"/>
  <c r="L86" i="21"/>
  <c r="K86" i="21"/>
  <c r="S85" i="21"/>
  <c r="Q85" i="21"/>
  <c r="J85" i="21"/>
  <c r="K85" i="21" s="1"/>
  <c r="L85" i="21" s="1"/>
  <c r="H85" i="21"/>
  <c r="G85" i="21"/>
  <c r="S84" i="21"/>
  <c r="J84" i="21"/>
  <c r="K84" i="21" s="1"/>
  <c r="L84" i="21" s="1"/>
  <c r="H84" i="21"/>
  <c r="G84" i="21"/>
  <c r="S83" i="21"/>
  <c r="J83" i="21"/>
  <c r="K83" i="21" s="1"/>
  <c r="H83" i="21"/>
  <c r="G83" i="21"/>
  <c r="Q83" i="21"/>
  <c r="S82" i="21"/>
  <c r="J82" i="21"/>
  <c r="G82" i="21"/>
  <c r="S81" i="21"/>
  <c r="Q81" i="21"/>
  <c r="J81" i="21"/>
  <c r="K81" i="21" s="1"/>
  <c r="L81" i="21" s="1"/>
  <c r="G81" i="21"/>
  <c r="S80" i="21"/>
  <c r="J80" i="21"/>
  <c r="K80" i="21" s="1"/>
  <c r="G80" i="21"/>
  <c r="S79" i="21"/>
  <c r="Q79" i="21"/>
  <c r="J79" i="21"/>
  <c r="K79" i="21" s="1"/>
  <c r="G79" i="21"/>
  <c r="S78" i="21"/>
  <c r="Q78" i="21"/>
  <c r="J78" i="21"/>
  <c r="K78" i="21" s="1"/>
  <c r="L78" i="21" s="1"/>
  <c r="H78" i="21"/>
  <c r="G78" i="21"/>
  <c r="S77" i="21"/>
  <c r="J77" i="21"/>
  <c r="H77" i="21"/>
  <c r="G77" i="21"/>
  <c r="S76" i="21"/>
  <c r="J76" i="21"/>
  <c r="K76" i="21" s="1"/>
  <c r="L76" i="21" s="1"/>
  <c r="H76" i="21"/>
  <c r="G76" i="21"/>
  <c r="Q76" i="21"/>
  <c r="S75" i="21"/>
  <c r="J75" i="21"/>
  <c r="K75" i="21" s="1"/>
  <c r="N75" i="21" s="1"/>
  <c r="H75" i="21"/>
  <c r="G75" i="21"/>
  <c r="Q75" i="21"/>
  <c r="S74" i="21"/>
  <c r="J74" i="21"/>
  <c r="K74" i="21" s="1"/>
  <c r="N74" i="21" s="1"/>
  <c r="O74" i="21" s="1"/>
  <c r="P74" i="21" s="1"/>
  <c r="H74" i="21"/>
  <c r="G74" i="21"/>
  <c r="Q74" i="21"/>
  <c r="D74" i="21"/>
  <c r="S73" i="21"/>
  <c r="J73" i="21"/>
  <c r="K73" i="21" s="1"/>
  <c r="L73" i="21" s="1"/>
  <c r="H73" i="21"/>
  <c r="G73" i="21"/>
  <c r="D73" i="21"/>
  <c r="S72" i="21"/>
  <c r="J72" i="21"/>
  <c r="K72" i="21" s="1"/>
  <c r="L72" i="21" s="1"/>
  <c r="H72" i="21"/>
  <c r="G72" i="21"/>
  <c r="Q72" i="21"/>
  <c r="D72" i="21"/>
  <c r="S71" i="21"/>
  <c r="J71" i="21"/>
  <c r="K71" i="21" s="1"/>
  <c r="L71" i="21" s="1"/>
  <c r="H71" i="21"/>
  <c r="G71" i="21"/>
  <c r="D71" i="21"/>
  <c r="S70" i="21"/>
  <c r="J70" i="21"/>
  <c r="H70" i="21"/>
  <c r="G70" i="21"/>
  <c r="Q70" i="21"/>
  <c r="D70" i="21"/>
  <c r="S69" i="21"/>
  <c r="Q69" i="21"/>
  <c r="J69" i="21"/>
  <c r="K69" i="21" s="1"/>
  <c r="H69" i="21"/>
  <c r="G69" i="21"/>
  <c r="D69" i="21"/>
  <c r="S68" i="21"/>
  <c r="T68" i="21" s="1"/>
  <c r="G68" i="21"/>
  <c r="F68" i="21"/>
  <c r="D68" i="21"/>
  <c r="H68" i="21"/>
  <c r="S67" i="21"/>
  <c r="T67" i="21" s="1"/>
  <c r="Q67" i="21"/>
  <c r="K67" i="21"/>
  <c r="N67" i="21"/>
  <c r="O67" i="21"/>
  <c r="P67" i="21" s="1"/>
  <c r="H67" i="21"/>
  <c r="G67" i="21"/>
  <c r="F67" i="21"/>
  <c r="D67" i="21"/>
  <c r="S66" i="21"/>
  <c r="T66" i="21" s="1"/>
  <c r="L66" i="21"/>
  <c r="K66" i="21"/>
  <c r="N66" i="21"/>
  <c r="O66" i="21"/>
  <c r="P66" i="21" s="1"/>
  <c r="H66" i="21"/>
  <c r="G66" i="21"/>
  <c r="Q66" i="21"/>
  <c r="D66" i="21"/>
  <c r="S65" i="21"/>
  <c r="T65" i="21" s="1"/>
  <c r="H65" i="21"/>
  <c r="G65" i="21"/>
  <c r="D65" i="21"/>
  <c r="S64" i="21"/>
  <c r="J64" i="21"/>
  <c r="K64" i="21" s="1"/>
  <c r="L64" i="21" s="1"/>
  <c r="H64" i="21"/>
  <c r="G64" i="21"/>
  <c r="D64" i="21"/>
  <c r="S63" i="21"/>
  <c r="J63" i="21"/>
  <c r="K63" i="21" s="1"/>
  <c r="L63" i="21" s="1"/>
  <c r="H63" i="21"/>
  <c r="G63" i="21"/>
  <c r="D63" i="21"/>
  <c r="S62" i="21"/>
  <c r="J62" i="21"/>
  <c r="K62" i="21" s="1"/>
  <c r="H62" i="21"/>
  <c r="G62" i="21"/>
  <c r="D62" i="21"/>
  <c r="S61" i="21"/>
  <c r="J61" i="21"/>
  <c r="K61" i="21" s="1"/>
  <c r="N61" i="21" s="1"/>
  <c r="O61" i="21" s="1"/>
  <c r="P61" i="21" s="1"/>
  <c r="H61" i="21"/>
  <c r="G61" i="21"/>
  <c r="D61" i="21"/>
  <c r="S60" i="21"/>
  <c r="J60" i="21"/>
  <c r="K60" i="21" s="1"/>
  <c r="H60" i="21"/>
  <c r="G60" i="21"/>
  <c r="D60" i="21"/>
  <c r="S59" i="21"/>
  <c r="J59" i="21"/>
  <c r="K59" i="21" s="1"/>
  <c r="H59" i="21"/>
  <c r="G59" i="21"/>
  <c r="D59" i="21"/>
  <c r="S58" i="21"/>
  <c r="J58" i="21"/>
  <c r="K58" i="21" s="1"/>
  <c r="H58" i="21"/>
  <c r="G58" i="21"/>
  <c r="S57" i="21"/>
  <c r="J57" i="21"/>
  <c r="K57" i="21" s="1"/>
  <c r="H57" i="21"/>
  <c r="G57" i="21"/>
  <c r="Q57" i="21"/>
  <c r="S56" i="21"/>
  <c r="J56" i="21"/>
  <c r="K56" i="21" s="1"/>
  <c r="H56" i="21"/>
  <c r="G56" i="21"/>
  <c r="S55" i="21"/>
  <c r="J55" i="21"/>
  <c r="K55" i="21" s="1"/>
  <c r="N55" i="21" s="1"/>
  <c r="O55" i="21" s="1"/>
  <c r="P55" i="21" s="1"/>
  <c r="H55" i="21"/>
  <c r="G55" i="21"/>
  <c r="Q55" i="21"/>
  <c r="S54" i="21"/>
  <c r="Q54" i="21"/>
  <c r="J54" i="21"/>
  <c r="K54" i="21" s="1"/>
  <c r="H54" i="21"/>
  <c r="G54" i="21"/>
  <c r="S53" i="21"/>
  <c r="Q53" i="21"/>
  <c r="J53" i="21"/>
  <c r="K53" i="21" s="1"/>
  <c r="L53" i="21" s="1"/>
  <c r="H53" i="21"/>
  <c r="G53" i="21"/>
  <c r="S52" i="21"/>
  <c r="J52" i="21"/>
  <c r="K52" i="21" s="1"/>
  <c r="H52" i="21"/>
  <c r="G52" i="21"/>
  <c r="Q52" i="21"/>
  <c r="S51" i="21"/>
  <c r="J51" i="21"/>
  <c r="K51" i="21" s="1"/>
  <c r="H51" i="21"/>
  <c r="G51" i="21"/>
  <c r="S50" i="21"/>
  <c r="Q50" i="21"/>
  <c r="J50" i="21"/>
  <c r="K50" i="21" s="1"/>
  <c r="H50" i="21"/>
  <c r="G50" i="21"/>
  <c r="S49" i="21"/>
  <c r="J49" i="21"/>
  <c r="K49" i="21" s="1"/>
  <c r="H49" i="21"/>
  <c r="G49" i="21"/>
  <c r="Q49" i="21"/>
  <c r="S48" i="21"/>
  <c r="Q48" i="21"/>
  <c r="J48" i="21"/>
  <c r="H48" i="21"/>
  <c r="G48" i="21"/>
  <c r="S47" i="21"/>
  <c r="J47" i="21"/>
  <c r="H47" i="21"/>
  <c r="G47" i="21"/>
  <c r="Q47" i="21"/>
  <c r="S46" i="21"/>
  <c r="Q46" i="21"/>
  <c r="J46" i="21"/>
  <c r="K46" i="21" s="1"/>
  <c r="N46" i="21" s="1"/>
  <c r="O46" i="21" s="1"/>
  <c r="P46" i="21" s="1"/>
  <c r="H46" i="21"/>
  <c r="G46" i="21"/>
  <c r="S45" i="21"/>
  <c r="Q45" i="21"/>
  <c r="J45" i="21"/>
  <c r="K45" i="21" s="1"/>
  <c r="N45" i="21" s="1"/>
  <c r="O45" i="21" s="1"/>
  <c r="P45" i="21" s="1"/>
  <c r="H45" i="21"/>
  <c r="G45" i="21"/>
  <c r="S44" i="21"/>
  <c r="J44" i="21"/>
  <c r="K44" i="21" s="1"/>
  <c r="N44" i="21" s="1"/>
  <c r="O44" i="21" s="1"/>
  <c r="P44" i="21" s="1"/>
  <c r="H44" i="21"/>
  <c r="G44" i="21"/>
  <c r="Q44" i="21"/>
  <c r="S43" i="21"/>
  <c r="J43" i="21"/>
  <c r="K43" i="21" s="1"/>
  <c r="H43" i="21"/>
  <c r="G43" i="21"/>
  <c r="S42" i="21"/>
  <c r="J42" i="21"/>
  <c r="K42" i="21" s="1"/>
  <c r="N42" i="21" s="1"/>
  <c r="O42" i="21" s="1"/>
  <c r="P42" i="21" s="1"/>
  <c r="H42" i="21"/>
  <c r="G42" i="21"/>
  <c r="S41" i="21"/>
  <c r="J41" i="21"/>
  <c r="K41" i="21" s="1"/>
  <c r="L41" i="21" s="1"/>
  <c r="H41" i="21"/>
  <c r="G41" i="21"/>
  <c r="Q41" i="21"/>
  <c r="S40" i="21"/>
  <c r="J40" i="21"/>
  <c r="K40" i="21" s="1"/>
  <c r="H40" i="21"/>
  <c r="G40" i="21"/>
  <c r="S39" i="21"/>
  <c r="J39" i="21"/>
  <c r="K39" i="21" s="1"/>
  <c r="L39" i="21" s="1"/>
  <c r="H39" i="21"/>
  <c r="G39" i="21"/>
  <c r="Q39" i="21"/>
  <c r="S38" i="21"/>
  <c r="J38" i="21"/>
  <c r="K38" i="21" s="1"/>
  <c r="H38" i="21"/>
  <c r="G38" i="21"/>
  <c r="S37" i="21"/>
  <c r="J37" i="21"/>
  <c r="H37" i="21"/>
  <c r="G37" i="21"/>
  <c r="Q37" i="21"/>
  <c r="S36" i="21"/>
  <c r="J36" i="21"/>
  <c r="K36" i="21" s="1"/>
  <c r="L36" i="21" s="1"/>
  <c r="H36" i="21"/>
  <c r="G36" i="21"/>
  <c r="Q36" i="21"/>
  <c r="S35" i="21"/>
  <c r="J35" i="21"/>
  <c r="K35" i="21" s="1"/>
  <c r="L35" i="21" s="1"/>
  <c r="H35" i="21"/>
  <c r="G35" i="21"/>
  <c r="S34" i="21"/>
  <c r="J34" i="21"/>
  <c r="K34" i="21" s="1"/>
  <c r="N34" i="21" s="1"/>
  <c r="O34" i="21" s="1"/>
  <c r="P34" i="21" s="1"/>
  <c r="H34" i="21"/>
  <c r="G34" i="21"/>
  <c r="S33" i="21"/>
  <c r="Q33" i="21"/>
  <c r="J33" i="21"/>
  <c r="K33" i="21" s="1"/>
  <c r="N33" i="21" s="1"/>
  <c r="O33" i="21" s="1"/>
  <c r="P33" i="21" s="1"/>
  <c r="H33" i="21"/>
  <c r="G33" i="21"/>
  <c r="S32" i="21"/>
  <c r="Q32" i="21"/>
  <c r="J32" i="21"/>
  <c r="K32" i="21" s="1"/>
  <c r="H32" i="21"/>
  <c r="G32" i="21"/>
  <c r="S31" i="21"/>
  <c r="J31" i="21"/>
  <c r="K31" i="21" s="1"/>
  <c r="H31" i="21"/>
  <c r="G31" i="21"/>
  <c r="Q31" i="21"/>
  <c r="S30" i="21"/>
  <c r="Q30" i="21"/>
  <c r="J30" i="21"/>
  <c r="K30" i="21" s="1"/>
  <c r="N30" i="21" s="1"/>
  <c r="O30" i="21" s="1"/>
  <c r="P30" i="21" s="1"/>
  <c r="H30" i="21"/>
  <c r="G30" i="21"/>
  <c r="S29" i="21"/>
  <c r="Q29" i="21"/>
  <c r="J29" i="21"/>
  <c r="K29" i="21" s="1"/>
  <c r="H29" i="21"/>
  <c r="G29" i="21"/>
  <c r="S28" i="21"/>
  <c r="J28" i="21"/>
  <c r="K28" i="21" s="1"/>
  <c r="N28" i="21" s="1"/>
  <c r="O28" i="21" s="1"/>
  <c r="P28" i="21" s="1"/>
  <c r="H28" i="21"/>
  <c r="G28" i="21"/>
  <c r="Q28" i="21"/>
  <c r="S27" i="21"/>
  <c r="J27" i="21"/>
  <c r="K27" i="21" s="1"/>
  <c r="H27" i="21"/>
  <c r="G27" i="21"/>
  <c r="S26" i="21"/>
  <c r="Q26" i="21"/>
  <c r="J26" i="21"/>
  <c r="K26" i="21" s="1"/>
  <c r="L26" i="21" s="1"/>
  <c r="H26" i="21"/>
  <c r="G26" i="21"/>
  <c r="S25" i="21"/>
  <c r="J25" i="21"/>
  <c r="K25" i="21" s="1"/>
  <c r="N25" i="21" s="1"/>
  <c r="O25" i="21" s="1"/>
  <c r="P25" i="21" s="1"/>
  <c r="H25" i="21"/>
  <c r="G25" i="21"/>
  <c r="S24" i="21"/>
  <c r="Q24" i="21"/>
  <c r="J24" i="21"/>
  <c r="K24" i="21" s="1"/>
  <c r="H24" i="21"/>
  <c r="G24" i="21"/>
  <c r="S23" i="21"/>
  <c r="J23" i="21"/>
  <c r="K23" i="21" s="1"/>
  <c r="N23" i="21" s="1"/>
  <c r="O23" i="21" s="1"/>
  <c r="P23" i="21" s="1"/>
  <c r="H23" i="21"/>
  <c r="G23" i="21"/>
  <c r="Q23" i="21"/>
  <c r="S22" i="21"/>
  <c r="Q22" i="21"/>
  <c r="J22" i="21"/>
  <c r="K22" i="21" s="1"/>
  <c r="H22" i="21"/>
  <c r="G22" i="21"/>
  <c r="S21" i="21"/>
  <c r="Q21" i="21"/>
  <c r="J21" i="21"/>
  <c r="K21" i="21" s="1"/>
  <c r="N21" i="21" s="1"/>
  <c r="F5" i="11" s="1"/>
  <c r="H21" i="21"/>
  <c r="G21" i="21"/>
  <c r="S20" i="21"/>
  <c r="J20" i="21"/>
  <c r="K20" i="21" s="1"/>
  <c r="H20" i="21"/>
  <c r="G20" i="21"/>
  <c r="Q20" i="21"/>
  <c r="S19" i="21"/>
  <c r="J19" i="21"/>
  <c r="K19" i="21" s="1"/>
  <c r="H19" i="21"/>
  <c r="G19" i="21"/>
  <c r="S18" i="21"/>
  <c r="J18" i="21"/>
  <c r="K18" i="21" s="1"/>
  <c r="H18" i="21"/>
  <c r="G18" i="21"/>
  <c r="S17" i="21"/>
  <c r="Q17" i="21"/>
  <c r="J17" i="21"/>
  <c r="K17" i="21" s="1"/>
  <c r="N17" i="21" s="1"/>
  <c r="O17" i="21" s="1"/>
  <c r="P17" i="21" s="1"/>
  <c r="H17" i="21"/>
  <c r="G17" i="21"/>
  <c r="S16" i="21"/>
  <c r="J16" i="21"/>
  <c r="K16" i="21" s="1"/>
  <c r="H16" i="21"/>
  <c r="G16" i="21"/>
  <c r="Q16" i="21"/>
  <c r="S15" i="21"/>
  <c r="J15" i="21"/>
  <c r="K15" i="21" s="1"/>
  <c r="L15" i="21" s="1"/>
  <c r="H15" i="21"/>
  <c r="G15" i="21"/>
  <c r="Q15" i="21"/>
  <c r="S14" i="21"/>
  <c r="J14" i="21"/>
  <c r="K14" i="21" s="1"/>
  <c r="N14" i="21" s="1"/>
  <c r="O14" i="21" s="1"/>
  <c r="P14" i="21" s="1"/>
  <c r="H14" i="21"/>
  <c r="G14" i="21"/>
  <c r="S13" i="21"/>
  <c r="J13" i="21"/>
  <c r="K13" i="21" s="1"/>
  <c r="L13" i="21" s="1"/>
  <c r="H13" i="21"/>
  <c r="G13" i="21"/>
  <c r="Q13" i="21"/>
  <c r="S12" i="21"/>
  <c r="J12" i="21"/>
  <c r="K12" i="21" s="1"/>
  <c r="L12" i="21" s="1"/>
  <c r="H12" i="21"/>
  <c r="G12" i="21"/>
  <c r="Q12" i="21"/>
  <c r="S11" i="21"/>
  <c r="J11" i="21"/>
  <c r="K11" i="21" s="1"/>
  <c r="L11" i="21" s="1"/>
  <c r="H11" i="21"/>
  <c r="G11" i="21"/>
  <c r="S10" i="21"/>
  <c r="Q10" i="21"/>
  <c r="J10" i="21"/>
  <c r="K10" i="21" s="1"/>
  <c r="N10" i="21" s="1"/>
  <c r="O10" i="21" s="1"/>
  <c r="P10" i="21" s="1"/>
  <c r="H10" i="21"/>
  <c r="G10" i="21"/>
  <c r="S9" i="21"/>
  <c r="Q9" i="21"/>
  <c r="J9" i="21"/>
  <c r="K9" i="21" s="1"/>
  <c r="H9" i="21"/>
  <c r="G9" i="21"/>
  <c r="S8" i="21"/>
  <c r="J8" i="21"/>
  <c r="K8" i="21" s="1"/>
  <c r="L8" i="21" s="1"/>
  <c r="H8" i="21"/>
  <c r="G8" i="21"/>
  <c r="Q8" i="21"/>
  <c r="S7" i="21"/>
  <c r="J7" i="21"/>
  <c r="K7" i="21" s="1"/>
  <c r="N7" i="21" s="1"/>
  <c r="H7" i="21"/>
  <c r="G7" i="21"/>
  <c r="Q7" i="21"/>
  <c r="S6" i="21"/>
  <c r="J6" i="21"/>
  <c r="K6" i="21" s="1"/>
  <c r="L6" i="21" s="1"/>
  <c r="H6" i="21"/>
  <c r="G6" i="21"/>
  <c r="S5" i="21"/>
  <c r="Q5" i="21"/>
  <c r="J5" i="21"/>
  <c r="K5" i="21" s="1"/>
  <c r="L5" i="21" s="1"/>
  <c r="H5" i="21"/>
  <c r="G5" i="21"/>
  <c r="S4" i="21"/>
  <c r="J4" i="21"/>
  <c r="K4" i="21" s="1"/>
  <c r="H4" i="21"/>
  <c r="G4" i="21"/>
  <c r="Q4" i="21"/>
  <c r="S3" i="21"/>
  <c r="J3" i="21"/>
  <c r="K3" i="21" s="1"/>
  <c r="N3" i="21" s="1"/>
  <c r="F2" i="11" s="1"/>
  <c r="H3" i="21"/>
  <c r="G3" i="21"/>
  <c r="H13" i="7"/>
  <c r="I13" i="7" s="1"/>
  <c r="J13" i="7" s="1"/>
  <c r="K13" i="7" s="1"/>
  <c r="L13" i="7" s="1"/>
  <c r="M13" i="7" s="1"/>
  <c r="N13" i="7" s="1"/>
  <c r="O13" i="7" s="1"/>
  <c r="P13" i="7" s="1"/>
  <c r="Q13" i="7" s="1"/>
  <c r="N76" i="21"/>
  <c r="O76" i="21" s="1"/>
  <c r="P76" i="21" s="1"/>
  <c r="K119" i="21"/>
  <c r="K145" i="21"/>
  <c r="N145" i="21" s="1"/>
  <c r="O145" i="21" s="1"/>
  <c r="P145" i="21" s="1"/>
  <c r="T161" i="21"/>
  <c r="Q140" i="21"/>
  <c r="Q6" i="21"/>
  <c r="Q25" i="21"/>
  <c r="Q60" i="21"/>
  <c r="Q42" i="21"/>
  <c r="Q77" i="21"/>
  <c r="K77" i="21"/>
  <c r="N77" i="21" s="1"/>
  <c r="O77" i="21" s="1"/>
  <c r="P77" i="21" s="1"/>
  <c r="Q14" i="21"/>
  <c r="Q40" i="21"/>
  <c r="Q56" i="21"/>
  <c r="Q59" i="21"/>
  <c r="Q61" i="21"/>
  <c r="Q63" i="21"/>
  <c r="L83" i="21"/>
  <c r="N83" i="21"/>
  <c r="O83" i="21" s="1"/>
  <c r="P83" i="21" s="1"/>
  <c r="Q34" i="21"/>
  <c r="Q58" i="21"/>
  <c r="Q62" i="21"/>
  <c r="Q64" i="21"/>
  <c r="Q18" i="21"/>
  <c r="Q38" i="21"/>
  <c r="Q73" i="21"/>
  <c r="Q84" i="21"/>
  <c r="Q101" i="21"/>
  <c r="Q129" i="21"/>
  <c r="K65" i="21"/>
  <c r="Q65" i="21"/>
  <c r="Q3" i="21"/>
  <c r="Q11" i="21"/>
  <c r="Q19" i="21"/>
  <c r="Q27" i="21"/>
  <c r="Q35" i="21"/>
  <c r="Q43" i="21"/>
  <c r="Q51" i="21"/>
  <c r="Q132" i="21"/>
  <c r="Q137" i="21"/>
  <c r="Q109" i="21"/>
  <c r="Q148" i="21"/>
  <c r="Q96" i="21"/>
  <c r="Q124" i="21"/>
  <c r="L67" i="21"/>
  <c r="Q68" i="21"/>
  <c r="K68" i="21"/>
  <c r="Q71" i="21"/>
  <c r="Q80" i="21"/>
  <c r="Q82" i="21"/>
  <c r="Q112" i="21"/>
  <c r="L149" i="21"/>
  <c r="N158" i="21"/>
  <c r="O158" i="21"/>
  <c r="P158" i="21" s="1"/>
  <c r="K159" i="21"/>
  <c r="K154" i="21"/>
  <c r="N154" i="21" s="1"/>
  <c r="O154" i="21" s="1"/>
  <c r="P154" i="21" s="1"/>
  <c r="K89" i="21"/>
  <c r="N89" i="21" s="1"/>
  <c r="O89" i="21" s="1"/>
  <c r="P89" i="21" s="1"/>
  <c r="Q90" i="21"/>
  <c r="Q106" i="21"/>
  <c r="Q114" i="21"/>
  <c r="Q126" i="21"/>
  <c r="K150" i="21"/>
  <c r="N150" i="21" s="1"/>
  <c r="Q151" i="21"/>
  <c r="Q153" i="21"/>
  <c r="Q155" i="21"/>
  <c r="Q157" i="21"/>
  <c r="N68" i="21"/>
  <c r="O68" i="21"/>
  <c r="P68" i="21" s="1"/>
  <c r="L68" i="21"/>
  <c r="N159" i="21"/>
  <c r="O159" i="21"/>
  <c r="P159" i="21" s="1"/>
  <c r="L159" i="21"/>
  <c r="L65" i="21"/>
  <c r="N65" i="21"/>
  <c r="O65" i="21"/>
  <c r="P65" i="21" s="1"/>
  <c r="K21" i="9"/>
  <c r="L21" i="9"/>
  <c r="M21" i="9"/>
  <c r="N21" i="9"/>
  <c r="O21" i="9"/>
  <c r="P21" i="9"/>
  <c r="J21" i="9"/>
  <c r="I21" i="9"/>
  <c r="H21" i="9"/>
  <c r="G21" i="9"/>
  <c r="F21" i="9"/>
  <c r="H22" i="9"/>
  <c r="I22" i="9"/>
  <c r="J22" i="9"/>
  <c r="K22" i="9"/>
  <c r="L22" i="9"/>
  <c r="M22" i="9"/>
  <c r="N22" i="9"/>
  <c r="O22" i="9"/>
  <c r="P22" i="9"/>
  <c r="G22" i="9"/>
  <c r="F18" i="9"/>
  <c r="G13" i="9"/>
  <c r="F11" i="9"/>
  <c r="G11" i="9"/>
  <c r="E5" i="9"/>
  <c r="G6" i="8"/>
  <c r="E11" i="1"/>
  <c r="C19" i="13"/>
  <c r="I68" i="12"/>
  <c r="H68" i="12"/>
  <c r="G68" i="12"/>
  <c r="E11" i="9"/>
  <c r="G17" i="9"/>
  <c r="C20" i="13"/>
  <c r="C21" i="13" s="1"/>
  <c r="C2" i="13"/>
  <c r="Q41" i="7"/>
  <c r="B3" i="9"/>
  <c r="N33" i="9" s="1"/>
  <c r="B2" i="9"/>
  <c r="E12" i="7"/>
  <c r="I28" i="6"/>
  <c r="F28" i="6"/>
  <c r="G23" i="9"/>
  <c r="H23" i="9"/>
  <c r="F23" i="9"/>
  <c r="K27" i="9"/>
  <c r="K25" i="9"/>
  <c r="AC26" i="9"/>
  <c r="I27" i="9"/>
  <c r="J27" i="9"/>
  <c r="I25" i="9"/>
  <c r="J25" i="9"/>
  <c r="H27" i="9"/>
  <c r="H25" i="9"/>
  <c r="G27" i="9"/>
  <c r="G25" i="9"/>
  <c r="L26" i="9"/>
  <c r="M26" i="9"/>
  <c r="N26" i="9"/>
  <c r="O26" i="9"/>
  <c r="P26" i="9"/>
  <c r="K26" i="9"/>
  <c r="I16" i="2"/>
  <c r="I23" i="9"/>
  <c r="I13" i="4" s="1"/>
  <c r="A16" i="6"/>
  <c r="A7" i="6"/>
  <c r="H7" i="6" s="1"/>
  <c r="E28" i="6"/>
  <c r="C57" i="6"/>
  <c r="G59" i="6"/>
  <c r="H59" i="6"/>
  <c r="F35" i="6"/>
  <c r="F36" i="6"/>
  <c r="H59" i="1"/>
  <c r="G59" i="1"/>
  <c r="R57" i="1"/>
  <c r="R24" i="1" s="1"/>
  <c r="P5" i="6" s="1"/>
  <c r="P18" i="6" s="1"/>
  <c r="Q57" i="1"/>
  <c r="Q27" i="7"/>
  <c r="P7" i="4"/>
  <c r="P20" i="2" s="1"/>
  <c r="P12" i="4"/>
  <c r="Q35" i="7"/>
  <c r="P11" i="9"/>
  <c r="P28" i="6"/>
  <c r="P6" i="6"/>
  <c r="H36" i="6"/>
  <c r="H34" i="6"/>
  <c r="G29" i="6"/>
  <c r="G39" i="6" s="1"/>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O11" i="9"/>
  <c r="E29" i="6"/>
  <c r="F29" i="6"/>
  <c r="H57" i="1"/>
  <c r="H24" i="1" s="1"/>
  <c r="F5" i="6" s="1"/>
  <c r="F18" i="6" s="1"/>
  <c r="K10" i="1"/>
  <c r="J10" i="1"/>
  <c r="J36" i="1" s="1"/>
  <c r="F20" i="1"/>
  <c r="F21" i="1"/>
  <c r="I22" i="1"/>
  <c r="I21" i="1"/>
  <c r="E64" i="12"/>
  <c r="E65" i="12"/>
  <c r="E66" i="12"/>
  <c r="F38" i="6"/>
  <c r="G11" i="1"/>
  <c r="G12" i="1"/>
  <c r="G31" i="7" s="1"/>
  <c r="G6" i="1"/>
  <c r="B1" i="4"/>
  <c r="R92" i="8"/>
  <c r="A26" i="1"/>
  <c r="G7" i="1"/>
  <c r="D2" i="2"/>
  <c r="E2" i="2"/>
  <c r="H2" i="1"/>
  <c r="H44" i="1" s="1"/>
  <c r="E42" i="8"/>
  <c r="F42" i="8" s="1"/>
  <c r="G42" i="8" s="1"/>
  <c r="O21" i="1"/>
  <c r="I2" i="1"/>
  <c r="I44" i="1" s="1"/>
  <c r="Q17" i="7"/>
  <c r="F2" i="2"/>
  <c r="F42" i="9"/>
  <c r="C8" i="16"/>
  <c r="C7" i="16"/>
  <c r="C6" i="16"/>
  <c r="C4" i="16"/>
  <c r="C2" i="16"/>
  <c r="T6" i="1"/>
  <c r="U6" i="1"/>
  <c r="V6" i="1"/>
  <c r="W6" i="1"/>
  <c r="X6" i="1"/>
  <c r="D28" i="8"/>
  <c r="L10" i="1"/>
  <c r="L36" i="1"/>
  <c r="A3" i="1"/>
  <c r="N21" i="1"/>
  <c r="U66" i="8"/>
  <c r="P45" i="1"/>
  <c r="L45" i="1"/>
  <c r="J45" i="1"/>
  <c r="Q45" i="1"/>
  <c r="J21" i="1"/>
  <c r="G61" i="6"/>
  <c r="F14" i="7"/>
  <c r="F13" i="7"/>
  <c r="E14" i="7"/>
  <c r="E13" i="7"/>
  <c r="P11" i="4"/>
  <c r="AC21" i="9"/>
  <c r="F30" i="6"/>
  <c r="G57" i="1"/>
  <c r="G24" i="1" s="1"/>
  <c r="E5" i="6" s="1"/>
  <c r="E18" i="6" s="1"/>
  <c r="D20" i="1"/>
  <c r="P35" i="7"/>
  <c r="O28" i="6"/>
  <c r="P38" i="6"/>
  <c r="D24" i="1"/>
  <c r="N28" i="6"/>
  <c r="O38" i="6"/>
  <c r="G25" i="1"/>
  <c r="E6" i="6" s="1"/>
  <c r="O11" i="4"/>
  <c r="O7" i="4"/>
  <c r="O20" i="2" s="1"/>
  <c r="D32" i="13"/>
  <c r="D9" i="8"/>
  <c r="D2" i="4"/>
  <c r="E2" i="4" s="1"/>
  <c r="F2" i="4" s="1"/>
  <c r="G2" i="4" s="1"/>
  <c r="H2" i="4" s="1"/>
  <c r="I2" i="4" s="1"/>
  <c r="J2" i="4" s="1"/>
  <c r="K2" i="4" s="1"/>
  <c r="L2" i="4" s="1"/>
  <c r="M2" i="4" s="1"/>
  <c r="N2" i="4" s="1"/>
  <c r="O2" i="4" s="1"/>
  <c r="P2" i="4" s="1"/>
  <c r="D2" i="6"/>
  <c r="E9" i="7"/>
  <c r="D29" i="5"/>
  <c r="D30" i="6"/>
  <c r="P57" i="1"/>
  <c r="P24" i="1" s="1"/>
  <c r="N5" i="6" s="1"/>
  <c r="N18" i="6" s="1"/>
  <c r="I57" i="1"/>
  <c r="I24" i="1" s="1"/>
  <c r="G5" i="6" s="1"/>
  <c r="G18" i="6" s="1"/>
  <c r="J57" i="1"/>
  <c r="J24" i="1" s="1"/>
  <c r="H5" i="6" s="1"/>
  <c r="H18" i="6" s="1"/>
  <c r="K57" i="1"/>
  <c r="K24" i="1" s="1"/>
  <c r="I5" i="6" s="1"/>
  <c r="I18" i="6" s="1"/>
  <c r="L57" i="1"/>
  <c r="L24" i="1" s="1"/>
  <c r="J5" i="6" s="1"/>
  <c r="J18" i="6" s="1"/>
  <c r="M57" i="1"/>
  <c r="M24" i="1" s="1"/>
  <c r="K5" i="6" s="1"/>
  <c r="K18" i="6" s="1"/>
  <c r="N57" i="1"/>
  <c r="N24" i="1" s="1"/>
  <c r="L5" i="6" s="1"/>
  <c r="L18" i="6" s="1"/>
  <c r="O57" i="1"/>
  <c r="O24" i="1" s="1"/>
  <c r="M5" i="6" s="1"/>
  <c r="M18" i="6" s="1"/>
  <c r="I36" i="6"/>
  <c r="E30" i="6"/>
  <c r="I59" i="6"/>
  <c r="J59" i="6"/>
  <c r="K59" i="6"/>
  <c r="L59" i="6"/>
  <c r="M59" i="6"/>
  <c r="N59" i="6"/>
  <c r="O12" i="4"/>
  <c r="I34" i="6"/>
  <c r="J34" i="6" s="1"/>
  <c r="G60" i="6"/>
  <c r="N6" i="8"/>
  <c r="M6" i="8"/>
  <c r="D6" i="8" s="1"/>
  <c r="H5" i="8"/>
  <c r="H4" i="8"/>
  <c r="I61" i="6"/>
  <c r="H61" i="6"/>
  <c r="B47" i="11"/>
  <c r="E47" i="11"/>
  <c r="E48" i="11"/>
  <c r="D48" i="11"/>
  <c r="F48" i="11"/>
  <c r="B49" i="11"/>
  <c r="E10" i="11"/>
  <c r="D44" i="11"/>
  <c r="D41" i="11"/>
  <c r="D10" i="11"/>
  <c r="D42" i="11"/>
  <c r="G4" i="8"/>
  <c r="S46" i="1" s="1"/>
  <c r="S147" i="20"/>
  <c r="T147" i="20" s="1"/>
  <c r="Q147" i="20"/>
  <c r="L147" i="20"/>
  <c r="K147" i="20"/>
  <c r="N147" i="20"/>
  <c r="O147" i="20"/>
  <c r="P147" i="20" s="1"/>
  <c r="S146" i="20"/>
  <c r="Q146" i="20"/>
  <c r="J146" i="20"/>
  <c r="K146" i="20" s="1"/>
  <c r="G146" i="20"/>
  <c r="D146" i="20"/>
  <c r="H146" i="20"/>
  <c r="S145" i="20"/>
  <c r="J145" i="20"/>
  <c r="K145" i="20" s="1"/>
  <c r="L145" i="20" s="1"/>
  <c r="G145" i="20"/>
  <c r="D145" i="20"/>
  <c r="H145" i="20"/>
  <c r="S144" i="20"/>
  <c r="Q144" i="20"/>
  <c r="J144" i="20"/>
  <c r="G144" i="20"/>
  <c r="D144" i="20"/>
  <c r="H144" i="20"/>
  <c r="S143" i="20"/>
  <c r="J143" i="20"/>
  <c r="K143" i="20" s="1"/>
  <c r="N143" i="20" s="1"/>
  <c r="O143" i="20" s="1"/>
  <c r="P143" i="20" s="1"/>
  <c r="G143" i="20"/>
  <c r="D143" i="20"/>
  <c r="H143" i="20"/>
  <c r="S142" i="20"/>
  <c r="Q142" i="20"/>
  <c r="J142" i="20"/>
  <c r="K142" i="20" s="1"/>
  <c r="G142" i="20"/>
  <c r="D142" i="20"/>
  <c r="H142" i="20"/>
  <c r="S141" i="20"/>
  <c r="J141" i="20"/>
  <c r="K141" i="20" s="1"/>
  <c r="G141" i="20"/>
  <c r="D141" i="20"/>
  <c r="H141" i="20"/>
  <c r="S140" i="20"/>
  <c r="Q140" i="20"/>
  <c r="J140" i="20"/>
  <c r="K140" i="20" s="1"/>
  <c r="H140" i="20"/>
  <c r="G140" i="20"/>
  <c r="S139" i="20"/>
  <c r="J139" i="20"/>
  <c r="K139" i="20" s="1"/>
  <c r="H139" i="20"/>
  <c r="G139" i="20"/>
  <c r="Q139" i="20"/>
  <c r="S138" i="20"/>
  <c r="T138" i="20" s="1"/>
  <c r="Q138" i="20"/>
  <c r="N138" i="20"/>
  <c r="O138" i="20"/>
  <c r="P138" i="20" s="1"/>
  <c r="K138" i="20"/>
  <c r="L138" i="20"/>
  <c r="S137" i="20"/>
  <c r="J137" i="20"/>
  <c r="K137" i="20" s="1"/>
  <c r="L137" i="20" s="1"/>
  <c r="H137" i="20"/>
  <c r="G137" i="20"/>
  <c r="Q137" i="20"/>
  <c r="S136" i="20"/>
  <c r="Q136" i="20"/>
  <c r="J136" i="20"/>
  <c r="K136" i="20" s="1"/>
  <c r="H136" i="20"/>
  <c r="G136" i="20"/>
  <c r="S135" i="20"/>
  <c r="Q135" i="20"/>
  <c r="J135" i="20"/>
  <c r="K135" i="20" s="1"/>
  <c r="H135" i="20"/>
  <c r="G135" i="20"/>
  <c r="S134" i="20"/>
  <c r="J134" i="20"/>
  <c r="K134" i="20" s="1"/>
  <c r="N134" i="20" s="1"/>
  <c r="O134" i="20" s="1"/>
  <c r="P134" i="20" s="1"/>
  <c r="H134" i="20"/>
  <c r="G134" i="20"/>
  <c r="Q134" i="20"/>
  <c r="S133" i="20"/>
  <c r="J133" i="20"/>
  <c r="K133" i="20" s="1"/>
  <c r="L133" i="20" s="1"/>
  <c r="H133" i="20"/>
  <c r="G133" i="20"/>
  <c r="Q133" i="20"/>
  <c r="S132" i="20"/>
  <c r="J132" i="20"/>
  <c r="K132" i="20" s="1"/>
  <c r="L132" i="20" s="1"/>
  <c r="H132" i="20"/>
  <c r="G132" i="20"/>
  <c r="S131" i="20"/>
  <c r="J131" i="20"/>
  <c r="K131" i="20" s="1"/>
  <c r="H131" i="20"/>
  <c r="G131" i="20"/>
  <c r="Q131" i="20"/>
  <c r="S130" i="20"/>
  <c r="J130" i="20"/>
  <c r="K130" i="20" s="1"/>
  <c r="L130" i="20" s="1"/>
  <c r="H130" i="20"/>
  <c r="G130" i="20"/>
  <c r="Q130" i="20"/>
  <c r="S129" i="20"/>
  <c r="J129" i="20"/>
  <c r="K129" i="20" s="1"/>
  <c r="H129" i="20"/>
  <c r="G129" i="20"/>
  <c r="Q129" i="20"/>
  <c r="S128" i="20"/>
  <c r="Q128" i="20"/>
  <c r="J128" i="20"/>
  <c r="K128" i="20" s="1"/>
  <c r="N128" i="20" s="1"/>
  <c r="O128" i="20" s="1"/>
  <c r="P128" i="20" s="1"/>
  <c r="H128" i="20"/>
  <c r="G128" i="20"/>
  <c r="S127" i="20"/>
  <c r="Q127" i="20"/>
  <c r="J127" i="20"/>
  <c r="K127" i="20" s="1"/>
  <c r="H127" i="20"/>
  <c r="G127" i="20"/>
  <c r="S126" i="20"/>
  <c r="J126" i="20"/>
  <c r="H126" i="20"/>
  <c r="G126" i="20"/>
  <c r="Q126" i="20"/>
  <c r="S125" i="20"/>
  <c r="J125" i="20"/>
  <c r="K125" i="20" s="1"/>
  <c r="N125" i="20" s="1"/>
  <c r="O125" i="20" s="1"/>
  <c r="P125" i="20" s="1"/>
  <c r="H125" i="20"/>
  <c r="G125" i="20"/>
  <c r="S124" i="20"/>
  <c r="Q124" i="20"/>
  <c r="J124" i="20"/>
  <c r="K124" i="20" s="1"/>
  <c r="H124" i="20"/>
  <c r="G124" i="20"/>
  <c r="S123" i="20"/>
  <c r="J123" i="20"/>
  <c r="K123" i="20" s="1"/>
  <c r="N123" i="20" s="1"/>
  <c r="O123" i="20" s="1"/>
  <c r="P123" i="20" s="1"/>
  <c r="H123" i="20"/>
  <c r="G123" i="20"/>
  <c r="S122" i="20"/>
  <c r="J122" i="20"/>
  <c r="K122" i="20" s="1"/>
  <c r="H122" i="20"/>
  <c r="G122" i="20"/>
  <c r="Q122" i="20"/>
  <c r="S121" i="20"/>
  <c r="Q121" i="20"/>
  <c r="J121" i="20"/>
  <c r="K121" i="20" s="1"/>
  <c r="L121" i="20" s="1"/>
  <c r="H121" i="20"/>
  <c r="G121" i="20"/>
  <c r="S120" i="20"/>
  <c r="J120" i="20"/>
  <c r="K120" i="20" s="1"/>
  <c r="H120" i="20"/>
  <c r="G120" i="20"/>
  <c r="Q120" i="20"/>
  <c r="S119" i="20"/>
  <c r="Q119" i="20"/>
  <c r="J119" i="20"/>
  <c r="K119" i="20" s="1"/>
  <c r="H119" i="20"/>
  <c r="G119" i="20"/>
  <c r="S118" i="20"/>
  <c r="J118" i="20"/>
  <c r="K118" i="20" s="1"/>
  <c r="L118" i="20" s="1"/>
  <c r="H118" i="20"/>
  <c r="G118" i="20"/>
  <c r="Q118" i="20"/>
  <c r="S117" i="20"/>
  <c r="J117" i="20"/>
  <c r="K117" i="20" s="1"/>
  <c r="H117" i="20"/>
  <c r="G117" i="20"/>
  <c r="S116" i="20"/>
  <c r="J116" i="20"/>
  <c r="K116" i="20" s="1"/>
  <c r="N116" i="20" s="1"/>
  <c r="O116" i="20" s="1"/>
  <c r="P116" i="20" s="1"/>
  <c r="H116" i="20"/>
  <c r="G116" i="20"/>
  <c r="S115" i="20"/>
  <c r="Q115" i="20"/>
  <c r="J115" i="20"/>
  <c r="K115" i="20" s="1"/>
  <c r="H115" i="20"/>
  <c r="G115" i="20"/>
  <c r="S114" i="20"/>
  <c r="J114" i="20"/>
  <c r="K114" i="20" s="1"/>
  <c r="H114" i="20"/>
  <c r="G114" i="20"/>
  <c r="Q114" i="20"/>
  <c r="S113" i="20"/>
  <c r="Q113" i="20"/>
  <c r="J113" i="20"/>
  <c r="K113" i="20" s="1"/>
  <c r="L113" i="20" s="1"/>
  <c r="H113" i="20"/>
  <c r="G113" i="20"/>
  <c r="S112" i="20"/>
  <c r="Q112" i="20"/>
  <c r="J112" i="20"/>
  <c r="K112" i="20" s="1"/>
  <c r="H112" i="20"/>
  <c r="G112" i="20"/>
  <c r="S111" i="20"/>
  <c r="Q111" i="20"/>
  <c r="J111" i="20"/>
  <c r="K111" i="20" s="1"/>
  <c r="H111" i="20"/>
  <c r="G111" i="20"/>
  <c r="S110" i="20"/>
  <c r="J110" i="20"/>
  <c r="K110" i="20" s="1"/>
  <c r="H110" i="20"/>
  <c r="G110" i="20"/>
  <c r="Q110" i="20"/>
  <c r="D110" i="20"/>
  <c r="S109" i="20"/>
  <c r="J109" i="20"/>
  <c r="G109" i="20"/>
  <c r="Q109" i="20"/>
  <c r="D109" i="20"/>
  <c r="H109" i="20"/>
  <c r="S108" i="20"/>
  <c r="J108" i="20"/>
  <c r="K108" i="20" s="1"/>
  <c r="H108" i="20"/>
  <c r="G108" i="20"/>
  <c r="Q108" i="20"/>
  <c r="D108" i="20"/>
  <c r="S107" i="20"/>
  <c r="J107" i="20"/>
  <c r="K107" i="20" s="1"/>
  <c r="L107" i="20" s="1"/>
  <c r="G107" i="20"/>
  <c r="Q107" i="20"/>
  <c r="D107" i="20"/>
  <c r="H107" i="20"/>
  <c r="S106" i="20"/>
  <c r="J106" i="20"/>
  <c r="K106" i="20" s="1"/>
  <c r="H106" i="20"/>
  <c r="G106" i="20"/>
  <c r="Q106" i="20"/>
  <c r="S105" i="20"/>
  <c r="Q105" i="20"/>
  <c r="J105" i="20"/>
  <c r="K105" i="20" s="1"/>
  <c r="N105" i="20" s="1"/>
  <c r="O105" i="20" s="1"/>
  <c r="P105" i="20" s="1"/>
  <c r="H105" i="20"/>
  <c r="G105" i="20"/>
  <c r="S104" i="20"/>
  <c r="J104" i="20"/>
  <c r="K104" i="20" s="1"/>
  <c r="N104" i="20" s="1"/>
  <c r="O104" i="20" s="1"/>
  <c r="P104" i="20" s="1"/>
  <c r="H104" i="20"/>
  <c r="G104" i="20"/>
  <c r="Q104" i="20"/>
  <c r="S103" i="20"/>
  <c r="J103" i="20"/>
  <c r="K103" i="20" s="1"/>
  <c r="L103" i="20" s="1"/>
  <c r="H103" i="20"/>
  <c r="G103" i="20"/>
  <c r="S102" i="20"/>
  <c r="J102" i="20"/>
  <c r="K102" i="20" s="1"/>
  <c r="H102" i="20"/>
  <c r="G102" i="20"/>
  <c r="Q102" i="20"/>
  <c r="S101" i="20"/>
  <c r="Q101" i="20"/>
  <c r="J101" i="20"/>
  <c r="K101" i="20" s="1"/>
  <c r="L101" i="20" s="1"/>
  <c r="H101" i="20"/>
  <c r="G101" i="20"/>
  <c r="S100" i="20"/>
  <c r="Q100" i="20"/>
  <c r="J100" i="20"/>
  <c r="K100" i="20" s="1"/>
  <c r="H100" i="20"/>
  <c r="G100" i="20"/>
  <c r="S99" i="20"/>
  <c r="J99" i="20"/>
  <c r="K99" i="20" s="1"/>
  <c r="N99" i="20" s="1"/>
  <c r="O99" i="20" s="1"/>
  <c r="P99" i="20" s="1"/>
  <c r="H99" i="20"/>
  <c r="G99" i="20"/>
  <c r="S98" i="20"/>
  <c r="J98" i="20"/>
  <c r="K98" i="20" s="1"/>
  <c r="H98" i="20"/>
  <c r="G98" i="20"/>
  <c r="Q98" i="20"/>
  <c r="S97" i="20"/>
  <c r="Q97" i="20"/>
  <c r="J97" i="20"/>
  <c r="K97" i="20" s="1"/>
  <c r="L97" i="20" s="1"/>
  <c r="H97" i="20"/>
  <c r="G97" i="20"/>
  <c r="S96" i="20"/>
  <c r="Q96" i="20"/>
  <c r="J96" i="20"/>
  <c r="K96" i="20" s="1"/>
  <c r="H96" i="20"/>
  <c r="G96" i="20"/>
  <c r="S95" i="20"/>
  <c r="J95" i="20"/>
  <c r="K95" i="20" s="1"/>
  <c r="N95" i="20" s="1"/>
  <c r="O95" i="20" s="1"/>
  <c r="P95" i="20" s="1"/>
  <c r="H95" i="20"/>
  <c r="G95" i="20"/>
  <c r="Q95" i="20"/>
  <c r="S94" i="20"/>
  <c r="J94" i="20"/>
  <c r="K94" i="20" s="1"/>
  <c r="L94" i="20" s="1"/>
  <c r="H94" i="20"/>
  <c r="G94" i="20"/>
  <c r="Q94" i="20"/>
  <c r="S93" i="20"/>
  <c r="J93" i="20"/>
  <c r="K93" i="20" s="1"/>
  <c r="N93" i="20" s="1"/>
  <c r="O93" i="20" s="1"/>
  <c r="P93" i="20" s="1"/>
  <c r="H93" i="20"/>
  <c r="G93" i="20"/>
  <c r="S92" i="20"/>
  <c r="J92" i="20"/>
  <c r="K92" i="20" s="1"/>
  <c r="L92" i="20" s="1"/>
  <c r="H92" i="20"/>
  <c r="G92" i="20"/>
  <c r="S91" i="20"/>
  <c r="Q91" i="20"/>
  <c r="J91" i="20"/>
  <c r="K91" i="20" s="1"/>
  <c r="H91" i="20"/>
  <c r="G91" i="20"/>
  <c r="S90" i="20"/>
  <c r="J90" i="20"/>
  <c r="K90" i="20" s="1"/>
  <c r="H90" i="20"/>
  <c r="G90" i="20"/>
  <c r="Q90" i="20"/>
  <c r="S89" i="20"/>
  <c r="J89" i="20"/>
  <c r="K89" i="20" s="1"/>
  <c r="H89" i="20"/>
  <c r="G89" i="20"/>
  <c r="S88" i="20"/>
  <c r="J88" i="20"/>
  <c r="K88" i="20" s="1"/>
  <c r="L88" i="20" s="1"/>
  <c r="H88" i="20"/>
  <c r="G88" i="20"/>
  <c r="Q88" i="20"/>
  <c r="S87" i="20"/>
  <c r="Q87" i="20"/>
  <c r="J87" i="20"/>
  <c r="H87" i="20"/>
  <c r="G87" i="20"/>
  <c r="S86" i="20"/>
  <c r="J86" i="20"/>
  <c r="K86" i="20" s="1"/>
  <c r="H86" i="20"/>
  <c r="G86" i="20"/>
  <c r="Q86" i="20"/>
  <c r="S85" i="20"/>
  <c r="Q85" i="20"/>
  <c r="J85" i="20"/>
  <c r="K85" i="20" s="1"/>
  <c r="H85" i="20"/>
  <c r="G85" i="20"/>
  <c r="S84" i="20"/>
  <c r="Q84" i="20"/>
  <c r="J84" i="20"/>
  <c r="K84" i="20" s="1"/>
  <c r="H84" i="20"/>
  <c r="G84" i="20"/>
  <c r="S83" i="20"/>
  <c r="J83" i="20"/>
  <c r="K83" i="20" s="1"/>
  <c r="N83" i="20" s="1"/>
  <c r="O83" i="20" s="1"/>
  <c r="P83" i="20" s="1"/>
  <c r="H83" i="20"/>
  <c r="G83" i="20"/>
  <c r="S82" i="20"/>
  <c r="J82" i="20"/>
  <c r="K82" i="20" s="1"/>
  <c r="H82" i="20"/>
  <c r="G82" i="20"/>
  <c r="Q82" i="20"/>
  <c r="S81" i="20"/>
  <c r="Q81" i="20"/>
  <c r="J81" i="20"/>
  <c r="K81" i="20" s="1"/>
  <c r="H81" i="20"/>
  <c r="G81" i="20"/>
  <c r="S80" i="20"/>
  <c r="J80" i="20"/>
  <c r="K80" i="20" s="1"/>
  <c r="N80" i="20" s="1"/>
  <c r="O80" i="20" s="1"/>
  <c r="P80" i="20" s="1"/>
  <c r="H80" i="20"/>
  <c r="G80" i="20"/>
  <c r="Q80" i="20"/>
  <c r="S79" i="20"/>
  <c r="J79" i="20"/>
  <c r="K79" i="20" s="1"/>
  <c r="N79" i="20" s="1"/>
  <c r="O79" i="20" s="1"/>
  <c r="P79" i="20" s="1"/>
  <c r="H79" i="20"/>
  <c r="G79" i="20"/>
  <c r="Q79" i="20"/>
  <c r="S78" i="20"/>
  <c r="J78" i="20"/>
  <c r="K78" i="20" s="1"/>
  <c r="N78" i="20" s="1"/>
  <c r="O78" i="20" s="1"/>
  <c r="P78" i="20" s="1"/>
  <c r="H78" i="20"/>
  <c r="G78" i="20"/>
  <c r="S77" i="20"/>
  <c r="T77" i="20" s="1"/>
  <c r="Q77" i="20"/>
  <c r="L77" i="20"/>
  <c r="K77" i="20"/>
  <c r="N77" i="20"/>
  <c r="O77" i="20"/>
  <c r="P77" i="20" s="1"/>
  <c r="S76" i="20"/>
  <c r="T76" i="20" s="1"/>
  <c r="Q76" i="20"/>
  <c r="K76" i="20"/>
  <c r="S75" i="20"/>
  <c r="T75" i="20" s="1"/>
  <c r="Q75" i="20"/>
  <c r="L75" i="20"/>
  <c r="K75" i="20"/>
  <c r="N75" i="20"/>
  <c r="O75" i="20"/>
  <c r="P75" i="20" s="1"/>
  <c r="S74" i="20"/>
  <c r="Q74" i="20"/>
  <c r="J74" i="20"/>
  <c r="K74" i="20" s="1"/>
  <c r="L74" i="20" s="1"/>
  <c r="H74" i="20"/>
  <c r="G74" i="20"/>
  <c r="S73" i="20"/>
  <c r="J73" i="20"/>
  <c r="K73" i="20" s="1"/>
  <c r="L73" i="20" s="1"/>
  <c r="H73" i="20"/>
  <c r="G73" i="20"/>
  <c r="Q73" i="20"/>
  <c r="S72" i="20"/>
  <c r="J72" i="20"/>
  <c r="G72" i="20"/>
  <c r="S71" i="20"/>
  <c r="Q71" i="20"/>
  <c r="J71" i="20"/>
  <c r="K71" i="20" s="1"/>
  <c r="L71" i="20" s="1"/>
  <c r="G71" i="20"/>
  <c r="S70" i="20"/>
  <c r="J70" i="20"/>
  <c r="K70" i="20" s="1"/>
  <c r="L70" i="20" s="1"/>
  <c r="G70" i="20"/>
  <c r="S69" i="20"/>
  <c r="Q69" i="20"/>
  <c r="J69" i="20"/>
  <c r="K69" i="20" s="1"/>
  <c r="N69" i="20" s="1"/>
  <c r="O69" i="20" s="1"/>
  <c r="P69" i="20" s="1"/>
  <c r="G69" i="20"/>
  <c r="S68" i="20"/>
  <c r="J68" i="20"/>
  <c r="K68" i="20" s="1"/>
  <c r="H68" i="20"/>
  <c r="G68" i="20"/>
  <c r="Q68" i="20"/>
  <c r="S67" i="20"/>
  <c r="J67" i="20"/>
  <c r="K67" i="20" s="1"/>
  <c r="L67" i="20" s="1"/>
  <c r="H67" i="20"/>
  <c r="G67" i="20"/>
  <c r="S66" i="20"/>
  <c r="Q66" i="20"/>
  <c r="J66" i="20"/>
  <c r="H66" i="20"/>
  <c r="G66" i="20"/>
  <c r="S65" i="20"/>
  <c r="J65" i="20"/>
  <c r="K65" i="20" s="1"/>
  <c r="L65" i="20" s="1"/>
  <c r="H65" i="20"/>
  <c r="G65" i="20"/>
  <c r="Q65" i="20"/>
  <c r="S64" i="20"/>
  <c r="J64" i="20"/>
  <c r="K64" i="20" s="1"/>
  <c r="L64" i="20" s="1"/>
  <c r="H64" i="20"/>
  <c r="G64" i="20"/>
  <c r="D64" i="20"/>
  <c r="S63" i="20"/>
  <c r="Q63" i="20"/>
  <c r="J63" i="20"/>
  <c r="K63" i="20" s="1"/>
  <c r="N63" i="20" s="1"/>
  <c r="O63" i="20" s="1"/>
  <c r="P63" i="20" s="1"/>
  <c r="H63" i="20"/>
  <c r="G63" i="20"/>
  <c r="D63" i="20"/>
  <c r="S62" i="20"/>
  <c r="J62" i="20"/>
  <c r="H62" i="20"/>
  <c r="G62" i="20"/>
  <c r="D62" i="20"/>
  <c r="S61" i="20"/>
  <c r="Q61" i="20"/>
  <c r="J61" i="20"/>
  <c r="K61" i="20" s="1"/>
  <c r="H61" i="20"/>
  <c r="G61" i="20"/>
  <c r="D61" i="20"/>
  <c r="S60" i="20"/>
  <c r="T60" i="20" s="1"/>
  <c r="N60" i="20"/>
  <c r="O60" i="20"/>
  <c r="P60" i="20" s="1"/>
  <c r="H60" i="20"/>
  <c r="G60" i="20"/>
  <c r="K60" i="20"/>
  <c r="L60" i="20"/>
  <c r="F60" i="20"/>
  <c r="D60" i="20"/>
  <c r="S59" i="20"/>
  <c r="T59" i="20" s="1"/>
  <c r="Q59" i="20"/>
  <c r="L59" i="20"/>
  <c r="H59" i="20"/>
  <c r="G59" i="20"/>
  <c r="K59" i="20"/>
  <c r="N59" i="20"/>
  <c r="O59" i="20"/>
  <c r="P59" i="20" s="1"/>
  <c r="F59" i="20"/>
  <c r="D59" i="20"/>
  <c r="S58" i="20"/>
  <c r="T58" i="20" s="1"/>
  <c r="N58" i="20"/>
  <c r="O58" i="20"/>
  <c r="P58" i="20" s="1"/>
  <c r="G58" i="20"/>
  <c r="K58" i="20"/>
  <c r="L58" i="20"/>
  <c r="D58" i="20"/>
  <c r="H58" i="20"/>
  <c r="S57" i="20"/>
  <c r="T57" i="20" s="1"/>
  <c r="G57" i="20"/>
  <c r="Q57" i="20"/>
  <c r="D57" i="20"/>
  <c r="H57" i="20"/>
  <c r="S56" i="20"/>
  <c r="Q56" i="20"/>
  <c r="J56" i="20"/>
  <c r="H56" i="20"/>
  <c r="G56" i="20"/>
  <c r="S55" i="20"/>
  <c r="J55" i="20"/>
  <c r="K55" i="20" s="1"/>
  <c r="N55" i="20" s="1"/>
  <c r="O55" i="20" s="1"/>
  <c r="P55" i="20" s="1"/>
  <c r="H55" i="20"/>
  <c r="G55" i="20"/>
  <c r="Q55" i="20"/>
  <c r="S54" i="20"/>
  <c r="J54" i="20"/>
  <c r="K54" i="20" s="1"/>
  <c r="H54" i="20"/>
  <c r="G54" i="20"/>
  <c r="S53" i="20"/>
  <c r="J53" i="20"/>
  <c r="H53" i="20"/>
  <c r="G53" i="20"/>
  <c r="Q53" i="20"/>
  <c r="S52" i="20"/>
  <c r="Q52" i="20"/>
  <c r="J52" i="20"/>
  <c r="K52" i="20" s="1"/>
  <c r="H52" i="20"/>
  <c r="G52" i="20"/>
  <c r="S51" i="20"/>
  <c r="J51" i="20"/>
  <c r="K51" i="20" s="1"/>
  <c r="H51" i="20"/>
  <c r="G51" i="20"/>
  <c r="Q51" i="20"/>
  <c r="S50" i="20"/>
  <c r="J50" i="20"/>
  <c r="H50" i="20"/>
  <c r="G50" i="20"/>
  <c r="S49" i="20"/>
  <c r="Q49" i="20"/>
  <c r="J49" i="20"/>
  <c r="K49" i="20" s="1"/>
  <c r="N49" i="20" s="1"/>
  <c r="O49" i="20" s="1"/>
  <c r="P49" i="20" s="1"/>
  <c r="H49" i="20"/>
  <c r="G49" i="20"/>
  <c r="S48" i="20"/>
  <c r="J48" i="20"/>
  <c r="K48" i="20" s="1"/>
  <c r="L48" i="20" s="1"/>
  <c r="H48" i="20"/>
  <c r="G48" i="20"/>
  <c r="S47" i="20"/>
  <c r="J47" i="20"/>
  <c r="K47" i="20" s="1"/>
  <c r="N47" i="20" s="1"/>
  <c r="O47" i="20" s="1"/>
  <c r="P47" i="20" s="1"/>
  <c r="H47" i="20"/>
  <c r="G47" i="20"/>
  <c r="Q47" i="20"/>
  <c r="S46" i="20"/>
  <c r="Q46" i="20"/>
  <c r="J46" i="20"/>
  <c r="K46" i="20" s="1"/>
  <c r="N46" i="20" s="1"/>
  <c r="O46" i="20" s="1"/>
  <c r="P46" i="20" s="1"/>
  <c r="H46" i="20"/>
  <c r="G46" i="20"/>
  <c r="S45" i="20"/>
  <c r="Q45" i="20"/>
  <c r="J45" i="20"/>
  <c r="K45" i="20" s="1"/>
  <c r="H45" i="20"/>
  <c r="G45" i="20"/>
  <c r="S44" i="20"/>
  <c r="J44" i="20"/>
  <c r="K44" i="20" s="1"/>
  <c r="H44" i="20"/>
  <c r="G44" i="20"/>
  <c r="Q44" i="20"/>
  <c r="S43" i="20"/>
  <c r="J43" i="20"/>
  <c r="K43" i="20" s="1"/>
  <c r="H43" i="20"/>
  <c r="G43" i="20"/>
  <c r="Q43" i="20"/>
  <c r="S42" i="20"/>
  <c r="J42" i="20"/>
  <c r="K42" i="20" s="1"/>
  <c r="L42" i="20" s="1"/>
  <c r="H42" i="20"/>
  <c r="G42" i="20"/>
  <c r="S41" i="20"/>
  <c r="J41" i="20"/>
  <c r="K41" i="20" s="1"/>
  <c r="L41" i="20" s="1"/>
  <c r="H41" i="20"/>
  <c r="G41" i="20"/>
  <c r="S40" i="20"/>
  <c r="Q40" i="20"/>
  <c r="J40" i="20"/>
  <c r="K40" i="20" s="1"/>
  <c r="N40" i="20" s="1"/>
  <c r="O40" i="20" s="1"/>
  <c r="P40" i="20" s="1"/>
  <c r="H40" i="20"/>
  <c r="G40" i="20"/>
  <c r="S39" i="20"/>
  <c r="J39" i="20"/>
  <c r="K39" i="20" s="1"/>
  <c r="H39" i="20"/>
  <c r="G39" i="20"/>
  <c r="Q39" i="20"/>
  <c r="S38" i="20"/>
  <c r="J38" i="20"/>
  <c r="K38" i="20" s="1"/>
  <c r="H38" i="20"/>
  <c r="G38" i="20"/>
  <c r="S37" i="20"/>
  <c r="J37" i="20"/>
  <c r="K37" i="20" s="1"/>
  <c r="N37" i="20" s="1"/>
  <c r="O37" i="20" s="1"/>
  <c r="P37" i="20" s="1"/>
  <c r="H37" i="20"/>
  <c r="G37" i="20"/>
  <c r="Q37" i="20"/>
  <c r="S36" i="20"/>
  <c r="Q36" i="20"/>
  <c r="J36" i="20"/>
  <c r="H36" i="20"/>
  <c r="G36" i="20"/>
  <c r="S35" i="20"/>
  <c r="J35" i="20"/>
  <c r="K35" i="20" s="1"/>
  <c r="H35" i="20"/>
  <c r="G35" i="20"/>
  <c r="Q35" i="20"/>
  <c r="S34" i="20"/>
  <c r="J34" i="20"/>
  <c r="K34" i="20" s="1"/>
  <c r="H34" i="20"/>
  <c r="G34" i="20"/>
  <c r="S33" i="20"/>
  <c r="Q33" i="20"/>
  <c r="J33" i="20"/>
  <c r="K33" i="20" s="1"/>
  <c r="H33" i="20"/>
  <c r="G33" i="20"/>
  <c r="S32" i="20"/>
  <c r="J32" i="20"/>
  <c r="K32" i="20" s="1"/>
  <c r="L32" i="20" s="1"/>
  <c r="H32" i="20"/>
  <c r="G32" i="20"/>
  <c r="S31" i="20"/>
  <c r="J31" i="20"/>
  <c r="K31" i="20" s="1"/>
  <c r="L31" i="20" s="1"/>
  <c r="H31" i="20"/>
  <c r="G31" i="20"/>
  <c r="Q31" i="20"/>
  <c r="S30" i="20"/>
  <c r="Q30" i="20"/>
  <c r="J30" i="20"/>
  <c r="K30" i="20" s="1"/>
  <c r="H30" i="20"/>
  <c r="G30" i="20"/>
  <c r="S29" i="20"/>
  <c r="Q29" i="20"/>
  <c r="J29" i="20"/>
  <c r="K29" i="20" s="1"/>
  <c r="H29" i="20"/>
  <c r="G29" i="20"/>
  <c r="S28" i="20"/>
  <c r="J28" i="20"/>
  <c r="K28" i="20" s="1"/>
  <c r="N28" i="20" s="1"/>
  <c r="O28" i="20" s="1"/>
  <c r="P28" i="20" s="1"/>
  <c r="H28" i="20"/>
  <c r="G28" i="20"/>
  <c r="Q28" i="20"/>
  <c r="S27" i="20"/>
  <c r="J27" i="20"/>
  <c r="K27" i="20" s="1"/>
  <c r="L27" i="20" s="1"/>
  <c r="H27" i="20"/>
  <c r="G27" i="20"/>
  <c r="Q27" i="20"/>
  <c r="S26" i="20"/>
  <c r="J26" i="20"/>
  <c r="K26" i="20" s="1"/>
  <c r="H26" i="20"/>
  <c r="G26" i="20"/>
  <c r="S25" i="20"/>
  <c r="J25" i="20"/>
  <c r="K25" i="20" s="1"/>
  <c r="N25" i="20" s="1"/>
  <c r="O25" i="20" s="1"/>
  <c r="P25" i="20" s="1"/>
  <c r="H25" i="20"/>
  <c r="G25" i="20"/>
  <c r="S24" i="20"/>
  <c r="Q24" i="20"/>
  <c r="J24" i="20"/>
  <c r="K24" i="20" s="1"/>
  <c r="H24" i="20"/>
  <c r="G24" i="20"/>
  <c r="S23" i="20"/>
  <c r="J23" i="20"/>
  <c r="K23" i="20" s="1"/>
  <c r="H23" i="20"/>
  <c r="G23" i="20"/>
  <c r="Q23" i="20"/>
  <c r="S22" i="20"/>
  <c r="J22" i="20"/>
  <c r="K22" i="20" s="1"/>
  <c r="L22" i="20" s="1"/>
  <c r="H22" i="20"/>
  <c r="G22" i="20"/>
  <c r="S21" i="20"/>
  <c r="J21" i="20"/>
  <c r="K21" i="20" s="1"/>
  <c r="H21" i="20"/>
  <c r="G21" i="20"/>
  <c r="Q21" i="20"/>
  <c r="S20" i="20"/>
  <c r="Q20" i="20"/>
  <c r="J20" i="20"/>
  <c r="K20" i="20" s="1"/>
  <c r="H20" i="20"/>
  <c r="G20" i="20"/>
  <c r="S19" i="20"/>
  <c r="J19" i="20"/>
  <c r="K19" i="20" s="1"/>
  <c r="H19" i="20"/>
  <c r="G19" i="20"/>
  <c r="Q19" i="20"/>
  <c r="S18" i="20"/>
  <c r="J18" i="20"/>
  <c r="K18" i="20" s="1"/>
  <c r="N18" i="20" s="1"/>
  <c r="O18" i="20" s="1"/>
  <c r="P18" i="20" s="1"/>
  <c r="H18" i="20"/>
  <c r="G18" i="20"/>
  <c r="S17" i="20"/>
  <c r="Q17" i="20"/>
  <c r="J17" i="20"/>
  <c r="K17" i="20" s="1"/>
  <c r="L17" i="20" s="1"/>
  <c r="H17" i="20"/>
  <c r="G17" i="20"/>
  <c r="S16" i="20"/>
  <c r="J16" i="20"/>
  <c r="K16" i="20" s="1"/>
  <c r="H16" i="20"/>
  <c r="G16" i="20"/>
  <c r="S15" i="20"/>
  <c r="J15" i="20"/>
  <c r="K15" i="20" s="1"/>
  <c r="H15" i="20"/>
  <c r="G15" i="20"/>
  <c r="S14" i="20"/>
  <c r="Q14" i="20"/>
  <c r="J14" i="20"/>
  <c r="K14" i="20" s="1"/>
  <c r="N14" i="20" s="1"/>
  <c r="O14" i="20" s="1"/>
  <c r="P14" i="20" s="1"/>
  <c r="H14" i="20"/>
  <c r="G14" i="20"/>
  <c r="S13" i="20"/>
  <c r="J13" i="20"/>
  <c r="K13" i="20" s="1"/>
  <c r="H13" i="20"/>
  <c r="G13" i="20"/>
  <c r="Q13" i="20"/>
  <c r="S12" i="20"/>
  <c r="J12" i="20"/>
  <c r="K12" i="20" s="1"/>
  <c r="H12" i="20"/>
  <c r="G12" i="20"/>
  <c r="Q12" i="20"/>
  <c r="S11" i="20"/>
  <c r="J11" i="20"/>
  <c r="K11" i="20" s="1"/>
  <c r="H11" i="20"/>
  <c r="G11" i="20"/>
  <c r="S10" i="20"/>
  <c r="Q10" i="20"/>
  <c r="J10" i="20"/>
  <c r="K10" i="20" s="1"/>
  <c r="N10" i="20" s="1"/>
  <c r="O10" i="20" s="1"/>
  <c r="P10" i="20" s="1"/>
  <c r="H10" i="20"/>
  <c r="G10" i="20"/>
  <c r="S9" i="20"/>
  <c r="Q9" i="20"/>
  <c r="J9" i="20"/>
  <c r="K9" i="20" s="1"/>
  <c r="N9" i="20" s="1"/>
  <c r="O9" i="20" s="1"/>
  <c r="P9" i="20" s="1"/>
  <c r="H9" i="20"/>
  <c r="G9" i="20"/>
  <c r="S8" i="20"/>
  <c r="J8" i="20"/>
  <c r="K8" i="20" s="1"/>
  <c r="H8" i="20"/>
  <c r="G8" i="20"/>
  <c r="Q8" i="20"/>
  <c r="S7" i="20"/>
  <c r="Q7" i="20"/>
  <c r="J7" i="20"/>
  <c r="K7" i="20" s="1"/>
  <c r="L7" i="20" s="1"/>
  <c r="H7" i="20"/>
  <c r="G7" i="20"/>
  <c r="S6" i="20"/>
  <c r="J6" i="20"/>
  <c r="K6" i="20" s="1"/>
  <c r="H6" i="20"/>
  <c r="G6" i="20"/>
  <c r="Q6" i="20"/>
  <c r="S5" i="20"/>
  <c r="J5" i="20"/>
  <c r="K5" i="20" s="1"/>
  <c r="H5" i="20"/>
  <c r="G5" i="20"/>
  <c r="Q5" i="20"/>
  <c r="S4" i="20"/>
  <c r="J4" i="20"/>
  <c r="K4" i="20" s="1"/>
  <c r="H4" i="20"/>
  <c r="G4" i="20"/>
  <c r="Q4" i="20"/>
  <c r="S3" i="20"/>
  <c r="Q3" i="20"/>
  <c r="J3" i="20"/>
  <c r="K3" i="20" s="1"/>
  <c r="N3" i="20" s="1"/>
  <c r="H3" i="20"/>
  <c r="G3" i="20"/>
  <c r="P46" i="1"/>
  <c r="J46" i="1"/>
  <c r="O46" i="1"/>
  <c r="N46" i="1"/>
  <c r="Q46" i="1"/>
  <c r="M46" i="1"/>
  <c r="I46" i="1"/>
  <c r="R46" i="1"/>
  <c r="L46" i="1"/>
  <c r="K46" i="1"/>
  <c r="N4" i="8"/>
  <c r="N3" i="8"/>
  <c r="M45" i="1"/>
  <c r="O45" i="1"/>
  <c r="N45" i="1"/>
  <c r="R45" i="1"/>
  <c r="K45" i="1"/>
  <c r="H3" i="8"/>
  <c r="M3" i="8"/>
  <c r="K87" i="20"/>
  <c r="N87" i="20" s="1"/>
  <c r="O87" i="20" s="1"/>
  <c r="P87" i="20" s="1"/>
  <c r="C10" i="11"/>
  <c r="Q16" i="20"/>
  <c r="Q54" i="20"/>
  <c r="Q11" i="20"/>
  <c r="Q32" i="20"/>
  <c r="Q67" i="20"/>
  <c r="Q72" i="20"/>
  <c r="Q143" i="20"/>
  <c r="Q41" i="20"/>
  <c r="N76" i="20"/>
  <c r="O76" i="20"/>
  <c r="P76" i="20" s="1"/>
  <c r="L76" i="20"/>
  <c r="Q15" i="20"/>
  <c r="Q22" i="20"/>
  <c r="Q48" i="20"/>
  <c r="Q78" i="20"/>
  <c r="Q64" i="20"/>
  <c r="Q89" i="20"/>
  <c r="Q25" i="20"/>
  <c r="Q38" i="20"/>
  <c r="Q62" i="20"/>
  <c r="Q18" i="20"/>
  <c r="Q34" i="20"/>
  <c r="Q50" i="20"/>
  <c r="Q92" i="20"/>
  <c r="Q132" i="20"/>
  <c r="K57" i="20"/>
  <c r="Q58" i="20"/>
  <c r="Q60" i="20"/>
  <c r="Q99" i="20"/>
  <c r="Q123" i="20"/>
  <c r="Q141" i="20"/>
  <c r="Q145" i="20"/>
  <c r="Q26" i="20"/>
  <c r="Q42" i="20"/>
  <c r="Q70" i="20"/>
  <c r="Q83" i="20"/>
  <c r="Q93" i="20"/>
  <c r="Q103" i="20"/>
  <c r="Q117" i="20"/>
  <c r="Q116" i="20"/>
  <c r="Q125" i="20"/>
  <c r="L57" i="20"/>
  <c r="N57" i="20"/>
  <c r="O57" i="20"/>
  <c r="P57" i="20" s="1"/>
  <c r="G55" i="6"/>
  <c r="G56" i="6"/>
  <c r="H28" i="6"/>
  <c r="J28" i="6"/>
  <c r="K28" i="6"/>
  <c r="L28" i="6"/>
  <c r="M28" i="6"/>
  <c r="N6" i="6"/>
  <c r="O6" i="6"/>
  <c r="K36" i="1"/>
  <c r="M10" i="1"/>
  <c r="M36" i="1" s="1"/>
  <c r="N10" i="1"/>
  <c r="N36" i="1"/>
  <c r="O10" i="1"/>
  <c r="O36" i="1"/>
  <c r="P10" i="1"/>
  <c r="P36" i="1"/>
  <c r="Q10" i="1"/>
  <c r="Q36" i="1" s="1"/>
  <c r="R10" i="1"/>
  <c r="S10" i="1"/>
  <c r="T10" i="1"/>
  <c r="T11" i="1" s="1"/>
  <c r="U10" i="1"/>
  <c r="V10" i="1"/>
  <c r="V11" i="1" s="1"/>
  <c r="W10" i="1"/>
  <c r="W36" i="1" s="1"/>
  <c r="W37" i="1" s="1"/>
  <c r="X10" i="1"/>
  <c r="X11" i="1" s="1"/>
  <c r="E24" i="1"/>
  <c r="F24" i="1"/>
  <c r="D5" i="6" s="1"/>
  <c r="D18" i="6" s="1"/>
  <c r="E25" i="1"/>
  <c r="F25" i="1"/>
  <c r="D6" i="6"/>
  <c r="G6" i="6"/>
  <c r="H6" i="6"/>
  <c r="J6" i="6"/>
  <c r="L6" i="6"/>
  <c r="M6" i="6"/>
  <c r="D25" i="1"/>
  <c r="X36" i="1"/>
  <c r="X37" i="1" s="1"/>
  <c r="S11" i="1"/>
  <c r="S36" i="1"/>
  <c r="S37" i="1" s="1"/>
  <c r="R36" i="1"/>
  <c r="U11" i="1"/>
  <c r="U36" i="1"/>
  <c r="U37" i="1" s="1"/>
  <c r="G38" i="6"/>
  <c r="H62" i="6"/>
  <c r="I62" i="6"/>
  <c r="F29" i="1"/>
  <c r="F30" i="1"/>
  <c r="F31" i="1"/>
  <c r="F32" i="1"/>
  <c r="G16" i="9"/>
  <c r="H16" i="9"/>
  <c r="I16" i="9"/>
  <c r="J16" i="9"/>
  <c r="K16" i="9"/>
  <c r="L16" i="9"/>
  <c r="M16" i="9"/>
  <c r="N16" i="9"/>
  <c r="O16" i="9"/>
  <c r="E16" i="9"/>
  <c r="N11" i="9"/>
  <c r="M11" i="9"/>
  <c r="L11" i="9"/>
  <c r="K11" i="9"/>
  <c r="J11" i="9"/>
  <c r="I11" i="9"/>
  <c r="H11" i="9"/>
  <c r="J62" i="6"/>
  <c r="E47" i="6"/>
  <c r="F47" i="6"/>
  <c r="G47" i="6"/>
  <c r="G8" i="6"/>
  <c r="F11" i="1"/>
  <c r="F12" i="1"/>
  <c r="F3" i="1" s="1"/>
  <c r="D4" i="2" s="1"/>
  <c r="H4" i="13"/>
  <c r="D59" i="1"/>
  <c r="D60" i="1"/>
  <c r="E35" i="7"/>
  <c r="E24" i="7"/>
  <c r="E38" i="7"/>
  <c r="E39" i="7"/>
  <c r="E41" i="7"/>
  <c r="D28" i="6"/>
  <c r="D29" i="6"/>
  <c r="D31" i="6"/>
  <c r="E31" i="6"/>
  <c r="B50" i="11"/>
  <c r="D47" i="11"/>
  <c r="Q111" i="19"/>
  <c r="K111" i="19"/>
  <c r="N111" i="19"/>
  <c r="O111" i="19"/>
  <c r="P111" i="19"/>
  <c r="H110" i="19"/>
  <c r="G110" i="19"/>
  <c r="H109" i="19"/>
  <c r="G109" i="19"/>
  <c r="H108" i="19"/>
  <c r="G108" i="19"/>
  <c r="H107" i="19"/>
  <c r="G107" i="19"/>
  <c r="H106" i="19"/>
  <c r="G106" i="19"/>
  <c r="H105" i="19"/>
  <c r="G105" i="19"/>
  <c r="H104" i="19"/>
  <c r="G104" i="19"/>
  <c r="H103" i="19"/>
  <c r="G103" i="19"/>
  <c r="H102" i="19"/>
  <c r="G102" i="19"/>
  <c r="H101" i="19"/>
  <c r="G101" i="19"/>
  <c r="H100" i="19"/>
  <c r="G100" i="19"/>
  <c r="H99" i="19"/>
  <c r="G99" i="19"/>
  <c r="H98" i="19"/>
  <c r="G98" i="19"/>
  <c r="H97" i="19"/>
  <c r="G97" i="19"/>
  <c r="H96" i="19"/>
  <c r="G96" i="19"/>
  <c r="H95" i="19"/>
  <c r="G95" i="19"/>
  <c r="H94" i="19"/>
  <c r="G94" i="19"/>
  <c r="H93" i="19"/>
  <c r="G93" i="19"/>
  <c r="H92" i="19"/>
  <c r="G92" i="19"/>
  <c r="H91" i="19"/>
  <c r="G91" i="19"/>
  <c r="H90" i="19"/>
  <c r="G90" i="19"/>
  <c r="H89" i="19"/>
  <c r="G89" i="19"/>
  <c r="H88" i="19"/>
  <c r="G88" i="19"/>
  <c r="H87" i="19"/>
  <c r="G87" i="19"/>
  <c r="H86" i="19"/>
  <c r="G86" i="19"/>
  <c r="H85" i="19"/>
  <c r="G85" i="19"/>
  <c r="H84" i="19"/>
  <c r="G84" i="19"/>
  <c r="H83" i="19"/>
  <c r="G83" i="19"/>
  <c r="H82" i="19"/>
  <c r="G82" i="19"/>
  <c r="H81" i="19"/>
  <c r="G81" i="19"/>
  <c r="H80" i="19"/>
  <c r="G80" i="19"/>
  <c r="H79" i="19"/>
  <c r="G79" i="19"/>
  <c r="H78" i="19"/>
  <c r="G78" i="19"/>
  <c r="H74" i="19"/>
  <c r="G74" i="19"/>
  <c r="H73" i="19"/>
  <c r="G73" i="19"/>
  <c r="G72" i="19"/>
  <c r="G71" i="19"/>
  <c r="G70" i="19"/>
  <c r="G69" i="19"/>
  <c r="H68" i="19"/>
  <c r="G68" i="19"/>
  <c r="H67" i="19"/>
  <c r="G67" i="19"/>
  <c r="H66" i="19"/>
  <c r="G66" i="19"/>
  <c r="H65" i="19"/>
  <c r="G65" i="19"/>
  <c r="G64" i="19"/>
  <c r="D64" i="19"/>
  <c r="H64" i="19"/>
  <c r="G63" i="19"/>
  <c r="D63" i="19"/>
  <c r="H63" i="19"/>
  <c r="H62" i="19"/>
  <c r="G62" i="19"/>
  <c r="D62" i="19"/>
  <c r="G61" i="19"/>
  <c r="D61" i="19"/>
  <c r="H61" i="19"/>
  <c r="H60" i="19"/>
  <c r="G60" i="19"/>
  <c r="F60" i="19"/>
  <c r="D60" i="19"/>
  <c r="G59" i="19"/>
  <c r="F59" i="19"/>
  <c r="D59" i="19"/>
  <c r="H59" i="19"/>
  <c r="G58" i="19"/>
  <c r="D58" i="19"/>
  <c r="H58" i="19"/>
  <c r="G57" i="19"/>
  <c r="D57" i="19"/>
  <c r="H57" i="19"/>
  <c r="H56" i="19"/>
  <c r="G56" i="19"/>
  <c r="H55" i="19"/>
  <c r="G55" i="19"/>
  <c r="H54" i="19"/>
  <c r="G54" i="19"/>
  <c r="H53" i="19"/>
  <c r="G53" i="19"/>
  <c r="H52" i="19"/>
  <c r="G52" i="19"/>
  <c r="H51" i="19"/>
  <c r="G51" i="19"/>
  <c r="H50" i="19"/>
  <c r="G50" i="19"/>
  <c r="H49" i="19"/>
  <c r="G49" i="19"/>
  <c r="H48" i="19"/>
  <c r="G48" i="19"/>
  <c r="H47" i="19"/>
  <c r="G47" i="19"/>
  <c r="H46" i="19"/>
  <c r="G46" i="19"/>
  <c r="H45" i="19"/>
  <c r="G45" i="19"/>
  <c r="H44" i="19"/>
  <c r="G44" i="19"/>
  <c r="H43" i="19"/>
  <c r="G43" i="19"/>
  <c r="H42" i="19"/>
  <c r="G42" i="19"/>
  <c r="H41" i="19"/>
  <c r="G41" i="19"/>
  <c r="H40" i="19"/>
  <c r="G40" i="19"/>
  <c r="H39" i="19"/>
  <c r="G39" i="19"/>
  <c r="H38" i="19"/>
  <c r="G38" i="19"/>
  <c r="H37" i="19"/>
  <c r="G37" i="19"/>
  <c r="H36" i="19"/>
  <c r="G36" i="19"/>
  <c r="H35" i="19"/>
  <c r="G35" i="19"/>
  <c r="H34" i="19"/>
  <c r="G34" i="19"/>
  <c r="H33" i="19"/>
  <c r="G33" i="19"/>
  <c r="H32" i="19"/>
  <c r="G32" i="19"/>
  <c r="H31" i="19"/>
  <c r="G31" i="19"/>
  <c r="H30" i="19"/>
  <c r="G30" i="19"/>
  <c r="H29" i="19"/>
  <c r="G29" i="19"/>
  <c r="H28" i="19"/>
  <c r="G28" i="19"/>
  <c r="H27" i="19"/>
  <c r="G27" i="19"/>
  <c r="H26" i="19"/>
  <c r="G26" i="19"/>
  <c r="H25" i="19"/>
  <c r="G25" i="19"/>
  <c r="H24" i="19"/>
  <c r="G24" i="19"/>
  <c r="H23" i="19"/>
  <c r="G23" i="19"/>
  <c r="H22" i="19"/>
  <c r="G22" i="19"/>
  <c r="H21" i="19"/>
  <c r="G21" i="19"/>
  <c r="H20" i="19"/>
  <c r="G20" i="19"/>
  <c r="H19" i="19"/>
  <c r="G19" i="19"/>
  <c r="H18" i="19"/>
  <c r="G18" i="19"/>
  <c r="H17" i="19"/>
  <c r="G17" i="19"/>
  <c r="H16" i="19"/>
  <c r="G16" i="19"/>
  <c r="H15" i="19"/>
  <c r="G15" i="19"/>
  <c r="H14" i="19"/>
  <c r="G14" i="19"/>
  <c r="H13" i="19"/>
  <c r="G13" i="19"/>
  <c r="H12" i="19"/>
  <c r="G12" i="19"/>
  <c r="H11" i="19"/>
  <c r="G11" i="19"/>
  <c r="H10" i="19"/>
  <c r="G10" i="19"/>
  <c r="H9" i="19"/>
  <c r="G9" i="19"/>
  <c r="H8" i="19"/>
  <c r="G8" i="19"/>
  <c r="H7" i="19"/>
  <c r="G7" i="19"/>
  <c r="H6" i="19"/>
  <c r="G6" i="19"/>
  <c r="H5" i="19"/>
  <c r="G5" i="19"/>
  <c r="H4" i="19"/>
  <c r="G4" i="19"/>
  <c r="H3" i="19"/>
  <c r="G3" i="19"/>
  <c r="L111" i="19"/>
  <c r="D21" i="1"/>
  <c r="D55" i="13"/>
  <c r="E7" i="4"/>
  <c r="G7" i="4"/>
  <c r="H7" i="4"/>
  <c r="I7" i="4"/>
  <c r="J7" i="4"/>
  <c r="J20" i="2" s="1"/>
  <c r="K7" i="4"/>
  <c r="K20" i="2" s="1"/>
  <c r="L7" i="4"/>
  <c r="L20" i="2" s="1"/>
  <c r="M7" i="4"/>
  <c r="M20" i="2" s="1"/>
  <c r="N7" i="4"/>
  <c r="N20" i="2" s="1"/>
  <c r="D7" i="4"/>
  <c r="D20" i="2" s="1"/>
  <c r="E32" i="13"/>
  <c r="F32" i="13" s="1"/>
  <c r="G32" i="13" s="1"/>
  <c r="H32" i="13" s="1"/>
  <c r="I32" i="13" s="1"/>
  <c r="J32" i="13" s="1"/>
  <c r="K32" i="13" s="1"/>
  <c r="L32" i="13" s="1"/>
  <c r="M32" i="13" s="1"/>
  <c r="N32" i="13" s="1"/>
  <c r="O32" i="13" s="1"/>
  <c r="P32" i="13" s="1"/>
  <c r="F5" i="9"/>
  <c r="I17" i="2"/>
  <c r="J17" i="2" s="1"/>
  <c r="K17" i="2" s="1"/>
  <c r="L17" i="2" s="1"/>
  <c r="M17" i="2" s="1"/>
  <c r="N17" i="2" s="1"/>
  <c r="O17" i="2" s="1"/>
  <c r="P17" i="2" s="1"/>
  <c r="J16" i="2"/>
  <c r="E32" i="1"/>
  <c r="T32" i="1"/>
  <c r="U32" i="1"/>
  <c r="V32" i="1"/>
  <c r="W32" i="1"/>
  <c r="X32" i="1"/>
  <c r="T29" i="1"/>
  <c r="U29" i="1"/>
  <c r="V29" i="1"/>
  <c r="W29" i="1"/>
  <c r="X29" i="1"/>
  <c r="T30" i="1"/>
  <c r="U30" i="1"/>
  <c r="V30" i="1"/>
  <c r="W30" i="1"/>
  <c r="X30" i="1"/>
  <c r="T31" i="1"/>
  <c r="U31" i="1"/>
  <c r="V31" i="1"/>
  <c r="W31" i="1"/>
  <c r="X31" i="1"/>
  <c r="E30" i="1"/>
  <c r="E31" i="1"/>
  <c r="E29" i="1"/>
  <c r="E40" i="7"/>
  <c r="E12" i="1"/>
  <c r="E3" i="1" s="1"/>
  <c r="E31" i="7"/>
  <c r="E2" i="6"/>
  <c r="F2" i="6"/>
  <c r="G2" i="6"/>
  <c r="E9" i="8"/>
  <c r="F9" i="8"/>
  <c r="G9" i="8"/>
  <c r="H9" i="8" s="1"/>
  <c r="I9" i="8" s="1"/>
  <c r="J9" i="8" s="1"/>
  <c r="K9" i="8" s="1"/>
  <c r="L9" i="8" s="1"/>
  <c r="M9" i="8" s="1"/>
  <c r="N9" i="8" s="1"/>
  <c r="O9" i="8" s="1"/>
  <c r="P9" i="8" s="1"/>
  <c r="F25" i="10"/>
  <c r="F46" i="10"/>
  <c r="I18" i="2"/>
  <c r="J18" i="2"/>
  <c r="K18" i="2" s="1"/>
  <c r="D18" i="2"/>
  <c r="I4" i="17"/>
  <c r="E4" i="17"/>
  <c r="E5" i="17"/>
  <c r="D4" i="17"/>
  <c r="D5" i="17"/>
  <c r="I3" i="17"/>
  <c r="C3" i="17"/>
  <c r="C4" i="17"/>
  <c r="P21" i="1"/>
  <c r="Q21" i="1"/>
  <c r="R21" i="1"/>
  <c r="S21" i="1"/>
  <c r="T21" i="1"/>
  <c r="U21" i="1"/>
  <c r="V21" i="1"/>
  <c r="W21" i="1"/>
  <c r="X21" i="1"/>
  <c r="O22" i="1"/>
  <c r="P22" i="1"/>
  <c r="Q22" i="1"/>
  <c r="R22" i="1"/>
  <c r="S22" i="1"/>
  <c r="T22" i="1"/>
  <c r="U22" i="1"/>
  <c r="V22" i="1"/>
  <c r="W22" i="1"/>
  <c r="X22" i="1"/>
  <c r="F11" i="4"/>
  <c r="G11" i="4"/>
  <c r="H11" i="4"/>
  <c r="I11" i="4"/>
  <c r="J11" i="4"/>
  <c r="K11" i="4"/>
  <c r="L11" i="4"/>
  <c r="M11" i="4"/>
  <c r="N11" i="4"/>
  <c r="F13" i="4"/>
  <c r="G13" i="4"/>
  <c r="H13" i="4"/>
  <c r="E12" i="4"/>
  <c r="E13" i="4"/>
  <c r="E11" i="4"/>
  <c r="Q7" i="8"/>
  <c r="F12" i="4"/>
  <c r="G12" i="4"/>
  <c r="H12" i="4"/>
  <c r="H38" i="6"/>
  <c r="J38" i="6"/>
  <c r="K38" i="6"/>
  <c r="L38" i="6"/>
  <c r="N38" i="6"/>
  <c r="D27" i="1"/>
  <c r="E44" i="11"/>
  <c r="F45" i="11"/>
  <c r="F46" i="11"/>
  <c r="F49" i="11"/>
  <c r="F43" i="11"/>
  <c r="G52" i="6"/>
  <c r="G54" i="6"/>
  <c r="G53" i="6"/>
  <c r="N14" i="6"/>
  <c r="O14" i="6"/>
  <c r="P14" i="6"/>
  <c r="E59" i="1"/>
  <c r="E60" i="1"/>
  <c r="E40" i="9"/>
  <c r="E26" i="10" s="1"/>
  <c r="C42" i="4"/>
  <c r="D38" i="7"/>
  <c r="H38" i="13"/>
  <c r="I38" i="13" s="1"/>
  <c r="D30" i="2"/>
  <c r="D23" i="7" s="1"/>
  <c r="H12" i="9"/>
  <c r="I12" i="9"/>
  <c r="J12" i="9"/>
  <c r="K12" i="9"/>
  <c r="L12" i="9"/>
  <c r="M12" i="9"/>
  <c r="N12" i="9"/>
  <c r="O12" i="9"/>
  <c r="E16" i="6"/>
  <c r="E33" i="2" s="1"/>
  <c r="F16" i="6"/>
  <c r="F33" i="2" s="1"/>
  <c r="G16" i="6"/>
  <c r="G33" i="2" s="1"/>
  <c r="H16" i="6"/>
  <c r="H33" i="2" s="1"/>
  <c r="I16" i="6"/>
  <c r="I33" i="2" s="1"/>
  <c r="J16" i="6"/>
  <c r="J33" i="2" s="1"/>
  <c r="K16" i="6"/>
  <c r="K33" i="2" s="1"/>
  <c r="L16" i="6"/>
  <c r="L33" i="2" s="1"/>
  <c r="M16" i="6"/>
  <c r="M33" i="2" s="1"/>
  <c r="D8" i="6"/>
  <c r="D20" i="6"/>
  <c r="N5" i="8"/>
  <c r="C6" i="8"/>
  <c r="C7" i="8"/>
  <c r="O7" i="8"/>
  <c r="P7" i="8"/>
  <c r="B7" i="10"/>
  <c r="D11" i="1"/>
  <c r="D24" i="10"/>
  <c r="E24" i="10" s="1"/>
  <c r="P26" i="10"/>
  <c r="P57" i="10" s="1"/>
  <c r="Q26" i="10"/>
  <c r="Q39" i="10" s="1"/>
  <c r="S26" i="10"/>
  <c r="S59" i="10" s="1"/>
  <c r="T26" i="10"/>
  <c r="T57" i="10" s="1"/>
  <c r="U26" i="10"/>
  <c r="U57" i="10" s="1"/>
  <c r="V26" i="10"/>
  <c r="V39" i="10" s="1"/>
  <c r="W26" i="10"/>
  <c r="W57" i="10"/>
  <c r="X26" i="10"/>
  <c r="X57" i="10"/>
  <c r="Y26" i="10"/>
  <c r="Y39" i="10" s="1"/>
  <c r="Y57" i="10"/>
  <c r="Z26" i="10"/>
  <c r="AA26" i="10"/>
  <c r="AA57" i="10" s="1"/>
  <c r="AB26" i="10"/>
  <c r="AB57" i="10" s="1"/>
  <c r="P27" i="10"/>
  <c r="Q27" i="10"/>
  <c r="S27" i="10"/>
  <c r="T27" i="10"/>
  <c r="U27" i="10"/>
  <c r="V27" i="10"/>
  <c r="W27" i="10"/>
  <c r="X27" i="10"/>
  <c r="Y27" i="10"/>
  <c r="Z27" i="10"/>
  <c r="AA27" i="10"/>
  <c r="AB27" i="10"/>
  <c r="E41" i="9"/>
  <c r="E27" i="10" s="1"/>
  <c r="D27" i="10"/>
  <c r="D26" i="10"/>
  <c r="M43" i="9"/>
  <c r="L43" i="9"/>
  <c r="K43" i="9"/>
  <c r="J43" i="9"/>
  <c r="I43" i="9"/>
  <c r="H43" i="9"/>
  <c r="G43" i="9"/>
  <c r="F43" i="9"/>
  <c r="E43" i="9"/>
  <c r="E42" i="9"/>
  <c r="B1" i="9"/>
  <c r="G18" i="9"/>
  <c r="H18" i="9"/>
  <c r="H17" i="9"/>
  <c r="I17" i="9"/>
  <c r="J17" i="9"/>
  <c r="K17" i="9"/>
  <c r="L17" i="9"/>
  <c r="M17" i="9"/>
  <c r="N17" i="9"/>
  <c r="D33" i="2"/>
  <c r="D24" i="7"/>
  <c r="D17" i="7"/>
  <c r="D18" i="7"/>
  <c r="D62" i="8"/>
  <c r="D70" i="8" s="1"/>
  <c r="D63" i="8"/>
  <c r="D71" i="8" s="1"/>
  <c r="D64" i="8"/>
  <c r="D72" i="8" s="1"/>
  <c r="D65" i="8"/>
  <c r="D73" i="8" s="1"/>
  <c r="N9" i="9"/>
  <c r="O39" i="9" s="1"/>
  <c r="AB39" i="9" s="1"/>
  <c r="E9" i="9"/>
  <c r="G9" i="9"/>
  <c r="H9" i="9"/>
  <c r="I9" i="9"/>
  <c r="J9" i="9"/>
  <c r="J39" i="9"/>
  <c r="K9" i="9"/>
  <c r="K39" i="9"/>
  <c r="L9" i="9"/>
  <c r="M39" i="9" s="1"/>
  <c r="M9" i="9"/>
  <c r="O9" i="9"/>
  <c r="P9" i="9" s="1"/>
  <c r="E25" i="10"/>
  <c r="E46" i="10"/>
  <c r="D25" i="10"/>
  <c r="D46" i="10"/>
  <c r="D40" i="10"/>
  <c r="E40" i="10"/>
  <c r="F40" i="10"/>
  <c r="G40" i="10"/>
  <c r="H40" i="10"/>
  <c r="I40" i="10"/>
  <c r="J40" i="10"/>
  <c r="K40" i="10"/>
  <c r="L40" i="10"/>
  <c r="M40" i="10"/>
  <c r="N40" i="10"/>
  <c r="H3" i="10"/>
  <c r="H7" i="10"/>
  <c r="H10" i="10"/>
  <c r="H6"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G6" i="10"/>
  <c r="G7" i="10"/>
  <c r="G8" i="10"/>
  <c r="G9" i="10"/>
  <c r="H8" i="10"/>
  <c r="H9" i="10"/>
  <c r="C18" i="10"/>
  <c r="D35" i="10" s="1"/>
  <c r="D31" i="10"/>
  <c r="E31" i="10"/>
  <c r="F31" i="10"/>
  <c r="G31" i="10"/>
  <c r="H31" i="10"/>
  <c r="I31" i="10"/>
  <c r="J31" i="10"/>
  <c r="K31" i="10"/>
  <c r="L31" i="10"/>
  <c r="M31" i="10"/>
  <c r="N31" i="10"/>
  <c r="C3" i="10"/>
  <c r="C10" i="10"/>
  <c r="J2" i="10"/>
  <c r="D58" i="10"/>
  <c r="E58" i="10"/>
  <c r="F58" i="10"/>
  <c r="G58" i="10"/>
  <c r="H58" i="10"/>
  <c r="I58" i="10"/>
  <c r="J58" i="10"/>
  <c r="K58" i="10"/>
  <c r="L58" i="10"/>
  <c r="M58" i="10"/>
  <c r="N58" i="10"/>
  <c r="D50" i="10"/>
  <c r="E50" i="10"/>
  <c r="F50" i="10"/>
  <c r="G50" i="10"/>
  <c r="H50" i="10"/>
  <c r="I50" i="10"/>
  <c r="J50" i="10"/>
  <c r="K50" i="10"/>
  <c r="L50" i="10"/>
  <c r="M50" i="10"/>
  <c r="N50" i="10"/>
  <c r="Z57" i="10"/>
  <c r="Q25" i="10"/>
  <c r="R25" i="10"/>
  <c r="S25" i="10"/>
  <c r="T25" i="10"/>
  <c r="U25" i="10"/>
  <c r="V25" i="10"/>
  <c r="W25" i="10"/>
  <c r="X25" i="10"/>
  <c r="Y25" i="10"/>
  <c r="Z25" i="10"/>
  <c r="AA25" i="10"/>
  <c r="AB25" i="10"/>
  <c r="D23" i="10"/>
  <c r="E23" i="10"/>
  <c r="F23" i="10"/>
  <c r="G23" i="10" s="1"/>
  <c r="H23" i="10" s="1"/>
  <c r="I23" i="10" s="1"/>
  <c r="J23" i="10" s="1"/>
  <c r="K23" i="10" s="1"/>
  <c r="L23" i="10" s="1"/>
  <c r="M23" i="10" s="1"/>
  <c r="N23" i="10" s="1"/>
  <c r="O23" i="10" s="1"/>
  <c r="P23" i="10" s="1"/>
  <c r="Q23" i="10" s="1"/>
  <c r="R23" i="10" s="1"/>
  <c r="S23" i="10" s="1"/>
  <c r="T23" i="10" s="1"/>
  <c r="U23" i="10" s="1"/>
  <c r="V23" i="10" s="1"/>
  <c r="W23" i="10" s="1"/>
  <c r="X23" i="10" s="1"/>
  <c r="Y23" i="10" s="1"/>
  <c r="Z23" i="10" s="1"/>
  <c r="AA23" i="10" s="1"/>
  <c r="AB23" i="10" s="1"/>
  <c r="C19" i="10"/>
  <c r="C4" i="10"/>
  <c r="C11" i="10"/>
  <c r="B13" i="10"/>
  <c r="B12" i="10"/>
  <c r="C6" i="10"/>
  <c r="D12" i="1"/>
  <c r="D3" i="1" s="1"/>
  <c r="D31" i="7"/>
  <c r="D29" i="1"/>
  <c r="D30" i="1"/>
  <c r="D31" i="1"/>
  <c r="D32" i="1"/>
  <c r="E20" i="2"/>
  <c r="G20" i="2"/>
  <c r="H20" i="2"/>
  <c r="I20" i="2"/>
  <c r="E20" i="1"/>
  <c r="D22" i="1"/>
  <c r="E21" i="1"/>
  <c r="G21" i="1"/>
  <c r="K21" i="1"/>
  <c r="L21" i="1"/>
  <c r="M21" i="1"/>
  <c r="E22" i="1"/>
  <c r="F22" i="1"/>
  <c r="G22" i="1"/>
  <c r="H22" i="1"/>
  <c r="H46" i="1" s="1"/>
  <c r="J22" i="1"/>
  <c r="K22" i="1"/>
  <c r="L22" i="1"/>
  <c r="M22" i="1"/>
  <c r="N22" i="1"/>
  <c r="C13" i="10"/>
  <c r="C12" i="10"/>
  <c r="M4" i="8"/>
  <c r="D4" i="8" s="1"/>
  <c r="Z39" i="10"/>
  <c r="W39" i="10"/>
  <c r="F41" i="9"/>
  <c r="F27" i="10" s="1"/>
  <c r="G19" i="9"/>
  <c r="H19" i="9"/>
  <c r="I19" i="9"/>
  <c r="J19" i="9"/>
  <c r="K19" i="9"/>
  <c r="L19" i="9"/>
  <c r="M19" i="9"/>
  <c r="N19" i="9"/>
  <c r="G42" i="9"/>
  <c r="G14" i="9"/>
  <c r="H14" i="9"/>
  <c r="I14" i="9"/>
  <c r="J14" i="9"/>
  <c r="K14" i="9"/>
  <c r="L14" i="9"/>
  <c r="M14" i="9"/>
  <c r="N14" i="9"/>
  <c r="O14" i="9"/>
  <c r="P14" i="9"/>
  <c r="P39" i="10"/>
  <c r="AA39" i="10"/>
  <c r="D39" i="10"/>
  <c r="AB39" i="10"/>
  <c r="U39" i="10"/>
  <c r="X39" i="10"/>
  <c r="T39" i="10"/>
  <c r="G25" i="10"/>
  <c r="G46" i="10"/>
  <c r="F41" i="11"/>
  <c r="Q4" i="8"/>
  <c r="W59" i="10"/>
  <c r="Z59" i="10"/>
  <c r="Y59" i="10"/>
  <c r="T59" i="10"/>
  <c r="P59" i="10"/>
  <c r="AA59" i="10"/>
  <c r="D59" i="10"/>
  <c r="X59" i="10"/>
  <c r="U59" i="10"/>
  <c r="H42" i="9"/>
  <c r="G41" i="9"/>
  <c r="G27" i="10" s="1"/>
  <c r="F31" i="6"/>
  <c r="F41" i="6"/>
  <c r="D8" i="2"/>
  <c r="D6" i="17"/>
  <c r="D9" i="2"/>
  <c r="E6" i="17"/>
  <c r="H39" i="9"/>
  <c r="N39" i="9"/>
  <c r="I39" i="9"/>
  <c r="D57" i="10"/>
  <c r="H2" i="6"/>
  <c r="G58" i="6"/>
  <c r="D41" i="10"/>
  <c r="D51" i="10" s="1"/>
  <c r="P12" i="9"/>
  <c r="AC12" i="9"/>
  <c r="K16" i="2"/>
  <c r="K23" i="9" s="1"/>
  <c r="J23" i="9"/>
  <c r="J13" i="4" s="1"/>
  <c r="V59" i="10"/>
  <c r="AB59" i="10"/>
  <c r="H25" i="10"/>
  <c r="H46" i="10"/>
  <c r="F39" i="6"/>
  <c r="D30" i="10"/>
  <c r="I25" i="10"/>
  <c r="I46" i="10"/>
  <c r="O19" i="9"/>
  <c r="H41" i="9"/>
  <c r="H27" i="10" s="1"/>
  <c r="I18" i="9"/>
  <c r="O17" i="9"/>
  <c r="P17" i="9"/>
  <c r="E8" i="6"/>
  <c r="E20" i="6"/>
  <c r="F9" i="7"/>
  <c r="I42" i="9"/>
  <c r="I12" i="4"/>
  <c r="F47" i="11"/>
  <c r="Q5" i="8"/>
  <c r="F42" i="11"/>
  <c r="F44" i="11"/>
  <c r="G31" i="6"/>
  <c r="H41" i="6" s="1"/>
  <c r="G41" i="6"/>
  <c r="F40" i="6"/>
  <c r="M38" i="6"/>
  <c r="I38" i="6"/>
  <c r="G30" i="6"/>
  <c r="H40" i="6" s="1"/>
  <c r="H31" i="6"/>
  <c r="E27" i="1"/>
  <c r="F60" i="1"/>
  <c r="F31" i="7"/>
  <c r="F27" i="1"/>
  <c r="H13" i="9"/>
  <c r="G40" i="9"/>
  <c r="G26" i="10" s="1"/>
  <c r="G57" i="10" s="1"/>
  <c r="F40" i="9"/>
  <c r="F26" i="10" s="1"/>
  <c r="E7" i="2"/>
  <c r="D7" i="2"/>
  <c r="G5" i="9"/>
  <c r="E9" i="2"/>
  <c r="E7" i="17"/>
  <c r="E8" i="2"/>
  <c r="E6" i="2" s="1"/>
  <c r="E40" i="2" s="1"/>
  <c r="D7" i="17"/>
  <c r="D8" i="17"/>
  <c r="D9" i="17"/>
  <c r="D10" i="17"/>
  <c r="D11" i="17"/>
  <c r="D12" i="17"/>
  <c r="D13" i="17"/>
  <c r="D14" i="17"/>
  <c r="AC17" i="9"/>
  <c r="I2" i="6"/>
  <c r="H58" i="6"/>
  <c r="AC14" i="9"/>
  <c r="AC7" i="9"/>
  <c r="L16" i="2"/>
  <c r="M16" i="2" s="1"/>
  <c r="P19" i="9"/>
  <c r="AC19" i="9"/>
  <c r="Q14" i="9"/>
  <c r="R14" i="9"/>
  <c r="S14" i="9"/>
  <c r="T14" i="9"/>
  <c r="U14" i="9"/>
  <c r="V14" i="9"/>
  <c r="W14" i="9"/>
  <c r="X14" i="9"/>
  <c r="Y14" i="9"/>
  <c r="Z14" i="9"/>
  <c r="AA14" i="9"/>
  <c r="J18" i="9"/>
  <c r="I41" i="9"/>
  <c r="I27" i="10" s="1"/>
  <c r="G9" i="7"/>
  <c r="F35" i="7"/>
  <c r="J42" i="9"/>
  <c r="J12" i="4"/>
  <c r="M5" i="8"/>
  <c r="D5" i="8" s="1"/>
  <c r="H60" i="6"/>
  <c r="F8" i="6"/>
  <c r="H30" i="6"/>
  <c r="I31" i="6"/>
  <c r="I41" i="6"/>
  <c r="H29" i="6"/>
  <c r="H40" i="9"/>
  <c r="H26" i="10" s="1"/>
  <c r="I13" i="9"/>
  <c r="H5" i="9"/>
  <c r="C14" i="17"/>
  <c r="D15" i="17"/>
  <c r="F9" i="2"/>
  <c r="E8" i="17"/>
  <c r="E9" i="17"/>
  <c r="E10" i="17"/>
  <c r="E11" i="17"/>
  <c r="E12" i="17"/>
  <c r="E13" i="17"/>
  <c r="E14" i="17"/>
  <c r="E15" i="17"/>
  <c r="E16" i="17"/>
  <c r="E17" i="17"/>
  <c r="E18" i="17"/>
  <c r="J2" i="6"/>
  <c r="I58" i="6"/>
  <c r="L23" i="9"/>
  <c r="L13" i="4" s="1"/>
  <c r="Q17" i="9"/>
  <c r="R17" i="9"/>
  <c r="S17" i="9"/>
  <c r="T17" i="9"/>
  <c r="U17" i="9"/>
  <c r="V17" i="9"/>
  <c r="W17" i="9"/>
  <c r="X17" i="9"/>
  <c r="Y17" i="9"/>
  <c r="Z17" i="9"/>
  <c r="AA17" i="9"/>
  <c r="Q19" i="9"/>
  <c r="R19" i="9"/>
  <c r="S19" i="9"/>
  <c r="T19" i="9"/>
  <c r="U19" i="9"/>
  <c r="V19" i="9"/>
  <c r="W19" i="9"/>
  <c r="X19" i="9"/>
  <c r="Y19" i="9"/>
  <c r="Z19" i="9"/>
  <c r="AA19" i="9"/>
  <c r="Q12" i="9"/>
  <c r="R12" i="9"/>
  <c r="S12" i="9"/>
  <c r="T12" i="9"/>
  <c r="U12" i="9"/>
  <c r="V12" i="9"/>
  <c r="W12" i="9"/>
  <c r="X12" i="9"/>
  <c r="Y12" i="9"/>
  <c r="Z12" i="9"/>
  <c r="AA12" i="9"/>
  <c r="F20" i="6"/>
  <c r="G2" i="2"/>
  <c r="F8" i="2"/>
  <c r="F7" i="2"/>
  <c r="K18" i="9"/>
  <c r="J41" i="9"/>
  <c r="J27" i="10" s="1"/>
  <c r="H39" i="6"/>
  <c r="G35" i="7"/>
  <c r="H9" i="7"/>
  <c r="K12" i="4"/>
  <c r="K42" i="9"/>
  <c r="J31" i="6"/>
  <c r="J41" i="6"/>
  <c r="H47" i="6"/>
  <c r="G20" i="6"/>
  <c r="I30" i="6"/>
  <c r="F17" i="7"/>
  <c r="J13" i="9"/>
  <c r="I40" i="9"/>
  <c r="I26" i="10" s="1"/>
  <c r="I5" i="9"/>
  <c r="D16" i="17"/>
  <c r="C15" i="17"/>
  <c r="K2" i="6"/>
  <c r="J58" i="6"/>
  <c r="G7" i="2"/>
  <c r="H2" i="2"/>
  <c r="G8" i="2"/>
  <c r="G37" i="2" s="1"/>
  <c r="G9" i="2"/>
  <c r="L18" i="9"/>
  <c r="K41" i="9"/>
  <c r="K27" i="10" s="1"/>
  <c r="H35" i="7"/>
  <c r="I9" i="7"/>
  <c r="L12" i="4"/>
  <c r="L42" i="9"/>
  <c r="H8" i="6"/>
  <c r="H20" i="6"/>
  <c r="I47" i="6"/>
  <c r="I40" i="6"/>
  <c r="J30" i="6"/>
  <c r="J40" i="6" s="1"/>
  <c r="G17" i="7"/>
  <c r="K13" i="9"/>
  <c r="J40" i="9"/>
  <c r="J26" i="10" s="1"/>
  <c r="J5" i="9"/>
  <c r="D17" i="17"/>
  <c r="C16" i="17"/>
  <c r="L2" i="6"/>
  <c r="K58" i="6"/>
  <c r="H9" i="2"/>
  <c r="H7" i="2"/>
  <c r="I2" i="2"/>
  <c r="H8" i="2"/>
  <c r="H37" i="2" s="1"/>
  <c r="M18" i="9"/>
  <c r="L41" i="9"/>
  <c r="L27" i="10" s="1"/>
  <c r="I35" i="7"/>
  <c r="J9" i="7"/>
  <c r="M12" i="4"/>
  <c r="M42" i="9"/>
  <c r="I8" i="6"/>
  <c r="I20" i="6"/>
  <c r="J47" i="6"/>
  <c r="H17" i="7"/>
  <c r="L13" i="9"/>
  <c r="K40" i="9"/>
  <c r="K26" i="10" s="1"/>
  <c r="K57" i="10" s="1"/>
  <c r="D31" i="8"/>
  <c r="D30" i="8"/>
  <c r="K5" i="9"/>
  <c r="D18" i="17"/>
  <c r="C18" i="17"/>
  <c r="C17" i="17"/>
  <c r="M2" i="6"/>
  <c r="L58" i="6"/>
  <c r="I7" i="2"/>
  <c r="I8" i="2"/>
  <c r="I9" i="2"/>
  <c r="J2" i="2"/>
  <c r="N18" i="9"/>
  <c r="M41" i="9"/>
  <c r="M27" i="10" s="1"/>
  <c r="J35" i="7"/>
  <c r="K9" i="7"/>
  <c r="O42" i="9"/>
  <c r="N12" i="4"/>
  <c r="N42" i="9"/>
  <c r="K47" i="6"/>
  <c r="J8" i="6"/>
  <c r="J20" i="6"/>
  <c r="L40" i="9"/>
  <c r="L26" i="10" s="1"/>
  <c r="L57" i="10" s="1"/>
  <c r="M13" i="9"/>
  <c r="L5" i="9"/>
  <c r="N2" i="6"/>
  <c r="M58" i="6"/>
  <c r="P42" i="9"/>
  <c r="J8" i="2"/>
  <c r="J6" i="2" s="1"/>
  <c r="J40" i="2" s="1"/>
  <c r="K2" i="2"/>
  <c r="J9" i="2"/>
  <c r="J7" i="2"/>
  <c r="O18" i="9"/>
  <c r="N41" i="9"/>
  <c r="N27" i="10" s="1"/>
  <c r="K35" i="7"/>
  <c r="L9" i="7"/>
  <c r="L47" i="6"/>
  <c r="K8" i="6"/>
  <c r="K20" i="6"/>
  <c r="M40" i="9"/>
  <c r="M26" i="10" s="1"/>
  <c r="N13" i="9"/>
  <c r="M5" i="9"/>
  <c r="O2" i="6"/>
  <c r="P2" i="6"/>
  <c r="N58" i="6"/>
  <c r="Q28" i="6"/>
  <c r="P18" i="9"/>
  <c r="K7" i="2"/>
  <c r="K9" i="2"/>
  <c r="L2" i="2"/>
  <c r="K8" i="2"/>
  <c r="K37" i="2" s="1"/>
  <c r="O41" i="9"/>
  <c r="O27" i="10" s="1"/>
  <c r="L35" i="7"/>
  <c r="M9" i="7"/>
  <c r="M47" i="6"/>
  <c r="N47" i="6"/>
  <c r="O47" i="6"/>
  <c r="L8" i="6"/>
  <c r="L20" i="6"/>
  <c r="O13" i="9"/>
  <c r="P13" i="9"/>
  <c r="N40" i="9"/>
  <c r="N26" i="10" s="1"/>
  <c r="N5" i="9"/>
  <c r="P41" i="9"/>
  <c r="R27" i="10" s="1"/>
  <c r="AC18" i="9"/>
  <c r="P40" i="9"/>
  <c r="R26" i="10" s="1"/>
  <c r="AC13" i="9"/>
  <c r="D9" i="9"/>
  <c r="D11" i="9"/>
  <c r="O8" i="6"/>
  <c r="O20" i="6"/>
  <c r="P47" i="6"/>
  <c r="P8" i="6"/>
  <c r="Q18" i="9"/>
  <c r="R18" i="9"/>
  <c r="S18" i="9"/>
  <c r="T18" i="9"/>
  <c r="U18" i="9"/>
  <c r="V18" i="9"/>
  <c r="W18" i="9"/>
  <c r="X18" i="9"/>
  <c r="Y18" i="9"/>
  <c r="Z18" i="9"/>
  <c r="AA18" i="9"/>
  <c r="L7" i="2"/>
  <c r="L8" i="2"/>
  <c r="M2" i="2"/>
  <c r="L9" i="2"/>
  <c r="M35" i="7"/>
  <c r="N9" i="7"/>
  <c r="N8" i="6"/>
  <c r="N20" i="6"/>
  <c r="M8" i="6"/>
  <c r="M20" i="6"/>
  <c r="L17" i="7"/>
  <c r="O40" i="9"/>
  <c r="O26" i="10" s="1"/>
  <c r="D17" i="9"/>
  <c r="O5" i="9"/>
  <c r="D16" i="9"/>
  <c r="D18" i="9"/>
  <c r="D19" i="9"/>
  <c r="D13" i="9"/>
  <c r="D12" i="9"/>
  <c r="P20" i="6"/>
  <c r="Q13" i="9"/>
  <c r="R13" i="9"/>
  <c r="S13" i="9"/>
  <c r="T13" i="9"/>
  <c r="U13" i="9"/>
  <c r="V13" i="9"/>
  <c r="W13" i="9"/>
  <c r="X13" i="9"/>
  <c r="Y13" i="9"/>
  <c r="Z13" i="9"/>
  <c r="AA13" i="9"/>
  <c r="D14" i="9"/>
  <c r="N2" i="2"/>
  <c r="M7" i="2"/>
  <c r="M8" i="2"/>
  <c r="M6" i="2" s="1"/>
  <c r="M40" i="2" s="1"/>
  <c r="M9" i="2"/>
  <c r="L37" i="2"/>
  <c r="N35" i="7"/>
  <c r="O9" i="7"/>
  <c r="O35" i="7"/>
  <c r="M17" i="7"/>
  <c r="O2" i="2"/>
  <c r="P2" i="2"/>
  <c r="N7" i="2"/>
  <c r="N8" i="2"/>
  <c r="N9" i="2"/>
  <c r="P7" i="2"/>
  <c r="P8" i="2"/>
  <c r="P36" i="13" s="1"/>
  <c r="P9" i="2"/>
  <c r="O7" i="2"/>
  <c r="O9" i="2"/>
  <c r="O8" i="2"/>
  <c r="D32" i="8"/>
  <c r="T150" i="21" l="1"/>
  <c r="T156" i="21"/>
  <c r="T99" i="21"/>
  <c r="N39" i="21"/>
  <c r="O39" i="21" s="1"/>
  <c r="P39" i="21" s="1"/>
  <c r="C24" i="13"/>
  <c r="C25" i="13" s="1"/>
  <c r="C31" i="13"/>
  <c r="O35" i="9"/>
  <c r="M34" i="9"/>
  <c r="O34" i="9"/>
  <c r="T87" i="20"/>
  <c r="T157" i="21"/>
  <c r="T97" i="21"/>
  <c r="T159" i="21"/>
  <c r="T92" i="20"/>
  <c r="L46" i="21"/>
  <c r="L33" i="9"/>
  <c r="H33" i="9"/>
  <c r="F33" i="9"/>
  <c r="T111" i="20"/>
  <c r="P37" i="2"/>
  <c r="M37" i="2"/>
  <c r="L36" i="13"/>
  <c r="F36" i="13"/>
  <c r="F37" i="13" s="1"/>
  <c r="P6" i="2"/>
  <c r="P40" i="2" s="1"/>
  <c r="N36" i="13"/>
  <c r="E37" i="2"/>
  <c r="Q6" i="2"/>
  <c r="D37" i="2"/>
  <c r="O36" i="13"/>
  <c r="H6" i="2"/>
  <c r="H40" i="2" s="1"/>
  <c r="G36" i="13"/>
  <c r="J37" i="2"/>
  <c r="I6" i="2"/>
  <c r="I40" i="2" s="1"/>
  <c r="E36" i="13"/>
  <c r="E39" i="13" s="1"/>
  <c r="O6" i="2"/>
  <c r="O40" i="2" s="1"/>
  <c r="N37" i="2"/>
  <c r="L6" i="2"/>
  <c r="L40" i="2" s="1"/>
  <c r="K36" i="13"/>
  <c r="K6" i="2"/>
  <c r="K40" i="2" s="1"/>
  <c r="Q37" i="2"/>
  <c r="J36" i="13"/>
  <c r="I36" i="13"/>
  <c r="I39" i="13" s="1"/>
  <c r="H36" i="13"/>
  <c r="H39" i="13" s="1"/>
  <c r="F37" i="2"/>
  <c r="O37" i="2"/>
  <c r="I37" i="2"/>
  <c r="G6" i="2"/>
  <c r="G40" i="2" s="1"/>
  <c r="D6" i="2"/>
  <c r="G39" i="13"/>
  <c r="M36" i="13"/>
  <c r="D36" i="13"/>
  <c r="N6" i="2"/>
  <c r="N40" i="2" s="1"/>
  <c r="F6" i="2"/>
  <c r="F40" i="2" s="1"/>
  <c r="J38" i="13"/>
  <c r="O6" i="8"/>
  <c r="Q6" i="8" s="1"/>
  <c r="P6" i="8"/>
  <c r="O5" i="8"/>
  <c r="P5" i="8"/>
  <c r="O4" i="8"/>
  <c r="E4" i="8" s="1"/>
  <c r="P4" i="8"/>
  <c r="H42" i="8"/>
  <c r="I42" i="8" s="1"/>
  <c r="J42" i="8" s="1"/>
  <c r="K42" i="8" s="1"/>
  <c r="L42" i="8" s="1"/>
  <c r="M42" i="8" s="1"/>
  <c r="N42" i="8" s="1"/>
  <c r="O42" i="8" s="1"/>
  <c r="P42" i="8" s="1"/>
  <c r="D3" i="8"/>
  <c r="T119" i="20"/>
  <c r="N65" i="20"/>
  <c r="O65" i="20" s="1"/>
  <c r="P65" i="20" s="1"/>
  <c r="N71" i="20"/>
  <c r="O71" i="20" s="1"/>
  <c r="P71" i="20" s="1"/>
  <c r="K35" i="9"/>
  <c r="N34" i="9"/>
  <c r="L79" i="20"/>
  <c r="T83" i="20"/>
  <c r="G34" i="9"/>
  <c r="G33" i="9"/>
  <c r="P33" i="9"/>
  <c r="F34" i="9"/>
  <c r="D34" i="9" s="1"/>
  <c r="S39" i="10"/>
  <c r="S57" i="10"/>
  <c r="V57" i="10"/>
  <c r="Q57" i="10"/>
  <c r="Q59" i="10"/>
  <c r="D49" i="10"/>
  <c r="D32" i="10"/>
  <c r="E41" i="10"/>
  <c r="E49" i="10" s="1"/>
  <c r="F24" i="10"/>
  <c r="N121" i="20"/>
  <c r="O121" i="20" s="1"/>
  <c r="P121" i="20" s="1"/>
  <c r="T22" i="20"/>
  <c r="T34" i="20"/>
  <c r="T107" i="20"/>
  <c r="T123" i="20"/>
  <c r="T10" i="20"/>
  <c r="T46" i="20"/>
  <c r="T68" i="20"/>
  <c r="G36" i="9"/>
  <c r="F36" i="9"/>
  <c r="M39" i="10"/>
  <c r="G3" i="1"/>
  <c r="C29" i="13"/>
  <c r="C30" i="13" s="1"/>
  <c r="W11" i="1"/>
  <c r="V36" i="1"/>
  <c r="V37" i="1" s="1"/>
  <c r="C22" i="13"/>
  <c r="G60" i="1"/>
  <c r="T33" i="1"/>
  <c r="T12" i="1" s="1"/>
  <c r="T5" i="1" s="1"/>
  <c r="T36" i="1"/>
  <c r="T37" i="1" s="1"/>
  <c r="C23" i="13"/>
  <c r="J17" i="7"/>
  <c r="N17" i="7"/>
  <c r="I17" i="7"/>
  <c r="E17" i="7"/>
  <c r="P17" i="7"/>
  <c r="D33" i="1"/>
  <c r="O17" i="7"/>
  <c r="K17" i="7"/>
  <c r="E4" i="2"/>
  <c r="E33" i="13" s="1"/>
  <c r="S59" i="1"/>
  <c r="S60" i="1" s="1"/>
  <c r="O3" i="8"/>
  <c r="P3" i="8"/>
  <c r="K13" i="4"/>
  <c r="N16" i="2"/>
  <c r="M23" i="9"/>
  <c r="M13" i="4" s="1"/>
  <c r="K25" i="10"/>
  <c r="K46" i="10" s="1"/>
  <c r="L18" i="2"/>
  <c r="J25" i="10"/>
  <c r="J46" i="10" s="1"/>
  <c r="F15" i="7"/>
  <c r="F18" i="7" s="1"/>
  <c r="E15" i="7"/>
  <c r="R13" i="7"/>
  <c r="G18" i="7"/>
  <c r="AC9" i="9"/>
  <c r="P39" i="9"/>
  <c r="L39" i="9"/>
  <c r="L83" i="20"/>
  <c r="N132" i="20"/>
  <c r="O132" i="20" s="1"/>
  <c r="P132" i="20" s="1"/>
  <c r="L93" i="20"/>
  <c r="T30" i="20"/>
  <c r="T95" i="20"/>
  <c r="G35" i="10"/>
  <c r="T36" i="20"/>
  <c r="T142" i="20"/>
  <c r="T100" i="20"/>
  <c r="T144" i="20"/>
  <c r="T43" i="20"/>
  <c r="T48" i="20"/>
  <c r="T50" i="20"/>
  <c r="T62" i="20"/>
  <c r="N97" i="20"/>
  <c r="O97" i="20" s="1"/>
  <c r="P97" i="20" s="1"/>
  <c r="L55" i="20"/>
  <c r="T90" i="20"/>
  <c r="N16" i="6"/>
  <c r="N33" i="2" s="1"/>
  <c r="N43" i="9"/>
  <c r="AC25" i="9"/>
  <c r="J61" i="6"/>
  <c r="Q113" i="6"/>
  <c r="R113" i="6" s="1"/>
  <c r="S113" i="6" s="1"/>
  <c r="T113" i="6" s="1"/>
  <c r="T114" i="6"/>
  <c r="K62" i="6"/>
  <c r="K31" i="6"/>
  <c r="K41" i="6" s="1"/>
  <c r="K30" i="6"/>
  <c r="K40" i="6" s="1"/>
  <c r="K61" i="6"/>
  <c r="G40" i="6"/>
  <c r="J60" i="6"/>
  <c r="K34" i="6"/>
  <c r="J29" i="6"/>
  <c r="J39" i="6" s="1"/>
  <c r="S112" i="6"/>
  <c r="T112" i="6" s="1"/>
  <c r="I29" i="6"/>
  <c r="I39" i="6" s="1"/>
  <c r="I60" i="6"/>
  <c r="L139" i="20"/>
  <c r="N139" i="20"/>
  <c r="O139" i="20" s="1"/>
  <c r="P139" i="20" s="1"/>
  <c r="N26" i="20"/>
  <c r="O26" i="20" s="1"/>
  <c r="P26" i="20" s="1"/>
  <c r="L26" i="20"/>
  <c r="L87" i="20"/>
  <c r="T104" i="20"/>
  <c r="N130" i="20"/>
  <c r="O130" i="20" s="1"/>
  <c r="P130" i="20" s="1"/>
  <c r="T53" i="20"/>
  <c r="T116" i="20"/>
  <c r="T131" i="20"/>
  <c r="T139" i="20"/>
  <c r="T14" i="21"/>
  <c r="T31" i="20"/>
  <c r="T106" i="20"/>
  <c r="T3" i="20"/>
  <c r="T45" i="20"/>
  <c r="N22" i="20"/>
  <c r="O22" i="20" s="1"/>
  <c r="P22" i="20" s="1"/>
  <c r="K62" i="20"/>
  <c r="L62" i="20" s="1"/>
  <c r="N94" i="20"/>
  <c r="O94" i="20" s="1"/>
  <c r="P94" i="20" s="1"/>
  <c r="T127" i="20"/>
  <c r="L127" i="21"/>
  <c r="L63" i="20"/>
  <c r="N7" i="20"/>
  <c r="O7" i="20" s="1"/>
  <c r="T65" i="20"/>
  <c r="T140" i="20"/>
  <c r="L30" i="21"/>
  <c r="T74" i="20"/>
  <c r="T126" i="20"/>
  <c r="N91" i="20"/>
  <c r="O91" i="20" s="1"/>
  <c r="P91" i="20" s="1"/>
  <c r="L91" i="20"/>
  <c r="N5" i="20"/>
  <c r="L5" i="20"/>
  <c r="N13" i="20"/>
  <c r="O13" i="20" s="1"/>
  <c r="P13" i="20" s="1"/>
  <c r="L13" i="20"/>
  <c r="L51" i="20"/>
  <c r="N51" i="20"/>
  <c r="O51" i="20" s="1"/>
  <c r="P51" i="20" s="1"/>
  <c r="L116" i="20"/>
  <c r="L78" i="20"/>
  <c r="L69" i="20"/>
  <c r="T12" i="20"/>
  <c r="T17" i="20"/>
  <c r="T122" i="20"/>
  <c r="T134" i="20"/>
  <c r="T143" i="20"/>
  <c r="L44" i="21"/>
  <c r="N133" i="20"/>
  <c r="O133" i="20" s="1"/>
  <c r="P133" i="20" s="1"/>
  <c r="T35" i="20"/>
  <c r="N70" i="20"/>
  <c r="O70" i="20" s="1"/>
  <c r="P70" i="20" s="1"/>
  <c r="T5" i="20"/>
  <c r="T97" i="20"/>
  <c r="T42" i="20"/>
  <c r="T125" i="20"/>
  <c r="N118" i="20"/>
  <c r="O118" i="20" s="1"/>
  <c r="P118" i="20" s="1"/>
  <c r="T25" i="20"/>
  <c r="T70" i="20"/>
  <c r="T82" i="20"/>
  <c r="T101" i="20"/>
  <c r="L3" i="21"/>
  <c r="N101" i="20"/>
  <c r="O101" i="20" s="1"/>
  <c r="P101" i="20" s="1"/>
  <c r="T13" i="20"/>
  <c r="T52" i="20"/>
  <c r="T103" i="20"/>
  <c r="T110" i="20"/>
  <c r="T113" i="20"/>
  <c r="N92" i="20"/>
  <c r="O92" i="20" s="1"/>
  <c r="P92" i="20" s="1"/>
  <c r="L125" i="20"/>
  <c r="N74" i="20"/>
  <c r="O74" i="20" s="1"/>
  <c r="P74" i="20" s="1"/>
  <c r="L10" i="20"/>
  <c r="T20" i="20"/>
  <c r="T15" i="20"/>
  <c r="T37" i="20"/>
  <c r="T78" i="20"/>
  <c r="T98" i="20"/>
  <c r="T130" i="20"/>
  <c r="L90" i="21"/>
  <c r="L20" i="20"/>
  <c r="N20" i="20"/>
  <c r="O20" i="20" s="1"/>
  <c r="P20" i="20" s="1"/>
  <c r="L100" i="20"/>
  <c r="N100" i="20"/>
  <c r="O100" i="20" s="1"/>
  <c r="P100" i="20" s="1"/>
  <c r="N34" i="20"/>
  <c r="O34" i="20" s="1"/>
  <c r="P34" i="20" s="1"/>
  <c r="L34" i="20"/>
  <c r="L85" i="20"/>
  <c r="N85" i="20"/>
  <c r="O85" i="20" s="1"/>
  <c r="P85" i="20" s="1"/>
  <c r="N12" i="20"/>
  <c r="O12" i="20" s="1"/>
  <c r="P12" i="20" s="1"/>
  <c r="L12" i="20"/>
  <c r="L24" i="20"/>
  <c r="N24" i="20"/>
  <c r="O24" i="20" s="1"/>
  <c r="P24" i="20" s="1"/>
  <c r="N124" i="20"/>
  <c r="O124" i="20" s="1"/>
  <c r="P124" i="20" s="1"/>
  <c r="L124" i="20"/>
  <c r="N146" i="20"/>
  <c r="O146" i="20" s="1"/>
  <c r="P146" i="20" s="1"/>
  <c r="L146" i="20"/>
  <c r="L43" i="20"/>
  <c r="N43" i="20"/>
  <c r="O43" i="20" s="1"/>
  <c r="P43" i="20" s="1"/>
  <c r="L16" i="20"/>
  <c r="N16" i="20"/>
  <c r="O16" i="20" s="1"/>
  <c r="P16" i="20" s="1"/>
  <c r="N84" i="20"/>
  <c r="O84" i="20" s="1"/>
  <c r="P84" i="20" s="1"/>
  <c r="L84" i="20"/>
  <c r="L68" i="20"/>
  <c r="N68" i="20"/>
  <c r="O68" i="20" s="1"/>
  <c r="P68" i="20" s="1"/>
  <c r="L89" i="20"/>
  <c r="N89" i="20"/>
  <c r="O89" i="20" s="1"/>
  <c r="P89" i="20" s="1"/>
  <c r="L23" i="20"/>
  <c r="N23" i="20"/>
  <c r="O23" i="20" s="1"/>
  <c r="P23" i="20" s="1"/>
  <c r="L30" i="20"/>
  <c r="N30" i="20"/>
  <c r="O30" i="20" s="1"/>
  <c r="P30" i="20" s="1"/>
  <c r="L52" i="20"/>
  <c r="N52" i="20"/>
  <c r="O52" i="20" s="1"/>
  <c r="P52" i="20" s="1"/>
  <c r="H35" i="10"/>
  <c r="K35" i="10"/>
  <c r="I35" i="10"/>
  <c r="N41" i="20"/>
  <c r="O41" i="20" s="1"/>
  <c r="P41" i="20" s="1"/>
  <c r="N103" i="20"/>
  <c r="O103" i="20" s="1"/>
  <c r="P103" i="20" s="1"/>
  <c r="T105" i="20"/>
  <c r="K53" i="20"/>
  <c r="T135" i="20"/>
  <c r="T14" i="20"/>
  <c r="K144" i="20"/>
  <c r="L144" i="20" s="1"/>
  <c r="T85" i="20"/>
  <c r="T4" i="20"/>
  <c r="T64" i="20"/>
  <c r="T66" i="20"/>
  <c r="T72" i="20"/>
  <c r="T109" i="20"/>
  <c r="T120" i="20"/>
  <c r="D62" i="10"/>
  <c r="N73" i="20"/>
  <c r="O73" i="20" s="1"/>
  <c r="P73" i="20" s="1"/>
  <c r="L123" i="20"/>
  <c r="L95" i="20"/>
  <c r="T81" i="20"/>
  <c r="T8" i="20"/>
  <c r="T23" i="20"/>
  <c r="T129" i="20"/>
  <c r="L105" i="20"/>
  <c r="L80" i="20"/>
  <c r="L14" i="20"/>
  <c r="T141" i="20"/>
  <c r="T114" i="20"/>
  <c r="T44" i="20"/>
  <c r="T84" i="20"/>
  <c r="T89" i="20"/>
  <c r="T146" i="20"/>
  <c r="E35" i="10"/>
  <c r="J35" i="10"/>
  <c r="N113" i="20"/>
  <c r="O113" i="20" s="1"/>
  <c r="P113" i="20" s="1"/>
  <c r="N27" i="20"/>
  <c r="O27" i="20" s="1"/>
  <c r="P27" i="20" s="1"/>
  <c r="K50" i="20"/>
  <c r="N17" i="20"/>
  <c r="O17" i="20" s="1"/>
  <c r="P17" i="20" s="1"/>
  <c r="T7" i="20"/>
  <c r="T24" i="20"/>
  <c r="T26" i="20"/>
  <c r="F35" i="10"/>
  <c r="T47" i="20"/>
  <c r="T94" i="20"/>
  <c r="L37" i="20"/>
  <c r="T28" i="20"/>
  <c r="T81" i="21"/>
  <c r="N104" i="21"/>
  <c r="O104" i="21" s="1"/>
  <c r="P104" i="21" s="1"/>
  <c r="T9" i="21"/>
  <c r="T79" i="21"/>
  <c r="L154" i="21"/>
  <c r="T73" i="21"/>
  <c r="T80" i="21"/>
  <c r="L141" i="21"/>
  <c r="N102" i="21"/>
  <c r="O102" i="21" s="1"/>
  <c r="P102" i="21" s="1"/>
  <c r="T58" i="21"/>
  <c r="N64" i="21"/>
  <c r="O64" i="21" s="1"/>
  <c r="P64" i="21" s="1"/>
  <c r="N148" i="21"/>
  <c r="O148" i="21" s="1"/>
  <c r="P148" i="21" s="1"/>
  <c r="T104" i="21"/>
  <c r="T122" i="21"/>
  <c r="T129" i="21"/>
  <c r="T112" i="21"/>
  <c r="T115" i="21"/>
  <c r="L28" i="21"/>
  <c r="N138" i="21"/>
  <c r="O138" i="21" s="1"/>
  <c r="P138" i="21" s="1"/>
  <c r="T143" i="21"/>
  <c r="T148" i="21"/>
  <c r="T22" i="21"/>
  <c r="L74" i="21"/>
  <c r="T95" i="21"/>
  <c r="T12" i="21"/>
  <c r="T19" i="21"/>
  <c r="T72" i="21"/>
  <c r="F3" i="8"/>
  <c r="D33" i="5"/>
  <c r="F5" i="8"/>
  <c r="F6" i="8"/>
  <c r="D35" i="5" s="1"/>
  <c r="L39" i="10"/>
  <c r="W33" i="1"/>
  <c r="W12" i="1" s="1"/>
  <c r="W5" i="1" s="1"/>
  <c r="U33" i="1"/>
  <c r="U12" i="1" s="1"/>
  <c r="U5" i="1" s="1"/>
  <c r="E23" i="7"/>
  <c r="V33" i="1"/>
  <c r="V12" i="1" s="1"/>
  <c r="V5" i="1" s="1"/>
  <c r="F33" i="1"/>
  <c r="S33" i="1"/>
  <c r="S12" i="1" s="1"/>
  <c r="S5" i="1" s="1"/>
  <c r="E33" i="1"/>
  <c r="X33" i="1"/>
  <c r="X12" i="1" s="1"/>
  <c r="X5" i="1" s="1"/>
  <c r="N57" i="10"/>
  <c r="N39" i="10"/>
  <c r="I39" i="10"/>
  <c r="I59" i="10"/>
  <c r="J57" i="10"/>
  <c r="J59" i="10"/>
  <c r="P36" i="9"/>
  <c r="O39" i="10"/>
  <c r="O57" i="10"/>
  <c r="F57" i="10"/>
  <c r="F39" i="10"/>
  <c r="F30" i="10"/>
  <c r="F59" i="10"/>
  <c r="K59" i="10"/>
  <c r="K39" i="10"/>
  <c r="H39" i="10"/>
  <c r="H59" i="10"/>
  <c r="H57" i="10"/>
  <c r="G39" i="10"/>
  <c r="G59" i="10"/>
  <c r="E57" i="10"/>
  <c r="E30" i="10"/>
  <c r="E39" i="10"/>
  <c r="E59" i="10"/>
  <c r="E32" i="10"/>
  <c r="O59" i="10"/>
  <c r="F32" i="10"/>
  <c r="L59" i="10"/>
  <c r="R57" i="10"/>
  <c r="R59" i="10"/>
  <c r="R39" i="10"/>
  <c r="M59" i="10"/>
  <c r="M57" i="10"/>
  <c r="F35" i="9"/>
  <c r="I57" i="10"/>
  <c r="G35" i="9"/>
  <c r="L34" i="9"/>
  <c r="N36" i="9"/>
  <c r="I33" i="9"/>
  <c r="E36" i="9"/>
  <c r="P34" i="9"/>
  <c r="J36" i="9"/>
  <c r="L36" i="9"/>
  <c r="K33" i="9"/>
  <c r="O36" i="9"/>
  <c r="N59" i="10"/>
  <c r="J34" i="9"/>
  <c r="I34" i="9"/>
  <c r="O33" i="9"/>
  <c r="M36" i="9"/>
  <c r="L35" i="9"/>
  <c r="K36" i="9"/>
  <c r="I36" i="9"/>
  <c r="H34" i="9"/>
  <c r="E35" i="9"/>
  <c r="N35" i="9"/>
  <c r="M35" i="9"/>
  <c r="K34" i="9"/>
  <c r="J35" i="9"/>
  <c r="J39" i="10"/>
  <c r="I35" i="9"/>
  <c r="E34" i="9"/>
  <c r="P35" i="9"/>
  <c r="E33" i="9"/>
  <c r="J33" i="9"/>
  <c r="H35" i="9"/>
  <c r="M33" i="9"/>
  <c r="H36" i="9"/>
  <c r="N8" i="20"/>
  <c r="O8" i="20" s="1"/>
  <c r="P8" i="20" s="1"/>
  <c r="L8" i="20"/>
  <c r="N39" i="20"/>
  <c r="O39" i="20" s="1"/>
  <c r="P39" i="20" s="1"/>
  <c r="L39" i="20"/>
  <c r="N44" i="20"/>
  <c r="O44" i="20" s="1"/>
  <c r="P44" i="20" s="1"/>
  <c r="L44" i="20"/>
  <c r="N81" i="20"/>
  <c r="O81" i="20" s="1"/>
  <c r="P81" i="20" s="1"/>
  <c r="L81" i="20"/>
  <c r="L96" i="20"/>
  <c r="N96" i="20"/>
  <c r="O96" i="20" s="1"/>
  <c r="P96" i="20" s="1"/>
  <c r="L114" i="20"/>
  <c r="N114" i="20"/>
  <c r="O114" i="20" s="1"/>
  <c r="P114" i="20" s="1"/>
  <c r="N136" i="20"/>
  <c r="O136" i="20" s="1"/>
  <c r="P136" i="20" s="1"/>
  <c r="L136" i="20"/>
  <c r="N106" i="20"/>
  <c r="O106" i="20" s="1"/>
  <c r="P106" i="20" s="1"/>
  <c r="L106" i="20"/>
  <c r="L131" i="20"/>
  <c r="N131" i="20"/>
  <c r="O131" i="20" s="1"/>
  <c r="P131" i="20" s="1"/>
  <c r="O3" i="20"/>
  <c r="P3" i="20"/>
  <c r="N4" i="20"/>
  <c r="L4" i="20"/>
  <c r="N120" i="20"/>
  <c r="O120" i="20" s="1"/>
  <c r="P120" i="20" s="1"/>
  <c r="L120" i="20"/>
  <c r="L135" i="20"/>
  <c r="N135" i="20"/>
  <c r="O135" i="20" s="1"/>
  <c r="P135" i="20" s="1"/>
  <c r="L35" i="20"/>
  <c r="N35" i="20"/>
  <c r="O35" i="20" s="1"/>
  <c r="P35" i="20" s="1"/>
  <c r="L90" i="20"/>
  <c r="N90" i="20"/>
  <c r="O90" i="20" s="1"/>
  <c r="P90" i="20" s="1"/>
  <c r="N127" i="20"/>
  <c r="O127" i="20" s="1"/>
  <c r="P127" i="20" s="1"/>
  <c r="L127" i="20"/>
  <c r="N6" i="20"/>
  <c r="L6" i="20"/>
  <c r="L119" i="20"/>
  <c r="N119" i="20"/>
  <c r="O119" i="20" s="1"/>
  <c r="P119" i="20" s="1"/>
  <c r="L140" i="20"/>
  <c r="N140" i="20"/>
  <c r="O140" i="20" s="1"/>
  <c r="P140" i="20" s="1"/>
  <c r="L102" i="20"/>
  <c r="N102" i="20"/>
  <c r="O102" i="20" s="1"/>
  <c r="P102" i="20" s="1"/>
  <c r="N48" i="20"/>
  <c r="O48" i="20" s="1"/>
  <c r="P48" i="20" s="1"/>
  <c r="L3" i="20"/>
  <c r="N41" i="21"/>
  <c r="O41" i="21" s="1"/>
  <c r="P41" i="21" s="1"/>
  <c r="T48" i="21"/>
  <c r="T61" i="21"/>
  <c r="T105" i="21"/>
  <c r="T136" i="20"/>
  <c r="T6" i="20"/>
  <c r="T41" i="20"/>
  <c r="T80" i="20"/>
  <c r="T86" i="20"/>
  <c r="T96" i="20"/>
  <c r="T112" i="20"/>
  <c r="T115" i="20"/>
  <c r="T132" i="20"/>
  <c r="L156" i="21"/>
  <c r="N35" i="21"/>
  <c r="F7" i="11" s="1"/>
  <c r="T51" i="21"/>
  <c r="T45" i="21"/>
  <c r="L128" i="20"/>
  <c r="K66" i="20"/>
  <c r="L66" i="20" s="1"/>
  <c r="N31" i="20"/>
  <c r="O31" i="20" s="1"/>
  <c r="P31" i="20" s="1"/>
  <c r="T33" i="20"/>
  <c r="T91" i="20"/>
  <c r="T93" i="20"/>
  <c r="T108" i="20"/>
  <c r="T110" i="21"/>
  <c r="T102" i="20"/>
  <c r="K126" i="20"/>
  <c r="K109" i="20"/>
  <c r="T128" i="20"/>
  <c r="N42" i="20"/>
  <c r="O42" i="20" s="1"/>
  <c r="P42" i="20" s="1"/>
  <c r="K36" i="20"/>
  <c r="T160" i="21"/>
  <c r="L28" i="20"/>
  <c r="T19" i="20"/>
  <c r="T55" i="20"/>
  <c r="T67" i="20"/>
  <c r="T71" i="20"/>
  <c r="T73" i="20"/>
  <c r="T124" i="20"/>
  <c r="N11" i="21"/>
  <c r="O11" i="21" s="1"/>
  <c r="P11" i="21" s="1"/>
  <c r="L151" i="21"/>
  <c r="T30" i="21"/>
  <c r="T37" i="21"/>
  <c r="L134" i="20"/>
  <c r="K72" i="20"/>
  <c r="T39" i="20"/>
  <c r="T29" i="20"/>
  <c r="T69" i="20"/>
  <c r="T121" i="20"/>
  <c r="T90" i="21"/>
  <c r="T124" i="21"/>
  <c r="J26" i="1"/>
  <c r="H21" i="2"/>
  <c r="F7" i="6"/>
  <c r="G7" i="6"/>
  <c r="D7" i="6"/>
  <c r="I7" i="6"/>
  <c r="E7" i="6"/>
  <c r="J7" i="6"/>
  <c r="L40" i="21"/>
  <c r="N40" i="21"/>
  <c r="O40" i="21" s="1"/>
  <c r="P40" i="21" s="1"/>
  <c r="N79" i="21"/>
  <c r="F18" i="11" s="1"/>
  <c r="L79" i="21"/>
  <c r="P7" i="21"/>
  <c r="O7" i="21"/>
  <c r="N22" i="21"/>
  <c r="O22" i="21" s="1"/>
  <c r="P22" i="21" s="1"/>
  <c r="L22" i="21"/>
  <c r="N108" i="21"/>
  <c r="O108" i="21" s="1"/>
  <c r="P108" i="21" s="1"/>
  <c r="L108" i="21"/>
  <c r="N133" i="21"/>
  <c r="O133" i="21" s="1"/>
  <c r="P133" i="21" s="1"/>
  <c r="N155" i="21"/>
  <c r="O155" i="21" s="1"/>
  <c r="P155" i="21" s="1"/>
  <c r="L7" i="21"/>
  <c r="T13" i="21"/>
  <c r="T77" i="21"/>
  <c r="T117" i="21"/>
  <c r="T133" i="21"/>
  <c r="N72" i="21"/>
  <c r="O72" i="21" s="1"/>
  <c r="P72" i="21" s="1"/>
  <c r="N122" i="21"/>
  <c r="O122" i="21" s="1"/>
  <c r="P122" i="21" s="1"/>
  <c r="N6" i="21"/>
  <c r="P6" i="21" s="1"/>
  <c r="T15" i="21"/>
  <c r="T20" i="21"/>
  <c r="T135" i="21"/>
  <c r="N63" i="21"/>
  <c r="O63" i="21" s="1"/>
  <c r="P63" i="21" s="1"/>
  <c r="T70" i="21"/>
  <c r="T82" i="21"/>
  <c r="T91" i="21"/>
  <c r="T103" i="21"/>
  <c r="L157" i="21"/>
  <c r="L45" i="21"/>
  <c r="T17" i="21"/>
  <c r="T32" i="21"/>
  <c r="T134" i="21"/>
  <c r="K37" i="21"/>
  <c r="N37" i="21" s="1"/>
  <c r="O37" i="21" s="1"/>
  <c r="P37" i="21" s="1"/>
  <c r="L146" i="21"/>
  <c r="L120" i="21"/>
  <c r="N53" i="21"/>
  <c r="O53" i="21" s="1"/>
  <c r="P53" i="21" s="1"/>
  <c r="X3" i="1"/>
  <c r="W3" i="1"/>
  <c r="L21" i="20"/>
  <c r="N21" i="20"/>
  <c r="O21" i="20" s="1"/>
  <c r="P21" i="20" s="1"/>
  <c r="L54" i="20"/>
  <c r="N54" i="20"/>
  <c r="O54" i="20" s="1"/>
  <c r="P54" i="20" s="1"/>
  <c r="N112" i="20"/>
  <c r="O112" i="20" s="1"/>
  <c r="P112" i="20" s="1"/>
  <c r="L112" i="20"/>
  <c r="L115" i="20"/>
  <c r="N115" i="20"/>
  <c r="O115" i="20" s="1"/>
  <c r="P115" i="20" s="1"/>
  <c r="L86" i="20"/>
  <c r="N86" i="20"/>
  <c r="O86" i="20" s="1"/>
  <c r="P86" i="20" s="1"/>
  <c r="L117" i="20"/>
  <c r="N117" i="20"/>
  <c r="O117" i="20" s="1"/>
  <c r="P117" i="20" s="1"/>
  <c r="L45" i="20"/>
  <c r="N45" i="20"/>
  <c r="O45" i="20" s="1"/>
  <c r="P45" i="20" s="1"/>
  <c r="N29" i="20"/>
  <c r="O29" i="20" s="1"/>
  <c r="P29" i="20" s="1"/>
  <c r="L29" i="20"/>
  <c r="N122" i="20"/>
  <c r="O122" i="20" s="1"/>
  <c r="P122" i="20" s="1"/>
  <c r="L122" i="20"/>
  <c r="N15" i="20"/>
  <c r="O15" i="20" s="1"/>
  <c r="P15" i="20" s="1"/>
  <c r="L15" i="20"/>
  <c r="N38" i="20"/>
  <c r="O38" i="20" s="1"/>
  <c r="P38" i="20" s="1"/>
  <c r="L38" i="20"/>
  <c r="N129" i="20"/>
  <c r="O129" i="20" s="1"/>
  <c r="P129" i="20" s="1"/>
  <c r="L129" i="20"/>
  <c r="L61" i="20"/>
  <c r="N61" i="20"/>
  <c r="O61" i="20" s="1"/>
  <c r="P61" i="20" s="1"/>
  <c r="N142" i="20"/>
  <c r="O142" i="20" s="1"/>
  <c r="P142" i="20" s="1"/>
  <c r="L142" i="20"/>
  <c r="N11" i="20"/>
  <c r="O11" i="20" s="1"/>
  <c r="P11" i="20" s="1"/>
  <c r="L11" i="20"/>
  <c r="L25" i="20"/>
  <c r="N64" i="20"/>
  <c r="O64" i="20" s="1"/>
  <c r="P64" i="20" s="1"/>
  <c r="T9" i="20"/>
  <c r="T117" i="20"/>
  <c r="N88" i="20"/>
  <c r="O88" i="20" s="1"/>
  <c r="P88" i="20" s="1"/>
  <c r="N137" i="20"/>
  <c r="O137" i="20" s="1"/>
  <c r="P137" i="20" s="1"/>
  <c r="N82" i="20"/>
  <c r="O82" i="20" s="1"/>
  <c r="P82" i="20" s="1"/>
  <c r="L82" i="20"/>
  <c r="N98" i="20"/>
  <c r="O98" i="20" s="1"/>
  <c r="P98" i="20" s="1"/>
  <c r="L98" i="20"/>
  <c r="T49" i="20"/>
  <c r="T54" i="20"/>
  <c r="K56" i="20"/>
  <c r="T56" i="20"/>
  <c r="L46" i="20"/>
  <c r="T63" i="20"/>
  <c r="T21" i="20"/>
  <c r="N107" i="20"/>
  <c r="O107" i="20" s="1"/>
  <c r="P107" i="20" s="1"/>
  <c r="T11" i="20"/>
  <c r="T38" i="20"/>
  <c r="L99" i="20"/>
  <c r="L18" i="20"/>
  <c r="L141" i="20"/>
  <c r="N141" i="20"/>
  <c r="O141" i="20" s="1"/>
  <c r="P141" i="20" s="1"/>
  <c r="L49" i="20"/>
  <c r="T133" i="20"/>
  <c r="T137" i="20"/>
  <c r="L40" i="20"/>
  <c r="N19" i="20"/>
  <c r="O19" i="20" s="1"/>
  <c r="P19" i="20" s="1"/>
  <c r="L19" i="20"/>
  <c r="T27" i="20"/>
  <c r="T51" i="20"/>
  <c r="T99" i="20"/>
  <c r="L110" i="20"/>
  <c r="N110" i="20"/>
  <c r="O110" i="20" s="1"/>
  <c r="P110" i="20" s="1"/>
  <c r="T18" i="20"/>
  <c r="N108" i="20"/>
  <c r="O108" i="20" s="1"/>
  <c r="P108" i="20" s="1"/>
  <c r="L108" i="20"/>
  <c r="L33" i="20"/>
  <c r="N33" i="20"/>
  <c r="O33" i="20" s="1"/>
  <c r="P33" i="20" s="1"/>
  <c r="N145" i="20"/>
  <c r="O145" i="20" s="1"/>
  <c r="P145" i="20" s="1"/>
  <c r="N32" i="20"/>
  <c r="O32" i="20" s="1"/>
  <c r="P32" i="20" s="1"/>
  <c r="T79" i="20"/>
  <c r="L111" i="20"/>
  <c r="N111" i="20"/>
  <c r="O111" i="20" s="1"/>
  <c r="P111" i="20" s="1"/>
  <c r="N67" i="20"/>
  <c r="O67" i="20" s="1"/>
  <c r="P67" i="20" s="1"/>
  <c r="T61" i="20"/>
  <c r="L143" i="20"/>
  <c r="L104" i="20"/>
  <c r="L47" i="20"/>
  <c r="L9" i="20"/>
  <c r="T145" i="20"/>
  <c r="T88" i="20"/>
  <c r="T16" i="20"/>
  <c r="T32" i="20"/>
  <c r="T40" i="20"/>
  <c r="T118" i="20"/>
  <c r="L92" i="21"/>
  <c r="N92" i="21"/>
  <c r="N52" i="21"/>
  <c r="O52" i="21" s="1"/>
  <c r="P52" i="21" s="1"/>
  <c r="L52" i="21"/>
  <c r="N62" i="21"/>
  <c r="O62" i="21" s="1"/>
  <c r="P62" i="21" s="1"/>
  <c r="L62" i="21"/>
  <c r="N130" i="21"/>
  <c r="O130" i="21" s="1"/>
  <c r="P130" i="21" s="1"/>
  <c r="L130" i="21"/>
  <c r="L131" i="21"/>
  <c r="N131" i="21"/>
  <c r="O131" i="21" s="1"/>
  <c r="P131" i="21" s="1"/>
  <c r="N16" i="21"/>
  <c r="O16" i="21" s="1"/>
  <c r="P16" i="21" s="1"/>
  <c r="L16" i="21"/>
  <c r="L100" i="21"/>
  <c r="N100" i="21"/>
  <c r="F29" i="11" s="1"/>
  <c r="L27" i="21"/>
  <c r="N27" i="21"/>
  <c r="O27" i="21" s="1"/>
  <c r="P27" i="21" s="1"/>
  <c r="N101" i="21"/>
  <c r="O101" i="21" s="1"/>
  <c r="P101" i="21" s="1"/>
  <c r="L101" i="21"/>
  <c r="F34" i="11"/>
  <c r="O150" i="21"/>
  <c r="P150" i="21" s="1"/>
  <c r="N80" i="21"/>
  <c r="O80" i="21" s="1"/>
  <c r="P80" i="21" s="1"/>
  <c r="L80" i="21"/>
  <c r="L56" i="21"/>
  <c r="N56" i="21"/>
  <c r="O56" i="21" s="1"/>
  <c r="P56" i="21" s="1"/>
  <c r="N69" i="21"/>
  <c r="L69" i="21"/>
  <c r="L121" i="21"/>
  <c r="T34" i="21"/>
  <c r="L150" i="21"/>
  <c r="T56" i="21"/>
  <c r="T24" i="21"/>
  <c r="N71" i="21"/>
  <c r="O71" i="21" s="1"/>
  <c r="P71" i="21" s="1"/>
  <c r="F19" i="11"/>
  <c r="N8" i="21"/>
  <c r="O8" i="21" s="1"/>
  <c r="P8" i="21" s="1"/>
  <c r="L111" i="21"/>
  <c r="L21" i="21"/>
  <c r="T26" i="21"/>
  <c r="T78" i="21"/>
  <c r="T84" i="21"/>
  <c r="T101" i="21"/>
  <c r="T120" i="21"/>
  <c r="T123" i="21"/>
  <c r="T130" i="21"/>
  <c r="T139" i="21"/>
  <c r="T18" i="21"/>
  <c r="N13" i="21"/>
  <c r="O13" i="21" s="1"/>
  <c r="P13" i="21" s="1"/>
  <c r="N126" i="21"/>
  <c r="O126" i="21" s="1"/>
  <c r="P126" i="21" s="1"/>
  <c r="L123" i="21"/>
  <c r="T100" i="21"/>
  <c r="T144" i="21"/>
  <c r="T92" i="21"/>
  <c r="K48" i="21"/>
  <c r="L48" i="21" s="1"/>
  <c r="T131" i="21"/>
  <c r="T40" i="21"/>
  <c r="T69" i="21"/>
  <c r="T93" i="21"/>
  <c r="T111" i="21"/>
  <c r="K70" i="21"/>
  <c r="T147" i="21"/>
  <c r="N73" i="21"/>
  <c r="O73" i="21" s="1"/>
  <c r="P73" i="21" s="1"/>
  <c r="N147" i="21"/>
  <c r="O147" i="21" s="1"/>
  <c r="P147" i="21" s="1"/>
  <c r="N78" i="21"/>
  <c r="O78" i="21" s="1"/>
  <c r="P78" i="21" s="1"/>
  <c r="N85" i="21"/>
  <c r="O85" i="21" s="1"/>
  <c r="P85" i="21" s="1"/>
  <c r="N112" i="21"/>
  <c r="O112" i="21" s="1"/>
  <c r="P112" i="21" s="1"/>
  <c r="K82" i="21"/>
  <c r="T63" i="21"/>
  <c r="K124" i="21"/>
  <c r="T7" i="21"/>
  <c r="T42" i="21"/>
  <c r="T50" i="21"/>
  <c r="T60" i="21"/>
  <c r="T108" i="21"/>
  <c r="T119" i="21"/>
  <c r="K134" i="21"/>
  <c r="N134" i="21" s="1"/>
  <c r="O134" i="21" s="1"/>
  <c r="P134" i="21" s="1"/>
  <c r="K135" i="21"/>
  <c r="T138" i="21"/>
  <c r="T16" i="21"/>
  <c r="T76" i="21"/>
  <c r="T3" i="21"/>
  <c r="N26" i="21"/>
  <c r="O26" i="21" s="1"/>
  <c r="P26" i="21" s="1"/>
  <c r="N12" i="21"/>
  <c r="O12" i="21" s="1"/>
  <c r="P12" i="21" s="1"/>
  <c r="N110" i="21"/>
  <c r="O110" i="21" s="1"/>
  <c r="P110" i="21" s="1"/>
  <c r="L34" i="21"/>
  <c r="T53" i="21"/>
  <c r="T27" i="21"/>
  <c r="T52" i="21"/>
  <c r="T57" i="21"/>
  <c r="T62" i="21"/>
  <c r="T71" i="21"/>
  <c r="T83" i="21"/>
  <c r="T85" i="21"/>
  <c r="T102" i="21"/>
  <c r="T3" i="1"/>
  <c r="V3" i="1"/>
  <c r="U3" i="1"/>
  <c r="N144" i="21"/>
  <c r="O144" i="21" s="1"/>
  <c r="P144" i="21" s="1"/>
  <c r="L144" i="21"/>
  <c r="N84" i="21"/>
  <c r="O84" i="21" s="1"/>
  <c r="P84" i="21" s="1"/>
  <c r="N105" i="21"/>
  <c r="O105" i="21" s="1"/>
  <c r="P105" i="21" s="1"/>
  <c r="N15" i="21"/>
  <c r="K103" i="21"/>
  <c r="T31" i="21"/>
  <c r="T132" i="21"/>
  <c r="N9" i="21"/>
  <c r="L9" i="21"/>
  <c r="N114" i="21"/>
  <c r="O114" i="21" s="1"/>
  <c r="P114" i="21" s="1"/>
  <c r="L114" i="21"/>
  <c r="T10" i="21"/>
  <c r="N116" i="21"/>
  <c r="O116" i="21" s="1"/>
  <c r="P116" i="21" s="1"/>
  <c r="L116" i="21"/>
  <c r="L132" i="21"/>
  <c r="N132" i="21"/>
  <c r="O132" i="21" s="1"/>
  <c r="P132" i="21" s="1"/>
  <c r="L152" i="21"/>
  <c r="N152" i="21"/>
  <c r="O152" i="21" s="1"/>
  <c r="P152" i="21" s="1"/>
  <c r="N118" i="21"/>
  <c r="O118" i="21" s="1"/>
  <c r="P118" i="21" s="1"/>
  <c r="L55" i="21"/>
  <c r="N95" i="21"/>
  <c r="O95" i="21" s="1"/>
  <c r="P95" i="21" s="1"/>
  <c r="L95" i="21"/>
  <c r="T98" i="21"/>
  <c r="T113" i="21"/>
  <c r="K113" i="21"/>
  <c r="T116" i="21"/>
  <c r="T125" i="21"/>
  <c r="T136" i="21"/>
  <c r="T141" i="21"/>
  <c r="L129" i="21"/>
  <c r="N129" i="21"/>
  <c r="O129" i="21" s="1"/>
  <c r="P129" i="21" s="1"/>
  <c r="L140" i="21"/>
  <c r="L125" i="21"/>
  <c r="L10" i="21"/>
  <c r="L89" i="21"/>
  <c r="T44" i="21"/>
  <c r="N59" i="21"/>
  <c r="L59" i="21"/>
  <c r="L128" i="21"/>
  <c r="N18" i="21"/>
  <c r="O18" i="21" s="1"/>
  <c r="P18" i="21" s="1"/>
  <c r="L18" i="21"/>
  <c r="N24" i="21"/>
  <c r="O24" i="21" s="1"/>
  <c r="P24" i="21" s="1"/>
  <c r="L24" i="21"/>
  <c r="N29" i="21"/>
  <c r="O29" i="21" s="1"/>
  <c r="P29" i="21" s="1"/>
  <c r="L29" i="21"/>
  <c r="L19" i="21"/>
  <c r="N19" i="21"/>
  <c r="O19" i="21" s="1"/>
  <c r="P19" i="21" s="1"/>
  <c r="T128" i="21"/>
  <c r="O3" i="21"/>
  <c r="L54" i="21"/>
  <c r="N54" i="21"/>
  <c r="O54" i="21" s="1"/>
  <c r="P54" i="21" s="1"/>
  <c r="N143" i="21"/>
  <c r="O143" i="21" s="1"/>
  <c r="P143" i="21" s="1"/>
  <c r="L17" i="21"/>
  <c r="N98" i="21"/>
  <c r="O98" i="21" s="1"/>
  <c r="P98" i="21" s="1"/>
  <c r="N50" i="21"/>
  <c r="O50" i="21" s="1"/>
  <c r="P50" i="21" s="1"/>
  <c r="L50" i="21"/>
  <c r="N5" i="21"/>
  <c r="T29" i="21"/>
  <c r="T39" i="21"/>
  <c r="L43" i="21"/>
  <c r="N43" i="21"/>
  <c r="N51" i="21"/>
  <c r="L51" i="21"/>
  <c r="T59" i="21"/>
  <c r="T74" i="21"/>
  <c r="N91" i="21"/>
  <c r="O91" i="21" s="1"/>
  <c r="P91" i="21" s="1"/>
  <c r="L91" i="21"/>
  <c r="K142" i="21"/>
  <c r="T142" i="21"/>
  <c r="K153" i="21"/>
  <c r="T153" i="21"/>
  <c r="L119" i="21"/>
  <c r="N119" i="21"/>
  <c r="O119" i="21" s="1"/>
  <c r="P119" i="21" s="1"/>
  <c r="N20" i="21"/>
  <c r="O20" i="21" s="1"/>
  <c r="P20" i="21" s="1"/>
  <c r="L20" i="21"/>
  <c r="K96" i="21"/>
  <c r="T96" i="21"/>
  <c r="N139" i="21"/>
  <c r="O139" i="21" s="1"/>
  <c r="P139" i="21" s="1"/>
  <c r="L139" i="21"/>
  <c r="T23" i="21"/>
  <c r="T28" i="21"/>
  <c r="T36" i="21"/>
  <c r="T41" i="21"/>
  <c r="T43" i="21"/>
  <c r="T46" i="21"/>
  <c r="T64" i="21"/>
  <c r="T152" i="21"/>
  <c r="T155" i="21"/>
  <c r="T158" i="21"/>
  <c r="L61" i="21"/>
  <c r="O35" i="21"/>
  <c r="P35" i="21" s="1"/>
  <c r="L106" i="21"/>
  <c r="L23" i="21"/>
  <c r="L115" i="21"/>
  <c r="T35" i="21"/>
  <c r="T121" i="21"/>
  <c r="T126" i="21"/>
  <c r="T146" i="21"/>
  <c r="N97" i="21"/>
  <c r="T33" i="21"/>
  <c r="T114" i="21"/>
  <c r="T6" i="21"/>
  <c r="T55" i="21"/>
  <c r="T145" i="21"/>
  <c r="D33" i="13"/>
  <c r="D12" i="2"/>
  <c r="D11" i="2"/>
  <c r="D14" i="2"/>
  <c r="N49" i="21"/>
  <c r="O49" i="21" s="1"/>
  <c r="P49" i="21" s="1"/>
  <c r="L49" i="21"/>
  <c r="O75" i="21"/>
  <c r="P75" i="21" s="1"/>
  <c r="F17" i="11"/>
  <c r="O93" i="21"/>
  <c r="P93" i="21" s="1"/>
  <c r="F26" i="11"/>
  <c r="N38" i="21"/>
  <c r="O38" i="21" s="1"/>
  <c r="P38" i="21" s="1"/>
  <c r="L38" i="21"/>
  <c r="O79" i="21"/>
  <c r="P79" i="21" s="1"/>
  <c r="N4" i="21"/>
  <c r="L4" i="21"/>
  <c r="N107" i="21"/>
  <c r="O107" i="21" s="1"/>
  <c r="P107" i="21" s="1"/>
  <c r="L107" i="21"/>
  <c r="N32" i="21"/>
  <c r="O32" i="21" s="1"/>
  <c r="P32" i="21" s="1"/>
  <c r="L32" i="21"/>
  <c r="L77" i="21"/>
  <c r="L145" i="21"/>
  <c r="L42" i="21"/>
  <c r="L94" i="21"/>
  <c r="T75" i="21"/>
  <c r="L33" i="21"/>
  <c r="L57" i="21"/>
  <c r="N57" i="21"/>
  <c r="O57" i="21" s="1"/>
  <c r="P57" i="21" s="1"/>
  <c r="T107" i="21"/>
  <c r="L136" i="21"/>
  <c r="N136" i="21"/>
  <c r="O136" i="21" s="1"/>
  <c r="P136" i="21" s="1"/>
  <c r="L14" i="21"/>
  <c r="N81" i="21"/>
  <c r="O81" i="21" s="1"/>
  <c r="P81" i="21" s="1"/>
  <c r="N36" i="21"/>
  <c r="O36" i="21" s="1"/>
  <c r="P36" i="21" s="1"/>
  <c r="T127" i="21"/>
  <c r="T4" i="21"/>
  <c r="T54" i="21"/>
  <c r="L60" i="21"/>
  <c r="N60" i="21"/>
  <c r="O60" i="21" s="1"/>
  <c r="P60" i="21" s="1"/>
  <c r="T106" i="21"/>
  <c r="L93" i="21"/>
  <c r="L117" i="21"/>
  <c r="L25" i="21"/>
  <c r="T49" i="21"/>
  <c r="T38" i="21"/>
  <c r="T118" i="21"/>
  <c r="F31" i="11"/>
  <c r="K109" i="21"/>
  <c r="T109" i="21"/>
  <c r="F24" i="11"/>
  <c r="P3" i="21"/>
  <c r="L75" i="21"/>
  <c r="O21" i="21"/>
  <c r="P21" i="21" s="1"/>
  <c r="T8" i="21"/>
  <c r="T21" i="21"/>
  <c r="L58" i="21"/>
  <c r="N58" i="21"/>
  <c r="O58" i="21" s="1"/>
  <c r="P58" i="21" s="1"/>
  <c r="K137" i="21"/>
  <c r="T137" i="21"/>
  <c r="T140" i="21"/>
  <c r="T151" i="21"/>
  <c r="F33" i="11"/>
  <c r="T11" i="21"/>
  <c r="T25" i="21"/>
  <c r="K47" i="21"/>
  <c r="T47" i="21"/>
  <c r="T5" i="21"/>
  <c r="L31" i="21"/>
  <c r="N31" i="21"/>
  <c r="O31" i="21" s="1"/>
  <c r="P31" i="21" s="1"/>
  <c r="N99" i="21"/>
  <c r="L99" i="21"/>
  <c r="D35" i="9" l="1"/>
  <c r="M38" i="9"/>
  <c r="AD33" i="9"/>
  <c r="F39" i="13"/>
  <c r="J39" i="13"/>
  <c r="K38" i="13"/>
  <c r="A53" i="8"/>
  <c r="N62" i="20"/>
  <c r="O62" i="20" s="1"/>
  <c r="P62" i="20" s="1"/>
  <c r="N66" i="20"/>
  <c r="O66" i="20" s="1"/>
  <c r="P66" i="20" s="1"/>
  <c r="N144" i="20"/>
  <c r="O144" i="20" s="1"/>
  <c r="P144" i="20" s="1"/>
  <c r="AD34" i="9"/>
  <c r="E51" i="10"/>
  <c r="E62" i="10" s="1"/>
  <c r="J38" i="9"/>
  <c r="D36" i="9"/>
  <c r="F41" i="10"/>
  <c r="G24" i="10"/>
  <c r="P7" i="20"/>
  <c r="D32" i="5"/>
  <c r="E3" i="8"/>
  <c r="D34" i="5"/>
  <c r="E5" i="8"/>
  <c r="E11" i="2"/>
  <c r="E24" i="2" s="1"/>
  <c r="E41" i="2"/>
  <c r="E42" i="2" s="1"/>
  <c r="E14" i="2"/>
  <c r="E11" i="8" s="1"/>
  <c r="E12" i="2"/>
  <c r="E3" i="6" s="1"/>
  <c r="E18" i="7"/>
  <c r="L25" i="10"/>
  <c r="M18" i="2"/>
  <c r="O16" i="2"/>
  <c r="N23" i="9"/>
  <c r="N13" i="4" s="1"/>
  <c r="E46" i="13"/>
  <c r="E53" i="13" s="1"/>
  <c r="E45" i="13"/>
  <c r="E52" i="13" s="1"/>
  <c r="H12" i="7"/>
  <c r="O16" i="6"/>
  <c r="O33" i="2" s="1"/>
  <c r="O43" i="9"/>
  <c r="L31" i="6"/>
  <c r="L41" i="6" s="1"/>
  <c r="L62" i="6"/>
  <c r="U114" i="6"/>
  <c r="V114" i="6" s="1"/>
  <c r="U113" i="6"/>
  <c r="L61" i="6"/>
  <c r="L30" i="6"/>
  <c r="L40" i="6" s="1"/>
  <c r="K60" i="6"/>
  <c r="K29" i="6"/>
  <c r="L34" i="6"/>
  <c r="P5" i="20"/>
  <c r="O5" i="20"/>
  <c r="E59" i="13"/>
  <c r="E62" i="13" s="1"/>
  <c r="E41" i="13"/>
  <c r="E43" i="13" s="1"/>
  <c r="E60" i="13"/>
  <c r="E63" i="13" s="1"/>
  <c r="N48" i="21"/>
  <c r="O48" i="21" s="1"/>
  <c r="P48" i="21" s="1"/>
  <c r="N53" i="20"/>
  <c r="O53" i="20" s="1"/>
  <c r="P53" i="20" s="1"/>
  <c r="L53" i="20"/>
  <c r="L50" i="20"/>
  <c r="N50" i="20"/>
  <c r="O50" i="20" s="1"/>
  <c r="P50" i="20" s="1"/>
  <c r="F20" i="11"/>
  <c r="F32" i="11"/>
  <c r="F6" i="11"/>
  <c r="J60" i="10"/>
  <c r="J61" i="10" s="1"/>
  <c r="K38" i="9"/>
  <c r="F38" i="9"/>
  <c r="D33" i="9"/>
  <c r="O38" i="9"/>
  <c r="P38" i="9"/>
  <c r="H38" i="9"/>
  <c r="L38" i="9"/>
  <c r="H60" i="10"/>
  <c r="H61" i="10" s="1"/>
  <c r="K60" i="10"/>
  <c r="K61" i="10" s="1"/>
  <c r="G38" i="9"/>
  <c r="M60" i="10"/>
  <c r="M61" i="10" s="1"/>
  <c r="I60" i="10"/>
  <c r="I61" i="10" s="1"/>
  <c r="F60" i="10"/>
  <c r="F61" i="10" s="1"/>
  <c r="G60" i="10"/>
  <c r="G61" i="10" s="1"/>
  <c r="I38" i="9"/>
  <c r="L60" i="10"/>
  <c r="L61" i="10" s="1"/>
  <c r="D60" i="10"/>
  <c r="D61" i="10" s="1"/>
  <c r="E60" i="10"/>
  <c r="E61" i="10" s="1"/>
  <c r="D61" i="8"/>
  <c r="D69" i="8" s="1"/>
  <c r="N60" i="10"/>
  <c r="N61" i="10" s="1"/>
  <c r="AC36" i="9"/>
  <c r="N38" i="9"/>
  <c r="L134" i="21"/>
  <c r="L72" i="20"/>
  <c r="N72" i="20"/>
  <c r="O72" i="20" s="1"/>
  <c r="P72" i="20" s="1"/>
  <c r="L109" i="20"/>
  <c r="N109" i="20"/>
  <c r="O109" i="20" s="1"/>
  <c r="P109" i="20" s="1"/>
  <c r="N126" i="20"/>
  <c r="O126" i="20" s="1"/>
  <c r="P126" i="20" s="1"/>
  <c r="L126" i="20"/>
  <c r="O4" i="20"/>
  <c r="P4" i="20"/>
  <c r="L37" i="21"/>
  <c r="N36" i="20"/>
  <c r="O36" i="20" s="1"/>
  <c r="P36" i="20" s="1"/>
  <c r="L36" i="20"/>
  <c r="P6" i="20"/>
  <c r="O6" i="20"/>
  <c r="I21" i="2"/>
  <c r="K26" i="1"/>
  <c r="I26" i="1"/>
  <c r="G21" i="2"/>
  <c r="J21" i="2"/>
  <c r="L26" i="1"/>
  <c r="H26" i="1"/>
  <c r="F21" i="2"/>
  <c r="D21" i="2"/>
  <c r="D25" i="2" s="1"/>
  <c r="D19" i="6"/>
  <c r="E19" i="6"/>
  <c r="F19" i="6" s="1"/>
  <c r="G19" i="6" s="1"/>
  <c r="H19" i="6" s="1"/>
  <c r="I19" i="6" s="1"/>
  <c r="J19" i="6" s="1"/>
  <c r="E21" i="2"/>
  <c r="G26" i="1"/>
  <c r="G27" i="1" s="1"/>
  <c r="J53" i="1"/>
  <c r="J59" i="1"/>
  <c r="J60" i="1" s="1"/>
  <c r="J27" i="1"/>
  <c r="J11" i="1"/>
  <c r="J37" i="1"/>
  <c r="O6" i="21"/>
  <c r="L56" i="20"/>
  <c r="N56" i="20"/>
  <c r="O56" i="20" s="1"/>
  <c r="P56" i="20" s="1"/>
  <c r="N124" i="21"/>
  <c r="O124" i="21" s="1"/>
  <c r="P124" i="21" s="1"/>
  <c r="L124" i="21"/>
  <c r="O100" i="21"/>
  <c r="P100" i="21" s="1"/>
  <c r="L82" i="21"/>
  <c r="N82" i="21"/>
  <c r="O82" i="21" s="1"/>
  <c r="P82" i="21" s="1"/>
  <c r="N70" i="21"/>
  <c r="O70" i="21" s="1"/>
  <c r="P70" i="21" s="1"/>
  <c r="L70" i="21"/>
  <c r="O92" i="21"/>
  <c r="P92" i="21" s="1"/>
  <c r="F25" i="11"/>
  <c r="L135" i="21"/>
  <c r="N135" i="21"/>
  <c r="O135" i="21" s="1"/>
  <c r="P135" i="21" s="1"/>
  <c r="O69" i="21"/>
  <c r="P69" i="21" s="1"/>
  <c r="F15" i="11"/>
  <c r="N113" i="21"/>
  <c r="O113" i="21" s="1"/>
  <c r="P113" i="21" s="1"/>
  <c r="L113" i="21"/>
  <c r="L153" i="21"/>
  <c r="N153" i="21"/>
  <c r="O153" i="21" s="1"/>
  <c r="P153" i="21" s="1"/>
  <c r="O51" i="21"/>
  <c r="P51" i="21" s="1"/>
  <c r="F9" i="11"/>
  <c r="N103" i="21"/>
  <c r="O103" i="21" s="1"/>
  <c r="P103" i="21" s="1"/>
  <c r="L103" i="21"/>
  <c r="O43" i="21"/>
  <c r="P43" i="21" s="1"/>
  <c r="F8" i="11"/>
  <c r="O9" i="21"/>
  <c r="P9" i="21" s="1"/>
  <c r="F3" i="11"/>
  <c r="F4" i="11"/>
  <c r="O15" i="21"/>
  <c r="P15" i="21" s="1"/>
  <c r="F27" i="11"/>
  <c r="O97" i="21"/>
  <c r="P97" i="21" s="1"/>
  <c r="L96" i="21"/>
  <c r="N96" i="21"/>
  <c r="O96" i="21" s="1"/>
  <c r="P96" i="21" s="1"/>
  <c r="N142" i="21"/>
  <c r="O142" i="21" s="1"/>
  <c r="P142" i="21" s="1"/>
  <c r="L142" i="21"/>
  <c r="F12" i="11"/>
  <c r="O59" i="21"/>
  <c r="P59" i="21" s="1"/>
  <c r="P5" i="21"/>
  <c r="O5" i="21"/>
  <c r="D11" i="8"/>
  <c r="D14" i="8" s="1"/>
  <c r="D26" i="2"/>
  <c r="D34" i="2" s="1"/>
  <c r="D3" i="4"/>
  <c r="D9" i="4" s="1"/>
  <c r="D17" i="4" s="1"/>
  <c r="D24" i="2"/>
  <c r="D3" i="6"/>
  <c r="D46" i="13"/>
  <c r="D41" i="13"/>
  <c r="D43" i="13" s="1"/>
  <c r="D45" i="13"/>
  <c r="D52" i="13" s="1"/>
  <c r="D59" i="13"/>
  <c r="D62" i="13" s="1"/>
  <c r="D60" i="13"/>
  <c r="D63" i="13" s="1"/>
  <c r="N137" i="21"/>
  <c r="O137" i="21" s="1"/>
  <c r="P137" i="21" s="1"/>
  <c r="L137" i="21"/>
  <c r="L47" i="21"/>
  <c r="N47" i="21"/>
  <c r="O47" i="21" s="1"/>
  <c r="P47" i="21" s="1"/>
  <c r="L109" i="21"/>
  <c r="N109" i="21"/>
  <c r="O109" i="21" s="1"/>
  <c r="P109" i="21" s="1"/>
  <c r="P4" i="21"/>
  <c r="O4" i="21"/>
  <c r="O99" i="21"/>
  <c r="P99" i="21" s="1"/>
  <c r="F28" i="11"/>
  <c r="K39" i="13" l="1"/>
  <c r="L38" i="13"/>
  <c r="H24" i="10"/>
  <c r="G41" i="10"/>
  <c r="G30" i="10"/>
  <c r="G32" i="10"/>
  <c r="F49" i="10"/>
  <c r="F51" i="10"/>
  <c r="I53" i="1"/>
  <c r="I11" i="1"/>
  <c r="H15" i="7"/>
  <c r="I12" i="7" s="1"/>
  <c r="I15" i="7" s="1"/>
  <c r="I18" i="7" s="1"/>
  <c r="E26" i="2"/>
  <c r="E3" i="4"/>
  <c r="E9" i="4" s="1"/>
  <c r="E17" i="4" s="1"/>
  <c r="E43" i="2"/>
  <c r="E44" i="2" s="1"/>
  <c r="E25" i="2"/>
  <c r="E13" i="2"/>
  <c r="H50" i="1"/>
  <c r="H53" i="1"/>
  <c r="O23" i="9"/>
  <c r="O13" i="4" s="1"/>
  <c r="P16" i="2"/>
  <c r="P23" i="9" s="1"/>
  <c r="P13" i="4" s="1"/>
  <c r="N18" i="2"/>
  <c r="M25" i="10"/>
  <c r="L46" i="10"/>
  <c r="L35" i="10"/>
  <c r="P16" i="6"/>
  <c r="P33" i="2" s="1"/>
  <c r="P43" i="9"/>
  <c r="J50" i="1"/>
  <c r="M62" i="6"/>
  <c r="M31" i="6"/>
  <c r="M41" i="6" s="1"/>
  <c r="M61" i="6"/>
  <c r="M30" i="6"/>
  <c r="M40" i="6" s="1"/>
  <c r="V113" i="6"/>
  <c r="W113" i="6" s="1"/>
  <c r="K39" i="6"/>
  <c r="K7" i="6"/>
  <c r="K19" i="6" s="1"/>
  <c r="L29" i="6"/>
  <c r="M34" i="6"/>
  <c r="L60" i="6"/>
  <c r="U112" i="6"/>
  <c r="E47" i="13"/>
  <c r="E54" i="13" s="1"/>
  <c r="F10" i="11"/>
  <c r="AB38" i="9"/>
  <c r="L50" i="1"/>
  <c r="L37" i="1"/>
  <c r="L59" i="1"/>
  <c r="L60" i="1" s="1"/>
  <c r="L53" i="1"/>
  <c r="L27" i="1"/>
  <c r="L11" i="1"/>
  <c r="H27" i="1"/>
  <c r="I59" i="1"/>
  <c r="I60" i="1" s="1"/>
  <c r="I37" i="1"/>
  <c r="I50" i="1"/>
  <c r="I27" i="1"/>
  <c r="K11" i="1"/>
  <c r="K27" i="1"/>
  <c r="K50" i="1"/>
  <c r="K59" i="1"/>
  <c r="K60" i="1" s="1"/>
  <c r="K37" i="1"/>
  <c r="K53" i="1"/>
  <c r="E10" i="6"/>
  <c r="E11" i="6"/>
  <c r="D18" i="4"/>
  <c r="D21" i="4" s="1"/>
  <c r="D19" i="4"/>
  <c r="D16" i="8"/>
  <c r="D18" i="8"/>
  <c r="D17" i="8"/>
  <c r="D15" i="8"/>
  <c r="D22" i="8" s="1"/>
  <c r="D53" i="13"/>
  <c r="D47" i="13"/>
  <c r="D10" i="6"/>
  <c r="D11" i="6"/>
  <c r="E16" i="8"/>
  <c r="E23" i="8" s="1"/>
  <c r="E18" i="8"/>
  <c r="E25" i="8" s="1"/>
  <c r="E14" i="8"/>
  <c r="E21" i="8" s="1"/>
  <c r="E15" i="8"/>
  <c r="E22" i="8" s="1"/>
  <c r="E17" i="8"/>
  <c r="E24" i="8" s="1"/>
  <c r="L39" i="13" l="1"/>
  <c r="M38" i="13"/>
  <c r="F62" i="10"/>
  <c r="G51" i="10"/>
  <c r="G49" i="10"/>
  <c r="I24" i="10"/>
  <c r="H41" i="10"/>
  <c r="H30" i="10"/>
  <c r="H32" i="10"/>
  <c r="D28" i="2"/>
  <c r="H18" i="7"/>
  <c r="E19" i="4"/>
  <c r="E18" i="4"/>
  <c r="M46" i="10"/>
  <c r="M35" i="10"/>
  <c r="O18" i="2"/>
  <c r="P18" i="2" s="1"/>
  <c r="P25" i="10" s="1"/>
  <c r="N25" i="10"/>
  <c r="J12" i="7"/>
  <c r="J15" i="7" s="1"/>
  <c r="K12" i="7" s="1"/>
  <c r="K15" i="7" s="1"/>
  <c r="N31" i="6"/>
  <c r="N62" i="6"/>
  <c r="W114" i="6"/>
  <c r="N30" i="6"/>
  <c r="N61" i="6"/>
  <c r="L39" i="6"/>
  <c r="L7" i="6"/>
  <c r="L19" i="6" s="1"/>
  <c r="M26" i="1"/>
  <c r="K21" i="2"/>
  <c r="N34" i="6"/>
  <c r="M29" i="6"/>
  <c r="M60" i="6"/>
  <c r="V112" i="6"/>
  <c r="D21" i="6"/>
  <c r="D22" i="6" s="1"/>
  <c r="D29" i="2" s="1"/>
  <c r="E22" i="7" s="1"/>
  <c r="E31" i="8"/>
  <c r="D49" i="13"/>
  <c r="D54" i="13"/>
  <c r="D56" i="13" s="1"/>
  <c r="E42" i="7"/>
  <c r="E43" i="7" s="1"/>
  <c r="E28" i="8"/>
  <c r="D29" i="8"/>
  <c r="E29" i="8"/>
  <c r="E32" i="8"/>
  <c r="E39" i="8"/>
  <c r="E30" i="8"/>
  <c r="E21" i="6"/>
  <c r="E22" i="6" s="1"/>
  <c r="E29" i="2" s="1"/>
  <c r="F22" i="7" s="1"/>
  <c r="D33" i="10" l="1"/>
  <c r="D34" i="10" s="1"/>
  <c r="N38" i="13"/>
  <c r="M39" i="13"/>
  <c r="E21" i="4"/>
  <c r="E28" i="2" s="1"/>
  <c r="F21" i="7" s="1"/>
  <c r="H49" i="10"/>
  <c r="H51" i="10"/>
  <c r="J24" i="10"/>
  <c r="I41" i="10"/>
  <c r="I30" i="10"/>
  <c r="I32" i="10"/>
  <c r="G62" i="10"/>
  <c r="D21" i="7"/>
  <c r="E21" i="7"/>
  <c r="E25" i="7" s="1"/>
  <c r="E30" i="7" s="1"/>
  <c r="E32" i="7" s="1"/>
  <c r="E37" i="7" s="1"/>
  <c r="D32" i="2"/>
  <c r="N46" i="10"/>
  <c r="O25" i="10"/>
  <c r="N35" i="10"/>
  <c r="J18" i="7"/>
  <c r="X114" i="6"/>
  <c r="N41" i="6"/>
  <c r="Q31" i="6"/>
  <c r="Y114" i="6"/>
  <c r="O31" i="6"/>
  <c r="O41" i="6" s="1"/>
  <c r="P31" i="6"/>
  <c r="O30" i="6"/>
  <c r="O40" i="6" s="1"/>
  <c r="P30" i="6"/>
  <c r="P40" i="6" s="1"/>
  <c r="Q30" i="6"/>
  <c r="N40" i="6"/>
  <c r="X113" i="6"/>
  <c r="M27" i="1"/>
  <c r="M11" i="1"/>
  <c r="M37" i="1"/>
  <c r="M59" i="1"/>
  <c r="M60" i="1" s="1"/>
  <c r="M50" i="1"/>
  <c r="M53" i="1"/>
  <c r="M7" i="1" s="1"/>
  <c r="M39" i="6"/>
  <c r="M7" i="6"/>
  <c r="L21" i="2"/>
  <c r="N26" i="1"/>
  <c r="N29" i="6"/>
  <c r="O34" i="6"/>
  <c r="N60" i="6"/>
  <c r="W112" i="6"/>
  <c r="X112" i="6" s="1"/>
  <c r="L12" i="7"/>
  <c r="L15" i="7" s="1"/>
  <c r="K18" i="7"/>
  <c r="D22" i="7"/>
  <c r="E77" i="8"/>
  <c r="E45" i="8"/>
  <c r="E85" i="8"/>
  <c r="E80" i="8"/>
  <c r="E88" i="8"/>
  <c r="E48" i="8"/>
  <c r="E46" i="8"/>
  <c r="E54" i="8" s="1"/>
  <c r="E78" i="8"/>
  <c r="E86" i="8"/>
  <c r="E47" i="8"/>
  <c r="E87" i="8"/>
  <c r="E79" i="8"/>
  <c r="E89" i="8"/>
  <c r="E49" i="8"/>
  <c r="E57" i="8" s="1"/>
  <c r="E65" i="8" s="1"/>
  <c r="E73" i="8" s="1"/>
  <c r="E81" i="8"/>
  <c r="N39" i="13" l="1"/>
  <c r="O38" i="13"/>
  <c r="E32" i="2"/>
  <c r="D25" i="7"/>
  <c r="D30" i="7" s="1"/>
  <c r="D32" i="7" s="1"/>
  <c r="D37" i="7" s="1"/>
  <c r="K24" i="10"/>
  <c r="J41" i="10"/>
  <c r="J32" i="10"/>
  <c r="J30" i="10"/>
  <c r="E33" i="10"/>
  <c r="E34" i="10" s="1"/>
  <c r="H62" i="10"/>
  <c r="D52" i="10"/>
  <c r="D53" i="10" s="1"/>
  <c r="I51" i="10"/>
  <c r="I49" i="10"/>
  <c r="Y113" i="6"/>
  <c r="P41" i="6"/>
  <c r="O26" i="1"/>
  <c r="M21" i="2"/>
  <c r="Y112" i="6"/>
  <c r="M19" i="6"/>
  <c r="N27" i="1"/>
  <c r="N11" i="1"/>
  <c r="N53" i="1"/>
  <c r="N50" i="1"/>
  <c r="N59" i="1"/>
  <c r="N60" i="1" s="1"/>
  <c r="N37" i="1"/>
  <c r="N39" i="6"/>
  <c r="Q29" i="6"/>
  <c r="N7" i="6"/>
  <c r="P34" i="6"/>
  <c r="P29" i="6" s="1"/>
  <c r="O29" i="6"/>
  <c r="E95" i="8"/>
  <c r="E36" i="7"/>
  <c r="M12" i="7"/>
  <c r="M15" i="7" s="1"/>
  <c r="L18" i="7"/>
  <c r="E97" i="8"/>
  <c r="E94" i="8"/>
  <c r="G32" i="1"/>
  <c r="H47" i="1" s="1"/>
  <c r="H48" i="1" s="1"/>
  <c r="E56" i="8"/>
  <c r="E64" i="8"/>
  <c r="E96" i="8"/>
  <c r="E90" i="8"/>
  <c r="E48" i="13" s="1"/>
  <c r="E55" i="8"/>
  <c r="G31" i="1"/>
  <c r="E63" i="8"/>
  <c r="E50" i="8"/>
  <c r="E53" i="8"/>
  <c r="G29" i="1"/>
  <c r="E61" i="8"/>
  <c r="G30" i="1"/>
  <c r="E62" i="8"/>
  <c r="E82" i="8"/>
  <c r="E68" i="13" s="1"/>
  <c r="E93" i="8"/>
  <c r="O39" i="13" l="1"/>
  <c r="P38" i="13"/>
  <c r="P39" i="13" s="1"/>
  <c r="F33" i="10"/>
  <c r="F34" i="10" s="1"/>
  <c r="E52" i="10"/>
  <c r="E53" i="10" s="1"/>
  <c r="I62" i="10"/>
  <c r="J51" i="10"/>
  <c r="J49" i="10"/>
  <c r="K41" i="10"/>
  <c r="L24" i="10"/>
  <c r="K32" i="10"/>
  <c r="K30" i="10"/>
  <c r="N19" i="6"/>
  <c r="O39" i="6"/>
  <c r="O7" i="6"/>
  <c r="P39" i="6"/>
  <c r="P7" i="6"/>
  <c r="P26" i="1"/>
  <c r="N21" i="2"/>
  <c r="O27" i="1"/>
  <c r="O37" i="1"/>
  <c r="O59" i="1"/>
  <c r="O60" i="1" s="1"/>
  <c r="O53" i="1"/>
  <c r="O11" i="1"/>
  <c r="N12" i="7"/>
  <c r="N15" i="7" s="1"/>
  <c r="M18" i="7"/>
  <c r="E91" i="8"/>
  <c r="E50" i="13"/>
  <c r="D42" i="7"/>
  <c r="D43" i="7" s="1"/>
  <c r="G33" i="1"/>
  <c r="E69" i="13"/>
  <c r="F41" i="7"/>
  <c r="E66" i="8"/>
  <c r="E58" i="8"/>
  <c r="F24" i="7" s="1"/>
  <c r="E98" i="8"/>
  <c r="F38" i="7" s="1"/>
  <c r="F40" i="7"/>
  <c r="F39" i="7"/>
  <c r="J62" i="10" l="1"/>
  <c r="F52" i="10"/>
  <c r="F53" i="10" s="1"/>
  <c r="G33" i="10"/>
  <c r="G34" i="10" s="1"/>
  <c r="K51" i="10"/>
  <c r="K49" i="10"/>
  <c r="L41" i="10"/>
  <c r="M24" i="10"/>
  <c r="L30" i="10"/>
  <c r="L32" i="10"/>
  <c r="H6" i="1"/>
  <c r="H3" i="1" s="1"/>
  <c r="F4" i="2" s="1"/>
  <c r="O21" i="2"/>
  <c r="Q26" i="1"/>
  <c r="R26" i="1"/>
  <c r="P21" i="2"/>
  <c r="P53" i="1"/>
  <c r="P37" i="1"/>
  <c r="P11" i="1"/>
  <c r="P27" i="1"/>
  <c r="P59" i="1"/>
  <c r="P60" i="1" s="1"/>
  <c r="O19" i="6"/>
  <c r="P19" i="6" s="1"/>
  <c r="O12" i="7"/>
  <c r="O15" i="7" s="1"/>
  <c r="N18" i="7"/>
  <c r="F42" i="7"/>
  <c r="F43" i="7" s="1"/>
  <c r="E49" i="13"/>
  <c r="E55" i="13"/>
  <c r="E57" i="13" s="1"/>
  <c r="F12" i="2" l="1"/>
  <c r="F11" i="2"/>
  <c r="G22" i="17" s="1"/>
  <c r="G52" i="10"/>
  <c r="G53" i="10" s="1"/>
  <c r="L49" i="10"/>
  <c r="L51" i="10"/>
  <c r="H33" i="10"/>
  <c r="H34" i="10" s="1"/>
  <c r="N24" i="10"/>
  <c r="M41" i="10"/>
  <c r="M32" i="10"/>
  <c r="M30" i="10"/>
  <c r="K62" i="10"/>
  <c r="R27" i="1"/>
  <c r="R53" i="1"/>
  <c r="R37" i="1"/>
  <c r="R59" i="1"/>
  <c r="R60" i="1" s="1"/>
  <c r="R11" i="1"/>
  <c r="Q27" i="1"/>
  <c r="Q59" i="1"/>
  <c r="Q60" i="1" s="1"/>
  <c r="Q11" i="1"/>
  <c r="Q37" i="1"/>
  <c r="Q53" i="1"/>
  <c r="P12" i="7"/>
  <c r="P15" i="7" s="1"/>
  <c r="O18" i="7"/>
  <c r="E56" i="13"/>
  <c r="E66" i="13"/>
  <c r="F13" i="2" l="1"/>
  <c r="H22" i="17"/>
  <c r="M51" i="10"/>
  <c r="M49" i="10"/>
  <c r="L62" i="10"/>
  <c r="H52" i="10"/>
  <c r="H53" i="10" s="1"/>
  <c r="N41" i="10"/>
  <c r="E42" i="10" s="1"/>
  <c r="O24" i="10"/>
  <c r="N30" i="10"/>
  <c r="N32" i="10"/>
  <c r="I33" i="10"/>
  <c r="I34" i="10" s="1"/>
  <c r="D42" i="10"/>
  <c r="Q12" i="7"/>
  <c r="P18" i="7"/>
  <c r="F41" i="2"/>
  <c r="F33" i="13"/>
  <c r="F41" i="13" s="1"/>
  <c r="F43" i="13" s="1"/>
  <c r="F14" i="2"/>
  <c r="I22" i="17" s="1"/>
  <c r="J22" i="17" l="1"/>
  <c r="M62" i="10"/>
  <c r="I52" i="10"/>
  <c r="I53" i="10" s="1"/>
  <c r="E44" i="10"/>
  <c r="E45" i="10" s="1"/>
  <c r="E54" i="10"/>
  <c r="O41" i="10"/>
  <c r="P24" i="10"/>
  <c r="O32" i="10"/>
  <c r="O30" i="10"/>
  <c r="D54" i="10"/>
  <c r="D44" i="10"/>
  <c r="D45" i="10" s="1"/>
  <c r="N49" i="10"/>
  <c r="N51" i="10"/>
  <c r="J33" i="10"/>
  <c r="J34" i="10" s="1"/>
  <c r="R12" i="7"/>
  <c r="Q15" i="7"/>
  <c r="F59" i="13"/>
  <c r="F62" i="13" s="1"/>
  <c r="F60" i="13"/>
  <c r="F63" i="13" s="1"/>
  <c r="F46" i="13"/>
  <c r="F45" i="13"/>
  <c r="F52" i="13" s="1"/>
  <c r="F42" i="2"/>
  <c r="F43" i="2"/>
  <c r="F44" i="2" s="1"/>
  <c r="F26" i="2"/>
  <c r="F11" i="8"/>
  <c r="F14" i="8" s="1"/>
  <c r="F21" i="8" s="1"/>
  <c r="F25" i="2"/>
  <c r="F3" i="6"/>
  <c r="F10" i="6" s="1"/>
  <c r="F24" i="2"/>
  <c r="F3" i="4"/>
  <c r="F9" i="4" s="1"/>
  <c r="C91" i="13" l="1"/>
  <c r="C93" i="13" s="1"/>
  <c r="F28" i="8"/>
  <c r="J52" i="10"/>
  <c r="J53" i="10" s="1"/>
  <c r="K33" i="10"/>
  <c r="K34" i="10" s="1"/>
  <c r="P30" i="10"/>
  <c r="P41" i="10"/>
  <c r="P32" i="10"/>
  <c r="M33" i="10" s="1"/>
  <c r="M34" i="10" s="1"/>
  <c r="Q24" i="10"/>
  <c r="O49" i="10"/>
  <c r="O51" i="10"/>
  <c r="F42" i="10"/>
  <c r="N62" i="10"/>
  <c r="F17" i="4"/>
  <c r="F19" i="4"/>
  <c r="F18" i="4"/>
  <c r="F21" i="4" s="1"/>
  <c r="R15" i="7"/>
  <c r="Q18" i="7"/>
  <c r="C15" i="7"/>
  <c r="C18" i="7" s="1"/>
  <c r="F11" i="6"/>
  <c r="F47" i="13"/>
  <c r="F54" i="13" s="1"/>
  <c r="F53" i="13"/>
  <c r="F17" i="8"/>
  <c r="F24" i="8" s="1"/>
  <c r="F18" i="8"/>
  <c r="F25" i="8" s="1"/>
  <c r="F16" i="8"/>
  <c r="F23" i="8" s="1"/>
  <c r="F15" i="8"/>
  <c r="F22" i="8" s="1"/>
  <c r="F45" i="8" l="1"/>
  <c r="F53" i="8" s="1"/>
  <c r="F85" i="8"/>
  <c r="K52" i="10"/>
  <c r="K53" i="10" s="1"/>
  <c r="F54" i="10"/>
  <c r="F44" i="10"/>
  <c r="F45" i="10" s="1"/>
  <c r="Q30" i="10"/>
  <c r="Q41" i="10"/>
  <c r="R24" i="10"/>
  <c r="Q32" i="10"/>
  <c r="P51" i="10"/>
  <c r="M52" i="10" s="1"/>
  <c r="M53" i="10" s="1"/>
  <c r="P49" i="10"/>
  <c r="G42" i="10"/>
  <c r="L33" i="10"/>
  <c r="L34" i="10" s="1"/>
  <c r="N33" i="10"/>
  <c r="N34" i="10" s="1"/>
  <c r="F28" i="2"/>
  <c r="G21" i="7" s="1"/>
  <c r="F32" i="2"/>
  <c r="F21" i="6"/>
  <c r="F30" i="8"/>
  <c r="F29" i="8"/>
  <c r="F32" i="8"/>
  <c r="F39" i="8"/>
  <c r="F31" i="8"/>
  <c r="N52" i="10" l="1"/>
  <c r="N53" i="10" s="1"/>
  <c r="L52" i="10"/>
  <c r="L53" i="10" s="1"/>
  <c r="Q49" i="10"/>
  <c r="Q51" i="10"/>
  <c r="H42" i="10"/>
  <c r="R41" i="10"/>
  <c r="S24" i="10"/>
  <c r="R32" i="10"/>
  <c r="R30" i="10"/>
  <c r="G54" i="10"/>
  <c r="G44" i="10"/>
  <c r="G45" i="10" s="1"/>
  <c r="F22" i="6"/>
  <c r="F23" i="6" s="1"/>
  <c r="F24" i="6" s="1"/>
  <c r="F77" i="8"/>
  <c r="F48" i="8"/>
  <c r="F88" i="8"/>
  <c r="F80" i="8"/>
  <c r="F78" i="8"/>
  <c r="F46" i="8"/>
  <c r="F86" i="8"/>
  <c r="F79" i="8"/>
  <c r="F87" i="8"/>
  <c r="F47" i="8"/>
  <c r="F49" i="8"/>
  <c r="F57" i="8" s="1"/>
  <c r="F65" i="8" s="1"/>
  <c r="F73" i="8" s="1"/>
  <c r="F81" i="8"/>
  <c r="F89" i="8"/>
  <c r="F90" i="8" l="1"/>
  <c r="F91" i="8" s="1"/>
  <c r="R49" i="10"/>
  <c r="R51" i="10"/>
  <c r="I42" i="10"/>
  <c r="H44" i="10"/>
  <c r="H45" i="10" s="1"/>
  <c r="H54" i="10"/>
  <c r="T24" i="10"/>
  <c r="S32" i="10"/>
  <c r="S30" i="10"/>
  <c r="S41" i="10"/>
  <c r="F96" i="8"/>
  <c r="F29" i="2"/>
  <c r="G22" i="7" s="1"/>
  <c r="F97" i="8"/>
  <c r="H30" i="1"/>
  <c r="F54" i="8"/>
  <c r="F62" i="8"/>
  <c r="H32" i="1"/>
  <c r="I47" i="1" s="1"/>
  <c r="I48" i="1" s="1"/>
  <c r="F64" i="8"/>
  <c r="F56" i="8"/>
  <c r="F55" i="8"/>
  <c r="H31" i="1"/>
  <c r="F63" i="8"/>
  <c r="F95" i="8"/>
  <c r="F82" i="8"/>
  <c r="F68" i="13" s="1"/>
  <c r="F93" i="8"/>
  <c r="F94" i="8"/>
  <c r="H29" i="1"/>
  <c r="F50" i="8"/>
  <c r="F61" i="8"/>
  <c r="F66" i="8" l="1"/>
  <c r="I54" i="10"/>
  <c r="I44" i="10"/>
  <c r="I45" i="10" s="1"/>
  <c r="U24" i="10"/>
  <c r="T41" i="10"/>
  <c r="T32" i="10"/>
  <c r="T30" i="10"/>
  <c r="S51" i="10"/>
  <c r="S49" i="10"/>
  <c r="J42" i="10"/>
  <c r="H33" i="1"/>
  <c r="I38" i="1" s="1"/>
  <c r="G41" i="7"/>
  <c r="F69" i="13"/>
  <c r="F48" i="13"/>
  <c r="F55" i="13" s="1"/>
  <c r="F57" i="13" s="1"/>
  <c r="G39" i="7"/>
  <c r="G40" i="7"/>
  <c r="F98" i="8"/>
  <c r="G38" i="7" s="1"/>
  <c r="F58" i="8"/>
  <c r="G24" i="7" s="1"/>
  <c r="T49" i="10" l="1"/>
  <c r="T51" i="10"/>
  <c r="K42" i="10"/>
  <c r="U32" i="10"/>
  <c r="U30" i="10"/>
  <c r="U41" i="10"/>
  <c r="V24" i="10"/>
  <c r="J44" i="10"/>
  <c r="J45" i="10" s="1"/>
  <c r="J54" i="10"/>
  <c r="G42" i="7"/>
  <c r="G43" i="7" s="1"/>
  <c r="F49" i="13"/>
  <c r="F50" i="13"/>
  <c r="I6" i="1"/>
  <c r="U49" i="10" l="1"/>
  <c r="U51" i="10"/>
  <c r="L42" i="10"/>
  <c r="K54" i="10"/>
  <c r="K44" i="10"/>
  <c r="K45" i="10" s="1"/>
  <c r="W24" i="10"/>
  <c r="V41" i="10"/>
  <c r="V32" i="10"/>
  <c r="V30" i="10"/>
  <c r="H31" i="7"/>
  <c r="F66" i="13"/>
  <c r="G27" i="7" s="1"/>
  <c r="F56" i="13"/>
  <c r="W41" i="10" l="1"/>
  <c r="W30" i="10"/>
  <c r="X24" i="10"/>
  <c r="W32" i="10"/>
  <c r="L54" i="10"/>
  <c r="L44" i="10"/>
  <c r="L45" i="10" s="1"/>
  <c r="V51" i="10"/>
  <c r="V49" i="10"/>
  <c r="M42" i="10"/>
  <c r="F35" i="8"/>
  <c r="E35" i="8"/>
  <c r="E69" i="8" s="1"/>
  <c r="Y24" i="10" l="1"/>
  <c r="X41" i="10"/>
  <c r="X32" i="10"/>
  <c r="X30" i="10"/>
  <c r="M44" i="10"/>
  <c r="M45" i="10" s="1"/>
  <c r="M54" i="10"/>
  <c r="W49" i="10"/>
  <c r="W51" i="10"/>
  <c r="N42" i="10"/>
  <c r="F69" i="8"/>
  <c r="E6" i="8"/>
  <c r="X51" i="10" l="1"/>
  <c r="X49" i="10"/>
  <c r="N54" i="10"/>
  <c r="N44" i="10"/>
  <c r="N45" i="10" s="1"/>
  <c r="Y30" i="10"/>
  <c r="Y32" i="10"/>
  <c r="Z24" i="10"/>
  <c r="Y41" i="10"/>
  <c r="F37" i="8"/>
  <c r="F71" i="8" s="1"/>
  <c r="E37" i="8"/>
  <c r="E71" i="8" s="1"/>
  <c r="F38" i="8"/>
  <c r="F72" i="8" s="1"/>
  <c r="E38" i="8"/>
  <c r="E72" i="8" s="1"/>
  <c r="E36" i="8"/>
  <c r="F36" i="8"/>
  <c r="Z30" i="10" l="1"/>
  <c r="Z41" i="10"/>
  <c r="Z32" i="10"/>
  <c r="AA24" i="10"/>
  <c r="Y49" i="10"/>
  <c r="Y51" i="10"/>
  <c r="F40" i="8"/>
  <c r="F70" i="8"/>
  <c r="E70" i="8"/>
  <c r="E74" i="8" s="1"/>
  <c r="E30" i="2" s="1"/>
  <c r="E40" i="8"/>
  <c r="F74" i="8" l="1"/>
  <c r="F30" i="2" s="1"/>
  <c r="AA32" i="10"/>
  <c r="AA41" i="10"/>
  <c r="AA30" i="10"/>
  <c r="AB24" i="10"/>
  <c r="Z49" i="10"/>
  <c r="Z51" i="10"/>
  <c r="F23" i="7"/>
  <c r="F25" i="7" s="1"/>
  <c r="E34" i="2"/>
  <c r="F34" i="2" l="1"/>
  <c r="G23" i="7"/>
  <c r="G25" i="7" s="1"/>
  <c r="G30" i="7" s="1"/>
  <c r="G32" i="7" s="1"/>
  <c r="G37" i="7" s="1"/>
  <c r="AB32" i="10"/>
  <c r="AB30" i="10"/>
  <c r="AB41" i="10"/>
  <c r="AA51" i="10"/>
  <c r="AA49" i="10"/>
  <c r="F30" i="7"/>
  <c r="F32" i="7" s="1"/>
  <c r="F37" i="7" s="1"/>
  <c r="F36" i="7"/>
  <c r="G36" i="7" l="1"/>
  <c r="AB49" i="10"/>
  <c r="AB51" i="10"/>
  <c r="I7" i="1" l="1"/>
  <c r="J7" i="1" s="1"/>
  <c r="K7" i="1" l="1"/>
  <c r="I3" i="1"/>
  <c r="G4" i="2" s="1"/>
  <c r="G12" i="2" l="1"/>
  <c r="G41" i="2"/>
  <c r="G11" i="2"/>
  <c r="G14" i="2"/>
  <c r="G33" i="13"/>
  <c r="L7" i="1"/>
  <c r="G41" i="13" l="1"/>
  <c r="G43" i="13" s="1"/>
  <c r="G59" i="13"/>
  <c r="G62" i="13" s="1"/>
  <c r="G46" i="13"/>
  <c r="G45" i="13"/>
  <c r="G60" i="13"/>
  <c r="G63" i="13" s="1"/>
  <c r="G26" i="2"/>
  <c r="G11" i="8"/>
  <c r="G18" i="8" s="1"/>
  <c r="G25" i="8" s="1"/>
  <c r="G3" i="6"/>
  <c r="G25" i="2"/>
  <c r="G13" i="2"/>
  <c r="G24" i="2"/>
  <c r="G3" i="4"/>
  <c r="G9" i="4" s="1"/>
  <c r="G43" i="2"/>
  <c r="G44" i="2" s="1"/>
  <c r="G42" i="2"/>
  <c r="G17" i="4" l="1"/>
  <c r="G19" i="4"/>
  <c r="G18" i="4"/>
  <c r="G21" i="4" s="1"/>
  <c r="G52" i="13"/>
  <c r="G11" i="6"/>
  <c r="G10" i="6"/>
  <c r="G47" i="13"/>
  <c r="G54" i="13" s="1"/>
  <c r="G53" i="13"/>
  <c r="G15" i="8"/>
  <c r="G22" i="8" s="1"/>
  <c r="G17" i="8"/>
  <c r="G24" i="8" s="1"/>
  <c r="G16" i="8"/>
  <c r="G23" i="8" s="1"/>
  <c r="G14" i="8"/>
  <c r="G21" i="8" s="1"/>
  <c r="G21" i="6" l="1"/>
  <c r="G22" i="6" s="1"/>
  <c r="G29" i="2" s="1"/>
  <c r="H22" i="7" s="1"/>
  <c r="G35" i="8"/>
  <c r="G28" i="8"/>
  <c r="G39" i="8"/>
  <c r="G32" i="8"/>
  <c r="G37" i="8"/>
  <c r="G30" i="8"/>
  <c r="G38" i="8"/>
  <c r="G31" i="8"/>
  <c r="G29" i="8"/>
  <c r="G36" i="8"/>
  <c r="G32" i="2"/>
  <c r="G28" i="2"/>
  <c r="H21" i="7" s="1"/>
  <c r="G23" i="6" l="1"/>
  <c r="G24" i="6" s="1"/>
  <c r="G47" i="8"/>
  <c r="G79" i="8"/>
  <c r="G87" i="8"/>
  <c r="G81" i="8"/>
  <c r="G89" i="8"/>
  <c r="G49" i="8"/>
  <c r="G57" i="8" s="1"/>
  <c r="G65" i="8" s="1"/>
  <c r="G73" i="8" s="1"/>
  <c r="G77" i="8"/>
  <c r="G85" i="8"/>
  <c r="G45" i="8"/>
  <c r="G61" i="8" s="1"/>
  <c r="G86" i="8"/>
  <c r="G78" i="8"/>
  <c r="G46" i="8"/>
  <c r="G88" i="8"/>
  <c r="G80" i="8"/>
  <c r="G48" i="8"/>
  <c r="G40" i="8"/>
  <c r="G95" i="8" l="1"/>
  <c r="G96" i="8"/>
  <c r="I32" i="1"/>
  <c r="J47" i="1" s="1"/>
  <c r="J48" i="1" s="1"/>
  <c r="G64" i="8"/>
  <c r="G72" i="8" s="1"/>
  <c r="G56" i="8"/>
  <c r="G82" i="8"/>
  <c r="G68" i="13" s="1"/>
  <c r="G93" i="8"/>
  <c r="G97" i="8"/>
  <c r="I30" i="1"/>
  <c r="G62" i="8"/>
  <c r="G70" i="8" s="1"/>
  <c r="G54" i="8"/>
  <c r="G94" i="8"/>
  <c r="G53" i="8"/>
  <c r="I29" i="1"/>
  <c r="G50" i="8"/>
  <c r="G90" i="8"/>
  <c r="G63" i="8"/>
  <c r="G71" i="8" s="1"/>
  <c r="I31" i="1"/>
  <c r="G55" i="8"/>
  <c r="G58" i="8" l="1"/>
  <c r="H24" i="7" s="1"/>
  <c r="I33" i="1"/>
  <c r="H39" i="7"/>
  <c r="H40" i="7"/>
  <c r="G91" i="8"/>
  <c r="G48" i="13"/>
  <c r="H42" i="7" s="1"/>
  <c r="H43" i="7" s="1"/>
  <c r="G98" i="8"/>
  <c r="H38" i="7" s="1"/>
  <c r="G66" i="8"/>
  <c r="G69" i="8"/>
  <c r="G74" i="8" s="1"/>
  <c r="G30" i="2" s="1"/>
  <c r="H41" i="7"/>
  <c r="G69" i="13"/>
  <c r="J38" i="1" l="1"/>
  <c r="J6" i="1" s="1"/>
  <c r="J3" i="1" s="1"/>
  <c r="H4" i="2" s="1"/>
  <c r="I12" i="1"/>
  <c r="H23" i="7"/>
  <c r="G34" i="2"/>
  <c r="G55" i="13"/>
  <c r="G49" i="13"/>
  <c r="G50" i="13"/>
  <c r="H11" i="2" l="1"/>
  <c r="H41" i="2"/>
  <c r="H33" i="13"/>
  <c r="H14" i="2"/>
  <c r="H12" i="2"/>
  <c r="H25" i="7"/>
  <c r="I5" i="1"/>
  <c r="I31" i="7"/>
  <c r="G56" i="13"/>
  <c r="G57" i="13"/>
  <c r="G66" i="13" s="1"/>
  <c r="H13" i="2" l="1"/>
  <c r="H25" i="2"/>
  <c r="H3" i="6"/>
  <c r="H11" i="8"/>
  <c r="H26" i="2"/>
  <c r="H60" i="13"/>
  <c r="H63" i="13" s="1"/>
  <c r="H41" i="13"/>
  <c r="H43" i="13" s="1"/>
  <c r="H59" i="13"/>
  <c r="H62" i="13" s="1"/>
  <c r="H45" i="13"/>
  <c r="H46" i="13"/>
  <c r="H42" i="2"/>
  <c r="H43" i="2"/>
  <c r="H44" i="2" s="1"/>
  <c r="H24" i="2"/>
  <c r="H3" i="4"/>
  <c r="H9" i="4" s="1"/>
  <c r="H36" i="7"/>
  <c r="H30" i="7"/>
  <c r="H27" i="7"/>
  <c r="H15" i="8" l="1"/>
  <c r="H22" i="8" s="1"/>
  <c r="H18" i="8"/>
  <c r="H25" i="8" s="1"/>
  <c r="H14" i="8"/>
  <c r="H21" i="8" s="1"/>
  <c r="H17" i="8"/>
  <c r="H24" i="8" s="1"/>
  <c r="H16" i="8"/>
  <c r="H23" i="8" s="1"/>
  <c r="H19" i="4"/>
  <c r="H18" i="4"/>
  <c r="H21" i="4" s="1"/>
  <c r="H17" i="4"/>
  <c r="H10" i="6"/>
  <c r="H11" i="6"/>
  <c r="H53" i="13"/>
  <c r="H47" i="13"/>
  <c r="H54" i="13" s="1"/>
  <c r="H52" i="13"/>
  <c r="H32" i="7"/>
  <c r="H37" i="7" s="1"/>
  <c r="H28" i="2" l="1"/>
  <c r="I21" i="7" s="1"/>
  <c r="H32" i="2"/>
  <c r="H37" i="8"/>
  <c r="H30" i="8"/>
  <c r="H38" i="8"/>
  <c r="H31" i="8"/>
  <c r="H35" i="8"/>
  <c r="H28" i="8"/>
  <c r="H39" i="8"/>
  <c r="H32" i="8"/>
  <c r="H21" i="6"/>
  <c r="H22" i="6" s="1"/>
  <c r="H36" i="8"/>
  <c r="H29" i="8"/>
  <c r="H23" i="6" l="1"/>
  <c r="H24" i="6" s="1"/>
  <c r="H29" i="2"/>
  <c r="I22" i="7" s="1"/>
  <c r="H45" i="8"/>
  <c r="H77" i="8"/>
  <c r="H85" i="8"/>
  <c r="H49" i="8"/>
  <c r="H57" i="8" s="1"/>
  <c r="H65" i="8" s="1"/>
  <c r="H73" i="8" s="1"/>
  <c r="H89" i="8"/>
  <c r="H81" i="8"/>
  <c r="H79" i="8"/>
  <c r="H47" i="8"/>
  <c r="H87" i="8"/>
  <c r="H86" i="8"/>
  <c r="H78" i="8"/>
  <c r="H46" i="8"/>
  <c r="H40" i="8"/>
  <c r="H80" i="8"/>
  <c r="H88" i="8"/>
  <c r="H48" i="8"/>
  <c r="H97" i="8" l="1"/>
  <c r="H96" i="8"/>
  <c r="H90" i="8"/>
  <c r="H93" i="8"/>
  <c r="H82" i="8"/>
  <c r="H68" i="13" s="1"/>
  <c r="H61" i="8"/>
  <c r="H50" i="8"/>
  <c r="H53" i="8"/>
  <c r="J29" i="1"/>
  <c r="H62" i="8"/>
  <c r="H70" i="8" s="1"/>
  <c r="J30" i="1"/>
  <c r="H54" i="8"/>
  <c r="J32" i="1"/>
  <c r="K47" i="1" s="1"/>
  <c r="K48" i="1" s="1"/>
  <c r="H56" i="8"/>
  <c r="H64" i="8"/>
  <c r="H72" i="8" s="1"/>
  <c r="H63" i="8"/>
  <c r="H71" i="8" s="1"/>
  <c r="J31" i="1"/>
  <c r="H55" i="8"/>
  <c r="H94" i="8"/>
  <c r="H95" i="8"/>
  <c r="J33" i="1" l="1"/>
  <c r="K38" i="1" s="1"/>
  <c r="K6" i="1" s="1"/>
  <c r="K3" i="1" s="1"/>
  <c r="I4" i="2" s="1"/>
  <c r="I40" i="7"/>
  <c r="I39" i="7"/>
  <c r="H69" i="8"/>
  <c r="H74" i="8" s="1"/>
  <c r="H30" i="2" s="1"/>
  <c r="H66" i="8"/>
  <c r="H69" i="13"/>
  <c r="I41" i="7"/>
  <c r="H98" i="8"/>
  <c r="I38" i="7" s="1"/>
  <c r="H58" i="8"/>
  <c r="I24" i="7" s="1"/>
  <c r="H91" i="8"/>
  <c r="H48" i="13"/>
  <c r="J12" i="1" l="1"/>
  <c r="J5" i="1" s="1"/>
  <c r="I14" i="2"/>
  <c r="I12" i="2"/>
  <c r="I11" i="2"/>
  <c r="I41" i="2"/>
  <c r="I33" i="13"/>
  <c r="I42" i="7"/>
  <c r="I43" i="7" s="1"/>
  <c r="H55" i="13"/>
  <c r="H49" i="13"/>
  <c r="H50" i="13"/>
  <c r="I23" i="7"/>
  <c r="I25" i="7" s="1"/>
  <c r="H34" i="2"/>
  <c r="J31" i="7" l="1"/>
  <c r="I43" i="2"/>
  <c r="I44" i="2" s="1"/>
  <c r="I42" i="2"/>
  <c r="I13" i="2"/>
  <c r="I25" i="2"/>
  <c r="I3" i="6"/>
  <c r="I30" i="7"/>
  <c r="I32" i="7" s="1"/>
  <c r="I37" i="7" s="1"/>
  <c r="I36" i="7"/>
  <c r="I11" i="8"/>
  <c r="I26" i="2"/>
  <c r="I60" i="13"/>
  <c r="I63" i="13" s="1"/>
  <c r="I45" i="13"/>
  <c r="I59" i="13"/>
  <c r="I62" i="13" s="1"/>
  <c r="I41" i="13"/>
  <c r="I43" i="13" s="1"/>
  <c r="I46" i="13"/>
  <c r="I24" i="2"/>
  <c r="I3" i="4"/>
  <c r="I9" i="4" s="1"/>
  <c r="H56" i="13"/>
  <c r="H57" i="13"/>
  <c r="H66" i="13" s="1"/>
  <c r="I27" i="7" l="1"/>
  <c r="I47" i="13"/>
  <c r="I54" i="13" s="1"/>
  <c r="I53" i="13"/>
  <c r="I17" i="4"/>
  <c r="I18" i="4"/>
  <c r="I19" i="4"/>
  <c r="I11" i="6"/>
  <c r="I10" i="6"/>
  <c r="I52" i="13"/>
  <c r="I15" i="8"/>
  <c r="I22" i="8" s="1"/>
  <c r="I18" i="8"/>
  <c r="I25" i="8" s="1"/>
  <c r="I17" i="8"/>
  <c r="I24" i="8" s="1"/>
  <c r="I14" i="8"/>
  <c r="I21" i="8" s="1"/>
  <c r="I16" i="8"/>
  <c r="I23" i="8" s="1"/>
  <c r="I21" i="4" l="1"/>
  <c r="I28" i="2" s="1"/>
  <c r="J21" i="7" s="1"/>
  <c r="I21" i="6"/>
  <c r="I22" i="6" s="1"/>
  <c r="I23" i="6" s="1"/>
  <c r="I24" i="6" s="1"/>
  <c r="I37" i="8"/>
  <c r="I30" i="8"/>
  <c r="I35" i="8"/>
  <c r="I28" i="8"/>
  <c r="I32" i="8"/>
  <c r="I39" i="8"/>
  <c r="I36" i="8"/>
  <c r="I29" i="8"/>
  <c r="I38" i="8"/>
  <c r="I31" i="8"/>
  <c r="I32" i="2" l="1"/>
  <c r="I29" i="2"/>
  <c r="J22" i="7" s="1"/>
  <c r="I85" i="8"/>
  <c r="I45" i="8"/>
  <c r="I77" i="8"/>
  <c r="I47" i="8"/>
  <c r="I79" i="8"/>
  <c r="I87" i="8"/>
  <c r="I88" i="8"/>
  <c r="I80" i="8"/>
  <c r="I48" i="8"/>
  <c r="I86" i="8"/>
  <c r="I46" i="8"/>
  <c r="I78" i="8"/>
  <c r="I94" i="8" s="1"/>
  <c r="I49" i="8"/>
  <c r="I57" i="8" s="1"/>
  <c r="I65" i="8" s="1"/>
  <c r="I73" i="8" s="1"/>
  <c r="I89" i="8"/>
  <c r="I81" i="8"/>
  <c r="I40" i="8"/>
  <c r="I97" i="8" l="1"/>
  <c r="I96" i="8"/>
  <c r="I95" i="8"/>
  <c r="I63" i="8"/>
  <c r="I71" i="8" s="1"/>
  <c r="K31" i="1"/>
  <c r="I55" i="8"/>
  <c r="K30" i="1"/>
  <c r="I54" i="8"/>
  <c r="I62" i="8"/>
  <c r="I70" i="8" s="1"/>
  <c r="I82" i="8"/>
  <c r="I68" i="13" s="1"/>
  <c r="I93" i="8"/>
  <c r="I61" i="8"/>
  <c r="K29" i="1"/>
  <c r="I50" i="8"/>
  <c r="I53" i="8"/>
  <c r="I56" i="8"/>
  <c r="K32" i="1"/>
  <c r="L47" i="1" s="1"/>
  <c r="L48" i="1" s="1"/>
  <c r="I64" i="8"/>
  <c r="I72" i="8" s="1"/>
  <c r="I90" i="8"/>
  <c r="I98" i="8" l="1"/>
  <c r="J38" i="7" s="1"/>
  <c r="I58" i="8"/>
  <c r="J24" i="7" s="1"/>
  <c r="J41" i="7"/>
  <c r="I69" i="13"/>
  <c r="J39" i="7"/>
  <c r="J40" i="7"/>
  <c r="K33" i="1"/>
  <c r="I48" i="13"/>
  <c r="I91" i="8"/>
  <c r="I66" i="8"/>
  <c r="I69" i="8"/>
  <c r="I74" i="8" s="1"/>
  <c r="I30" i="2" s="1"/>
  <c r="I49" i="13" l="1"/>
  <c r="J42" i="7"/>
  <c r="J43" i="7" s="1"/>
  <c r="I55" i="13"/>
  <c r="I50" i="13"/>
  <c r="K12" i="1"/>
  <c r="L38" i="1"/>
  <c r="L6" i="1" s="1"/>
  <c r="L3" i="1" s="1"/>
  <c r="J4" i="2" s="1"/>
  <c r="I34" i="2"/>
  <c r="J23" i="7"/>
  <c r="J25" i="7" s="1"/>
  <c r="J30" i="7" l="1"/>
  <c r="J32" i="7" s="1"/>
  <c r="J37" i="7" s="1"/>
  <c r="J36" i="7"/>
  <c r="I56" i="13"/>
  <c r="I57" i="13"/>
  <c r="I66" i="13" s="1"/>
  <c r="K5" i="1"/>
  <c r="K31" i="7"/>
  <c r="J41" i="2"/>
  <c r="J33" i="13"/>
  <c r="J14" i="2"/>
  <c r="J12" i="2"/>
  <c r="J11" i="2"/>
  <c r="J27" i="7" l="1"/>
  <c r="J43" i="2"/>
  <c r="J44" i="2" s="1"/>
  <c r="J42" i="2"/>
  <c r="J3" i="4"/>
  <c r="J9" i="4" s="1"/>
  <c r="J24" i="2"/>
  <c r="J59" i="13"/>
  <c r="J62" i="13" s="1"/>
  <c r="J60" i="13"/>
  <c r="J63" i="13" s="1"/>
  <c r="J46" i="13"/>
  <c r="J45" i="13"/>
  <c r="J41" i="13"/>
  <c r="J43" i="13" s="1"/>
  <c r="J25" i="2"/>
  <c r="J13" i="2"/>
  <c r="J3" i="6"/>
  <c r="J11" i="6" s="1"/>
  <c r="J11" i="8"/>
  <c r="J26" i="2"/>
  <c r="J10" i="6" l="1"/>
  <c r="J21" i="6" s="1"/>
  <c r="J22" i="6" s="1"/>
  <c r="J53" i="13"/>
  <c r="J47" i="13"/>
  <c r="J54" i="13" s="1"/>
  <c r="J17" i="4"/>
  <c r="J18" i="4"/>
  <c r="J21" i="4" s="1"/>
  <c r="J19" i="4"/>
  <c r="J17" i="8"/>
  <c r="J24" i="8" s="1"/>
  <c r="J16" i="8"/>
  <c r="J23" i="8" s="1"/>
  <c r="J15" i="8"/>
  <c r="J22" i="8" s="1"/>
  <c r="J14" i="8"/>
  <c r="J21" i="8" s="1"/>
  <c r="J18" i="8"/>
  <c r="J25" i="8" s="1"/>
  <c r="J52" i="13"/>
  <c r="J38" i="8" l="1"/>
  <c r="J31" i="8"/>
  <c r="J32" i="8"/>
  <c r="J39" i="8"/>
  <c r="J32" i="2"/>
  <c r="J28" i="2"/>
  <c r="K21" i="7" s="1"/>
  <c r="J35" i="8"/>
  <c r="J28" i="8"/>
  <c r="J29" i="2"/>
  <c r="K22" i="7" s="1"/>
  <c r="J23" i="6"/>
  <c r="J24" i="6" s="1"/>
  <c r="J36" i="8"/>
  <c r="J29" i="8"/>
  <c r="J37" i="8"/>
  <c r="J30" i="8"/>
  <c r="J40" i="8" l="1"/>
  <c r="J78" i="8"/>
  <c r="J46" i="8"/>
  <c r="J86" i="8"/>
  <c r="J85" i="8"/>
  <c r="J77" i="8"/>
  <c r="J45" i="8"/>
  <c r="J89" i="8"/>
  <c r="J81" i="8"/>
  <c r="J49" i="8"/>
  <c r="J57" i="8" s="1"/>
  <c r="J65" i="8" s="1"/>
  <c r="J73" i="8" s="1"/>
  <c r="J79" i="8"/>
  <c r="J87" i="8"/>
  <c r="J47" i="8"/>
  <c r="J80" i="8"/>
  <c r="J48" i="8"/>
  <c r="J88" i="8"/>
  <c r="J94" i="8" l="1"/>
  <c r="J90" i="8"/>
  <c r="L32" i="1"/>
  <c r="M47" i="1" s="1"/>
  <c r="M48" i="1" s="1"/>
  <c r="J64" i="8"/>
  <c r="J72" i="8" s="1"/>
  <c r="J56" i="8"/>
  <c r="J96" i="8"/>
  <c r="J95" i="8"/>
  <c r="J54" i="8"/>
  <c r="L30" i="1"/>
  <c r="J62" i="8"/>
  <c r="J70" i="8" s="1"/>
  <c r="J53" i="8"/>
  <c r="J61" i="8"/>
  <c r="L29" i="1"/>
  <c r="J50" i="8"/>
  <c r="J93" i="8"/>
  <c r="J82" i="8"/>
  <c r="J68" i="13" s="1"/>
  <c r="J63" i="8"/>
  <c r="J71" i="8" s="1"/>
  <c r="L31" i="1"/>
  <c r="J55" i="8"/>
  <c r="J97" i="8"/>
  <c r="J98" i="8" l="1"/>
  <c r="K38" i="7" s="1"/>
  <c r="K39" i="7"/>
  <c r="K40" i="7"/>
  <c r="K41" i="7"/>
  <c r="J69" i="13"/>
  <c r="L33" i="1"/>
  <c r="J69" i="8"/>
  <c r="J74" i="8" s="1"/>
  <c r="J30" i="2" s="1"/>
  <c r="J66" i="8"/>
  <c r="J58" i="8"/>
  <c r="K24" i="7" s="1"/>
  <c r="J91" i="8"/>
  <c r="J48" i="13"/>
  <c r="K23" i="7" l="1"/>
  <c r="K25" i="7" s="1"/>
  <c r="J34" i="2"/>
  <c r="M38" i="1"/>
  <c r="M6" i="1" s="1"/>
  <c r="M3" i="1" s="1"/>
  <c r="K4" i="2" s="1"/>
  <c r="L12" i="1"/>
  <c r="J49" i="13"/>
  <c r="J55" i="13"/>
  <c r="K42" i="7"/>
  <c r="K43" i="7" s="1"/>
  <c r="J50" i="13"/>
  <c r="L31" i="7" l="1"/>
  <c r="L5" i="1"/>
  <c r="K12" i="2"/>
  <c r="K14" i="2"/>
  <c r="K33" i="13"/>
  <c r="K11" i="2"/>
  <c r="K41" i="2"/>
  <c r="J56" i="13"/>
  <c r="J57" i="13"/>
  <c r="J66" i="13" s="1"/>
  <c r="K30" i="7"/>
  <c r="K32" i="7" s="1"/>
  <c r="K37" i="7" s="1"/>
  <c r="K36" i="7"/>
  <c r="K27" i="7" l="1"/>
  <c r="K24" i="2"/>
  <c r="K3" i="4"/>
  <c r="K9" i="4" s="1"/>
  <c r="K45" i="13"/>
  <c r="K60" i="13"/>
  <c r="K63" i="13" s="1"/>
  <c r="K59" i="13"/>
  <c r="K62" i="13" s="1"/>
  <c r="K46" i="13"/>
  <c r="K41" i="13"/>
  <c r="K43" i="13" s="1"/>
  <c r="K26" i="2"/>
  <c r="K11" i="8"/>
  <c r="K42" i="2"/>
  <c r="K43" i="2"/>
  <c r="K44" i="2" s="1"/>
  <c r="K3" i="6"/>
  <c r="K25" i="2"/>
  <c r="K13" i="2"/>
  <c r="K11" i="6" l="1"/>
  <c r="K10" i="6"/>
  <c r="K47" i="13"/>
  <c r="K54" i="13" s="1"/>
  <c r="K53" i="13"/>
  <c r="K52" i="13"/>
  <c r="K19" i="4"/>
  <c r="K17" i="4"/>
  <c r="K18" i="4"/>
  <c r="K21" i="4" s="1"/>
  <c r="K17" i="8"/>
  <c r="K24" i="8" s="1"/>
  <c r="K14" i="8"/>
  <c r="K21" i="8" s="1"/>
  <c r="K15" i="8"/>
  <c r="K22" i="8" s="1"/>
  <c r="K16" i="8"/>
  <c r="K23" i="8" s="1"/>
  <c r="K18" i="8"/>
  <c r="K25" i="8" s="1"/>
  <c r="K21" i="6" l="1"/>
  <c r="K22" i="6" s="1"/>
  <c r="K23" i="6" s="1"/>
  <c r="K24" i="6" s="1"/>
  <c r="K37" i="8"/>
  <c r="K30" i="8"/>
  <c r="K39" i="8"/>
  <c r="K32" i="8"/>
  <c r="K36" i="8"/>
  <c r="K29" i="8"/>
  <c r="K35" i="8"/>
  <c r="K28" i="8"/>
  <c r="K38" i="8"/>
  <c r="K31" i="8"/>
  <c r="K28" i="2"/>
  <c r="L21" i="7" s="1"/>
  <c r="K32" i="2"/>
  <c r="K29" i="2" l="1"/>
  <c r="L22" i="7" s="1"/>
  <c r="K89" i="8"/>
  <c r="K81" i="8"/>
  <c r="K49" i="8"/>
  <c r="K57" i="8" s="1"/>
  <c r="K65" i="8" s="1"/>
  <c r="K73" i="8" s="1"/>
  <c r="K78" i="8"/>
  <c r="K46" i="8"/>
  <c r="K86" i="8"/>
  <c r="K79" i="8"/>
  <c r="K87" i="8"/>
  <c r="K47" i="8"/>
  <c r="K40" i="8"/>
  <c r="K77" i="8"/>
  <c r="K85" i="8"/>
  <c r="K45" i="8"/>
  <c r="K88" i="8"/>
  <c r="K80" i="8"/>
  <c r="K48" i="8"/>
  <c r="K95" i="8" l="1"/>
  <c r="K97" i="8"/>
  <c r="K54" i="8"/>
  <c r="K62" i="8"/>
  <c r="K70" i="8" s="1"/>
  <c r="M30" i="1"/>
  <c r="K90" i="8"/>
  <c r="K94" i="8"/>
  <c r="K96" i="8"/>
  <c r="K64" i="8"/>
  <c r="K72" i="8" s="1"/>
  <c r="M32" i="1"/>
  <c r="N47" i="1" s="1"/>
  <c r="N48" i="1" s="1"/>
  <c r="K56" i="8"/>
  <c r="K61" i="8"/>
  <c r="K50" i="8"/>
  <c r="M29" i="1"/>
  <c r="K53" i="8"/>
  <c r="K82" i="8"/>
  <c r="K68" i="13" s="1"/>
  <c r="K93" i="8"/>
  <c r="K55" i="8"/>
  <c r="K63" i="8"/>
  <c r="K71" i="8" s="1"/>
  <c r="M31" i="1"/>
  <c r="K98" i="8" l="1"/>
  <c r="L38" i="7" s="1"/>
  <c r="K58" i="8"/>
  <c r="L24" i="7" s="1"/>
  <c r="M33" i="1"/>
  <c r="K48" i="13"/>
  <c r="K91" i="8"/>
  <c r="L40" i="7"/>
  <c r="L39" i="7"/>
  <c r="K69" i="8"/>
  <c r="K74" i="8" s="1"/>
  <c r="K30" i="2" s="1"/>
  <c r="K66" i="8"/>
  <c r="L41" i="7"/>
  <c r="K69" i="13"/>
  <c r="K55" i="13" l="1"/>
  <c r="K49" i="13"/>
  <c r="L42" i="7"/>
  <c r="L43" i="7" s="1"/>
  <c r="K50" i="13"/>
  <c r="N38" i="1"/>
  <c r="N6" i="1" s="1"/>
  <c r="M12" i="1"/>
  <c r="K34" i="2"/>
  <c r="L23" i="7"/>
  <c r="L25" i="7" s="1"/>
  <c r="L36" i="7" l="1"/>
  <c r="L30" i="7"/>
  <c r="L32" i="7" s="1"/>
  <c r="L37" i="7" s="1"/>
  <c r="M31" i="7"/>
  <c r="M5" i="1"/>
  <c r="N7" i="1"/>
  <c r="N3" i="1"/>
  <c r="L4" i="2" s="1"/>
  <c r="K56" i="13"/>
  <c r="K57" i="13"/>
  <c r="K66" i="13" s="1"/>
  <c r="L27" i="7" s="1"/>
  <c r="L33" i="13" l="1"/>
  <c r="L12" i="2"/>
  <c r="L41" i="2"/>
  <c r="L14" i="2"/>
  <c r="L11" i="2"/>
  <c r="L11" i="8" l="1"/>
  <c r="L26" i="2"/>
  <c r="L43" i="2"/>
  <c r="L44" i="2" s="1"/>
  <c r="L42" i="2"/>
  <c r="L13" i="2"/>
  <c r="L3" i="6"/>
  <c r="L25" i="2"/>
  <c r="L3" i="4"/>
  <c r="L9" i="4" s="1"/>
  <c r="L24" i="2"/>
  <c r="L60" i="13"/>
  <c r="L63" i="13" s="1"/>
  <c r="L46" i="13"/>
  <c r="L59" i="13"/>
  <c r="L62" i="13" s="1"/>
  <c r="L45" i="13"/>
  <c r="L41" i="13"/>
  <c r="L43" i="13" s="1"/>
  <c r="L19" i="4" l="1"/>
  <c r="L18" i="4"/>
  <c r="L21" i="4" s="1"/>
  <c r="L17" i="4"/>
  <c r="L11" i="6"/>
  <c r="L10" i="6"/>
  <c r="L47" i="13"/>
  <c r="L54" i="13" s="1"/>
  <c r="L53" i="13"/>
  <c r="L52" i="13"/>
  <c r="L16" i="8"/>
  <c r="L23" i="8" s="1"/>
  <c r="L15" i="8"/>
  <c r="L22" i="8" s="1"/>
  <c r="L18" i="8"/>
  <c r="L25" i="8" s="1"/>
  <c r="L14" i="8"/>
  <c r="L21" i="8" s="1"/>
  <c r="L17" i="8"/>
  <c r="L24" i="8" s="1"/>
  <c r="L21" i="6" l="1"/>
  <c r="L22" i="6" s="1"/>
  <c r="L23" i="6" s="1"/>
  <c r="L24" i="6" s="1"/>
  <c r="L38" i="8"/>
  <c r="L31" i="8"/>
  <c r="L35" i="8"/>
  <c r="L28" i="8"/>
  <c r="L39" i="8"/>
  <c r="L32" i="8"/>
  <c r="L36" i="8"/>
  <c r="L29" i="8"/>
  <c r="L32" i="2"/>
  <c r="L28" i="2"/>
  <c r="M21" i="7" s="1"/>
  <c r="L37" i="8"/>
  <c r="L30" i="8"/>
  <c r="L29" i="2" l="1"/>
  <c r="M22" i="7" s="1"/>
  <c r="L46" i="8"/>
  <c r="L86" i="8"/>
  <c r="L78" i="8"/>
  <c r="L80" i="8"/>
  <c r="L88" i="8"/>
  <c r="L48" i="8"/>
  <c r="L77" i="8"/>
  <c r="L45" i="8"/>
  <c r="L85" i="8"/>
  <c r="L81" i="8"/>
  <c r="L49" i="8"/>
  <c r="L57" i="8" s="1"/>
  <c r="L65" i="8" s="1"/>
  <c r="L73" i="8" s="1"/>
  <c r="L89" i="8"/>
  <c r="L47" i="8"/>
  <c r="L87" i="8"/>
  <c r="L79" i="8"/>
  <c r="L40" i="8"/>
  <c r="L94" i="8" l="1"/>
  <c r="L56" i="8"/>
  <c r="N32" i="1"/>
  <c r="O47" i="1" s="1"/>
  <c r="O48" i="1" s="1"/>
  <c r="L64" i="8"/>
  <c r="L72" i="8" s="1"/>
  <c r="L96" i="8"/>
  <c r="L90" i="8"/>
  <c r="L62" i="8"/>
  <c r="L70" i="8" s="1"/>
  <c r="N30" i="1"/>
  <c r="L54" i="8"/>
  <c r="L63" i="8"/>
  <c r="L71" i="8" s="1"/>
  <c r="N31" i="1"/>
  <c r="L55" i="8"/>
  <c r="L97" i="8"/>
  <c r="L61" i="8"/>
  <c r="N29" i="1"/>
  <c r="L53" i="8"/>
  <c r="L50" i="8"/>
  <c r="L95" i="8"/>
  <c r="L93" i="8"/>
  <c r="L82" i="8"/>
  <c r="L68" i="13" s="1"/>
  <c r="N33" i="1" l="1"/>
  <c r="N12" i="1" s="1"/>
  <c r="L48" i="13"/>
  <c r="L91" i="8"/>
  <c r="L58" i="8"/>
  <c r="M24" i="7" s="1"/>
  <c r="M41" i="7"/>
  <c r="L69" i="13"/>
  <c r="L98" i="8"/>
  <c r="M38" i="7" s="1"/>
  <c r="M40" i="7"/>
  <c r="M39" i="7"/>
  <c r="L69" i="8"/>
  <c r="L74" i="8" s="1"/>
  <c r="L30" i="2" s="1"/>
  <c r="L66" i="8"/>
  <c r="O38" i="1" l="1"/>
  <c r="O6" i="1" s="1"/>
  <c r="O7" i="1" s="1"/>
  <c r="O3" i="1" s="1"/>
  <c r="M4" i="2" s="1"/>
  <c r="M14" i="2" s="1"/>
  <c r="L34" i="2"/>
  <c r="M23" i="7"/>
  <c r="N31" i="7"/>
  <c r="N5" i="1"/>
  <c r="M42" i="7"/>
  <c r="L55" i="13"/>
  <c r="L49" i="13"/>
  <c r="L50" i="13"/>
  <c r="M33" i="13" l="1"/>
  <c r="M41" i="13" s="1"/>
  <c r="M43" i="13" s="1"/>
  <c r="M41" i="2"/>
  <c r="M42" i="2" s="1"/>
  <c r="M12" i="2"/>
  <c r="M3" i="6" s="1"/>
  <c r="M11" i="2"/>
  <c r="M24" i="2" s="1"/>
  <c r="L56" i="13"/>
  <c r="L57" i="13"/>
  <c r="L66" i="13" s="1"/>
  <c r="M25" i="7"/>
  <c r="M43" i="7"/>
  <c r="M26" i="2"/>
  <c r="M11" i="8"/>
  <c r="M3" i="4" l="1"/>
  <c r="M9" i="4" s="1"/>
  <c r="M13" i="2"/>
  <c r="M25" i="2"/>
  <c r="M60" i="13"/>
  <c r="M63" i="13" s="1"/>
  <c r="M45" i="13"/>
  <c r="M43" i="2"/>
  <c r="M44" i="2" s="1"/>
  <c r="M59" i="13"/>
  <c r="M62" i="13" s="1"/>
  <c r="M46" i="13"/>
  <c r="M27" i="7"/>
  <c r="M15" i="8"/>
  <c r="M22" i="8" s="1"/>
  <c r="M14" i="8"/>
  <c r="M21" i="8" s="1"/>
  <c r="M17" i="8"/>
  <c r="M24" i="8" s="1"/>
  <c r="M16" i="8"/>
  <c r="M23" i="8" s="1"/>
  <c r="M18" i="8"/>
  <c r="M25" i="8" s="1"/>
  <c r="M52" i="13"/>
  <c r="M30" i="7"/>
  <c r="M36" i="7"/>
  <c r="M17" i="4"/>
  <c r="M19" i="4"/>
  <c r="M18" i="4"/>
  <c r="M11" i="6"/>
  <c r="M10" i="6"/>
  <c r="M47" i="13" l="1"/>
  <c r="M54" i="13" s="1"/>
  <c r="M53" i="13"/>
  <c r="M21" i="4"/>
  <c r="M32" i="2" s="1"/>
  <c r="M37" i="8"/>
  <c r="M30" i="8"/>
  <c r="M36" i="8"/>
  <c r="M29" i="8"/>
  <c r="M32" i="7"/>
  <c r="M37" i="7" s="1"/>
  <c r="M38" i="8"/>
  <c r="M31" i="8"/>
  <c r="M21" i="6"/>
  <c r="M22" i="6" s="1"/>
  <c r="M35" i="8"/>
  <c r="M28" i="8"/>
  <c r="M39" i="8"/>
  <c r="M32" i="8"/>
  <c r="M28" i="2" l="1"/>
  <c r="N21" i="7" s="1"/>
  <c r="M45" i="8"/>
  <c r="M85" i="8"/>
  <c r="M77" i="8"/>
  <c r="M47" i="8"/>
  <c r="M79" i="8"/>
  <c r="M87" i="8"/>
  <c r="M40" i="8"/>
  <c r="M29" i="2"/>
  <c r="N22" i="7" s="1"/>
  <c r="M23" i="6"/>
  <c r="M24" i="6" s="1"/>
  <c r="M88" i="8"/>
  <c r="M48" i="8"/>
  <c r="M80" i="8"/>
  <c r="M49" i="8"/>
  <c r="M57" i="8" s="1"/>
  <c r="M65" i="8" s="1"/>
  <c r="M73" i="8" s="1"/>
  <c r="M89" i="8"/>
  <c r="M81" i="8"/>
  <c r="M86" i="8"/>
  <c r="M46" i="8"/>
  <c r="M78" i="8"/>
  <c r="M95" i="8" l="1"/>
  <c r="M94" i="8"/>
  <c r="M96" i="8"/>
  <c r="M55" i="8"/>
  <c r="O31" i="1"/>
  <c r="M63" i="8"/>
  <c r="M71" i="8" s="1"/>
  <c r="M56" i="8"/>
  <c r="M64" i="8"/>
  <c r="M72" i="8" s="1"/>
  <c r="O32" i="1"/>
  <c r="P47" i="1" s="1"/>
  <c r="P48" i="1" s="1"/>
  <c r="M62" i="8"/>
  <c r="M70" i="8" s="1"/>
  <c r="O30" i="1"/>
  <c r="M54" i="8"/>
  <c r="M82" i="8"/>
  <c r="M68" i="13" s="1"/>
  <c r="M93" i="8"/>
  <c r="M90" i="8"/>
  <c r="M97" i="8"/>
  <c r="O29" i="1"/>
  <c r="M53" i="8"/>
  <c r="M61" i="8"/>
  <c r="M50" i="8"/>
  <c r="M58" i="8" l="1"/>
  <c r="N24" i="7" s="1"/>
  <c r="M91" i="8"/>
  <c r="M48" i="13"/>
  <c r="M66" i="8"/>
  <c r="M69" i="8"/>
  <c r="M74" i="8" s="1"/>
  <c r="M30" i="2" s="1"/>
  <c r="M98" i="8"/>
  <c r="N38" i="7" s="1"/>
  <c r="N41" i="7"/>
  <c r="M69" i="13"/>
  <c r="O33" i="1"/>
  <c r="N40" i="7"/>
  <c r="N39" i="7"/>
  <c r="M34" i="2" l="1"/>
  <c r="N23" i="7"/>
  <c r="N42" i="7"/>
  <c r="M49" i="13"/>
  <c r="M55" i="13"/>
  <c r="M50" i="13"/>
  <c r="O12" i="1"/>
  <c r="P38" i="1"/>
  <c r="P6" i="1" s="1"/>
  <c r="P7" i="1" s="1"/>
  <c r="P3" i="1" s="1"/>
  <c r="N4" i="2" s="1"/>
  <c r="N41" i="2" l="1"/>
  <c r="N33" i="13"/>
  <c r="N11" i="2"/>
  <c r="N14" i="2"/>
  <c r="N12" i="2"/>
  <c r="M56" i="13"/>
  <c r="M57" i="13"/>
  <c r="M66" i="13" s="1"/>
  <c r="N43" i="7"/>
  <c r="O5" i="1"/>
  <c r="O31" i="7"/>
  <c r="N25" i="7"/>
  <c r="N11" i="8" l="1"/>
  <c r="N26" i="2"/>
  <c r="N13" i="2"/>
  <c r="N3" i="6"/>
  <c r="N25" i="2"/>
  <c r="N3" i="4"/>
  <c r="N9" i="4" s="1"/>
  <c r="N24" i="2"/>
  <c r="N27" i="7"/>
  <c r="N36" i="7"/>
  <c r="N30" i="7"/>
  <c r="N41" i="13"/>
  <c r="N43" i="13" s="1"/>
  <c r="N60" i="13"/>
  <c r="N63" i="13" s="1"/>
  <c r="N45" i="13"/>
  <c r="N59" i="13"/>
  <c r="N62" i="13" s="1"/>
  <c r="H6" i="13" s="1"/>
  <c r="N46" i="13"/>
  <c r="N42" i="2"/>
  <c r="N43" i="2"/>
  <c r="N44" i="2" s="1"/>
  <c r="N10" i="6" l="1"/>
  <c r="N11" i="6"/>
  <c r="N32" i="7"/>
  <c r="N37" i="7" s="1"/>
  <c r="N17" i="4"/>
  <c r="N19" i="4"/>
  <c r="N18" i="4"/>
  <c r="N21" i="4" s="1"/>
  <c r="N52" i="13"/>
  <c r="N47" i="13"/>
  <c r="N54" i="13" s="1"/>
  <c r="N53" i="13"/>
  <c r="N18" i="8"/>
  <c r="N25" i="8" s="1"/>
  <c r="N17" i="8"/>
  <c r="N24" i="8" s="1"/>
  <c r="N15" i="8"/>
  <c r="N22" i="8" s="1"/>
  <c r="N16" i="8"/>
  <c r="N23" i="8" s="1"/>
  <c r="N14" i="8"/>
  <c r="N21" i="8" s="1"/>
  <c r="N37" i="8" l="1"/>
  <c r="N30" i="8"/>
  <c r="N38" i="8"/>
  <c r="N31" i="8"/>
  <c r="N36" i="8"/>
  <c r="N29" i="8"/>
  <c r="N39" i="8"/>
  <c r="N32" i="8"/>
  <c r="N32" i="2"/>
  <c r="N28" i="2"/>
  <c r="O21" i="7" s="1"/>
  <c r="N35" i="8"/>
  <c r="N28" i="8"/>
  <c r="N21" i="6"/>
  <c r="N22" i="6" s="1"/>
  <c r="N79" i="8" l="1"/>
  <c r="N87" i="8"/>
  <c r="N47" i="8"/>
  <c r="N29" i="2"/>
  <c r="O22" i="7" s="1"/>
  <c r="N23" i="6"/>
  <c r="N24" i="6" s="1"/>
  <c r="N86" i="8"/>
  <c r="N78" i="8"/>
  <c r="N46" i="8"/>
  <c r="N85" i="8"/>
  <c r="N77" i="8"/>
  <c r="N45" i="8"/>
  <c r="N49" i="8"/>
  <c r="N57" i="8" s="1"/>
  <c r="N65" i="8" s="1"/>
  <c r="N73" i="8" s="1"/>
  <c r="N81" i="8"/>
  <c r="N89" i="8"/>
  <c r="N40" i="8"/>
  <c r="N88" i="8"/>
  <c r="N80" i="8"/>
  <c r="N48" i="8"/>
  <c r="N97" i="8" l="1"/>
  <c r="N94" i="8"/>
  <c r="N61" i="8"/>
  <c r="P29" i="1"/>
  <c r="N50" i="8"/>
  <c r="N53" i="8"/>
  <c r="N63" i="8"/>
  <c r="N71" i="8" s="1"/>
  <c r="P31" i="1"/>
  <c r="N55" i="8"/>
  <c r="N96" i="8"/>
  <c r="N93" i="8"/>
  <c r="N82" i="8"/>
  <c r="N68" i="13" s="1"/>
  <c r="P30" i="1"/>
  <c r="N62" i="8"/>
  <c r="N70" i="8" s="1"/>
  <c r="N54" i="8"/>
  <c r="N64" i="8"/>
  <c r="N72" i="8" s="1"/>
  <c r="P32" i="1"/>
  <c r="Q47" i="1" s="1"/>
  <c r="Q48" i="1" s="1"/>
  <c r="N56" i="8"/>
  <c r="N90" i="8"/>
  <c r="N95" i="8"/>
  <c r="N58" i="8" l="1"/>
  <c r="O24" i="7" s="1"/>
  <c r="O39" i="7"/>
  <c r="O40" i="7"/>
  <c r="P33" i="1"/>
  <c r="N69" i="13"/>
  <c r="O41" i="7"/>
  <c r="N48" i="13"/>
  <c r="N91" i="8"/>
  <c r="N98" i="8"/>
  <c r="O38" i="7" s="1"/>
  <c r="N69" i="8"/>
  <c r="N74" i="8" s="1"/>
  <c r="N30" i="2" s="1"/>
  <c r="N66" i="8"/>
  <c r="P12" i="1" l="1"/>
  <c r="Q38" i="1"/>
  <c r="Q6" i="1" s="1"/>
  <c r="Q7" i="1" s="1"/>
  <c r="Q3" i="1" s="1"/>
  <c r="O4" i="2" s="1"/>
  <c r="N49" i="13"/>
  <c r="N55" i="13"/>
  <c r="O42" i="7"/>
  <c r="N50" i="13"/>
  <c r="N34" i="2"/>
  <c r="O23" i="7"/>
  <c r="O25" i="7" l="1"/>
  <c r="O43" i="7"/>
  <c r="N56" i="13"/>
  <c r="N57" i="13"/>
  <c r="N66" i="13" s="1"/>
  <c r="O12" i="2"/>
  <c r="O33" i="13"/>
  <c r="O14" i="2"/>
  <c r="O41" i="2"/>
  <c r="O11" i="2"/>
  <c r="P31" i="7"/>
  <c r="P5" i="1"/>
  <c r="O59" i="13" l="1"/>
  <c r="O62" i="13" s="1"/>
  <c r="O60" i="13"/>
  <c r="O63" i="13" s="1"/>
  <c r="O41" i="13"/>
  <c r="O43" i="13" s="1"/>
  <c r="O45" i="13"/>
  <c r="O46" i="13"/>
  <c r="O3" i="6"/>
  <c r="O13" i="2"/>
  <c r="O25" i="2"/>
  <c r="O3" i="4"/>
  <c r="O9" i="4" s="1"/>
  <c r="O24" i="2"/>
  <c r="O43" i="2"/>
  <c r="O44" i="2" s="1"/>
  <c r="O42" i="2"/>
  <c r="O30" i="7"/>
  <c r="O36" i="7"/>
  <c r="O27" i="7"/>
  <c r="O26" i="2"/>
  <c r="O11" i="8"/>
  <c r="O52" i="13" l="1"/>
  <c r="O10" i="6"/>
  <c r="O11" i="6"/>
  <c r="O32" i="7"/>
  <c r="O37" i="7" s="1"/>
  <c r="O15" i="8"/>
  <c r="O22" i="8" s="1"/>
  <c r="O18" i="8"/>
  <c r="O25" i="8" s="1"/>
  <c r="O14" i="8"/>
  <c r="O21" i="8" s="1"/>
  <c r="O17" i="8"/>
  <c r="O24" i="8" s="1"/>
  <c r="O16" i="8"/>
  <c r="O23" i="8" s="1"/>
  <c r="O47" i="13"/>
  <c r="O54" i="13" s="1"/>
  <c r="O53" i="13"/>
  <c r="O17" i="4"/>
  <c r="O19" i="4"/>
  <c r="O18" i="4"/>
  <c r="O21" i="4" s="1"/>
  <c r="S80" i="8"/>
  <c r="S81" i="8" s="1"/>
  <c r="Q62" i="13"/>
  <c r="T75" i="8"/>
  <c r="O32" i="8" l="1"/>
  <c r="O39" i="8"/>
  <c r="O28" i="2"/>
  <c r="P21" i="7" s="1"/>
  <c r="O32" i="2"/>
  <c r="S85" i="8"/>
  <c r="U75" i="8"/>
  <c r="O37" i="8"/>
  <c r="O30" i="8"/>
  <c r="O21" i="6"/>
  <c r="O22" i="6" s="1"/>
  <c r="O38" i="8"/>
  <c r="O31" i="8"/>
  <c r="O36" i="8"/>
  <c r="O29" i="8"/>
  <c r="O35" i="8"/>
  <c r="O28" i="8"/>
  <c r="O87" i="8" l="1"/>
  <c r="O47" i="8"/>
  <c r="O79" i="8"/>
  <c r="O78" i="8"/>
  <c r="O46" i="8"/>
  <c r="O86" i="8"/>
  <c r="O80" i="8"/>
  <c r="O88" i="8"/>
  <c r="O48" i="8"/>
  <c r="O85" i="8"/>
  <c r="O45" i="8"/>
  <c r="O77" i="8"/>
  <c r="O29" i="2"/>
  <c r="P22" i="7" s="1"/>
  <c r="O23" i="6"/>
  <c r="O24" i="6" s="1"/>
  <c r="Q24" i="6" s="1"/>
  <c r="O40" i="8"/>
  <c r="O81" i="8"/>
  <c r="O49" i="8"/>
  <c r="O57" i="8" s="1"/>
  <c r="O65" i="8" s="1"/>
  <c r="O73" i="8" s="1"/>
  <c r="O89" i="8"/>
  <c r="O96" i="8" l="1"/>
  <c r="O82" i="8"/>
  <c r="O95" i="8"/>
  <c r="O94" i="8"/>
  <c r="Q30" i="1"/>
  <c r="O54" i="8"/>
  <c r="O62" i="8"/>
  <c r="O70" i="8" s="1"/>
  <c r="O93" i="8"/>
  <c r="O61" i="8"/>
  <c r="Q29" i="1"/>
  <c r="O53" i="8"/>
  <c r="O50" i="8"/>
  <c r="O90" i="8"/>
  <c r="Q32" i="1"/>
  <c r="R47" i="1" s="1"/>
  <c r="R48" i="1" s="1"/>
  <c r="O64" i="8"/>
  <c r="O72" i="8" s="1"/>
  <c r="O56" i="8"/>
  <c r="Q31" i="1"/>
  <c r="O55" i="8"/>
  <c r="O63" i="8"/>
  <c r="O71" i="8" s="1"/>
  <c r="O97" i="8"/>
  <c r="O98" i="8" l="1"/>
  <c r="P38" i="7" s="1"/>
  <c r="Q33" i="1"/>
  <c r="R38" i="1" s="1"/>
  <c r="R6" i="1" s="1"/>
  <c r="R7" i="1" s="1"/>
  <c r="R3" i="1" s="1"/>
  <c r="P4" i="2" s="1"/>
  <c r="P12" i="2" s="1"/>
  <c r="P13" i="2" s="1"/>
  <c r="T76" i="8"/>
  <c r="O68" i="13"/>
  <c r="O66" i="8"/>
  <c r="O69" i="8"/>
  <c r="O74" i="8" s="1"/>
  <c r="O30" i="2" s="1"/>
  <c r="O91" i="8"/>
  <c r="O48" i="13"/>
  <c r="P39" i="7"/>
  <c r="P40" i="7"/>
  <c r="C40" i="7"/>
  <c r="O58" i="8"/>
  <c r="P24" i="7" s="1"/>
  <c r="Q12" i="1" l="1"/>
  <c r="O55" i="13"/>
  <c r="P42" i="7"/>
  <c r="O49" i="13"/>
  <c r="O50" i="13"/>
  <c r="O69" i="13"/>
  <c r="P41" i="7"/>
  <c r="C41" i="7" s="1"/>
  <c r="P23" i="7"/>
  <c r="O34" i="2"/>
  <c r="U76" i="8"/>
  <c r="U77" i="8" s="1"/>
  <c r="U78" i="8" s="1"/>
  <c r="T79" i="8"/>
  <c r="T77" i="8"/>
  <c r="T78" i="8" s="1"/>
  <c r="Q31" i="7"/>
  <c r="Q5" i="1"/>
  <c r="P41" i="2"/>
  <c r="P14" i="2"/>
  <c r="P11" i="2"/>
  <c r="P33" i="13"/>
  <c r="P43" i="2" l="1"/>
  <c r="P44" i="2" s="1"/>
  <c r="P42" i="2"/>
  <c r="P25" i="7"/>
  <c r="F5" i="16"/>
  <c r="G44" i="7"/>
  <c r="P43" i="7"/>
  <c r="P11" i="8"/>
  <c r="P26" i="2"/>
  <c r="P25" i="2"/>
  <c r="P3" i="6"/>
  <c r="P41" i="13"/>
  <c r="P43" i="13" s="1"/>
  <c r="P45" i="13"/>
  <c r="P46" i="13"/>
  <c r="P59" i="13"/>
  <c r="P62" i="13" s="1"/>
  <c r="D71" i="13" s="1"/>
  <c r="P60" i="13"/>
  <c r="P63" i="13" s="1"/>
  <c r="P3" i="4"/>
  <c r="P9" i="4" s="1"/>
  <c r="P24" i="2"/>
  <c r="O56" i="13"/>
  <c r="O57" i="13"/>
  <c r="P47" i="13" l="1"/>
  <c r="P54" i="13" s="1"/>
  <c r="P53" i="13"/>
  <c r="D80" i="13" s="1"/>
  <c r="O66" i="13"/>
  <c r="P19" i="4"/>
  <c r="P18" i="4"/>
  <c r="P21" i="4" s="1"/>
  <c r="P17" i="4"/>
  <c r="P30" i="7"/>
  <c r="P36" i="7"/>
  <c r="P52" i="13"/>
  <c r="P10" i="6"/>
  <c r="P11" i="6"/>
  <c r="P16" i="8"/>
  <c r="P23" i="8" s="1"/>
  <c r="P18" i="8"/>
  <c r="P25" i="8" s="1"/>
  <c r="P14" i="8"/>
  <c r="P21" i="8" s="1"/>
  <c r="P15" i="8"/>
  <c r="P22" i="8" s="1"/>
  <c r="P17" i="8"/>
  <c r="P24" i="8" s="1"/>
  <c r="P37" i="8" l="1"/>
  <c r="P30" i="8"/>
  <c r="P21" i="6"/>
  <c r="P22" i="6" s="1"/>
  <c r="P27" i="7"/>
  <c r="C27" i="7" s="1"/>
  <c r="Q67" i="13"/>
  <c r="P36" i="8"/>
  <c r="P29" i="8"/>
  <c r="P32" i="2"/>
  <c r="P28" i="2"/>
  <c r="Q21" i="7" s="1"/>
  <c r="C21" i="7" s="1"/>
  <c r="C10" i="16" s="1"/>
  <c r="P38" i="8"/>
  <c r="P31" i="8"/>
  <c r="P32" i="7"/>
  <c r="P37" i="7" s="1"/>
  <c r="P35" i="8"/>
  <c r="P28" i="8"/>
  <c r="P39" i="8"/>
  <c r="P32" i="8"/>
  <c r="P40" i="8" l="1"/>
  <c r="A57" i="8" s="1"/>
  <c r="P78" i="8"/>
  <c r="P86" i="8"/>
  <c r="P46" i="8"/>
  <c r="C28" i="7"/>
  <c r="C17" i="16"/>
  <c r="P23" i="6"/>
  <c r="P24" i="6" s="1"/>
  <c r="P29" i="2"/>
  <c r="Q22" i="7" s="1"/>
  <c r="C22" i="7" s="1"/>
  <c r="C11" i="16" s="1"/>
  <c r="P80" i="8"/>
  <c r="P88" i="8"/>
  <c r="P48" i="8"/>
  <c r="P81" i="8"/>
  <c r="P49" i="8"/>
  <c r="P57" i="8" s="1"/>
  <c r="P65" i="8" s="1"/>
  <c r="P73" i="8" s="1"/>
  <c r="P89" i="8"/>
  <c r="P87" i="8"/>
  <c r="P79" i="8"/>
  <c r="P47" i="8"/>
  <c r="P77" i="8"/>
  <c r="P85" i="8"/>
  <c r="P45" i="8"/>
  <c r="P82" i="8" l="1"/>
  <c r="D72" i="13" s="1"/>
  <c r="P95" i="8"/>
  <c r="P96" i="8"/>
  <c r="P90" i="8"/>
  <c r="P97" i="8"/>
  <c r="P62" i="8"/>
  <c r="P70" i="8" s="1"/>
  <c r="R30" i="1"/>
  <c r="P54" i="8"/>
  <c r="P93" i="8"/>
  <c r="P63" i="8"/>
  <c r="P71" i="8" s="1"/>
  <c r="R31" i="1"/>
  <c r="P55" i="8"/>
  <c r="P64" i="8"/>
  <c r="P72" i="8" s="1"/>
  <c r="R32" i="1"/>
  <c r="S47" i="1" s="1"/>
  <c r="S48" i="1" s="1"/>
  <c r="P56" i="8"/>
  <c r="P53" i="8"/>
  <c r="P61" i="8"/>
  <c r="R29" i="1"/>
  <c r="P50" i="8"/>
  <c r="P94" i="8"/>
  <c r="P58" i="8" l="1"/>
  <c r="Q24" i="7" s="1"/>
  <c r="C24" i="7" s="1"/>
  <c r="C14" i="16" s="1"/>
  <c r="P98" i="8"/>
  <c r="Q38" i="7" s="1"/>
  <c r="C38" i="7" s="1"/>
  <c r="F2" i="16" s="1"/>
  <c r="R33" i="1"/>
  <c r="Q82" i="8"/>
  <c r="R82" i="8" s="1"/>
  <c r="S84" i="8"/>
  <c r="P68" i="13"/>
  <c r="R12" i="1"/>
  <c r="R5" i="1" s="1"/>
  <c r="S38" i="1"/>
  <c r="S6" i="1" s="1"/>
  <c r="S3" i="1" s="1"/>
  <c r="Q4" i="2" s="1"/>
  <c r="P69" i="8"/>
  <c r="P74" i="8" s="1"/>
  <c r="P30" i="2" s="1"/>
  <c r="P66" i="8"/>
  <c r="A64" i="8" s="1"/>
  <c r="Q40" i="7"/>
  <c r="Q39" i="7"/>
  <c r="C39" i="7" s="1"/>
  <c r="F3" i="16" s="1"/>
  <c r="P48" i="13"/>
  <c r="P91" i="8"/>
  <c r="P69" i="13" l="1"/>
  <c r="D74" i="13" s="1"/>
  <c r="D73" i="13"/>
  <c r="Q14" i="2"/>
  <c r="Q11" i="2"/>
  <c r="Q12" i="2"/>
  <c r="Q13" i="2" s="1"/>
  <c r="Q23" i="7"/>
  <c r="P34" i="2"/>
  <c r="Q42" i="7"/>
  <c r="P55" i="13"/>
  <c r="Q55" i="13" s="1"/>
  <c r="P49" i="13"/>
  <c r="P50" i="13"/>
  <c r="E74" i="13" l="1"/>
  <c r="D79" i="13"/>
  <c r="C23" i="7"/>
  <c r="C13" i="16" s="1"/>
  <c r="Q25" i="7"/>
  <c r="P56" i="13"/>
  <c r="P57" i="13"/>
  <c r="Q43" i="7"/>
  <c r="C43" i="7" s="1"/>
  <c r="F6" i="16" s="1"/>
  <c r="C42" i="7"/>
  <c r="P66" i="13" l="1"/>
  <c r="R66" i="13" s="1"/>
  <c r="Q57" i="13"/>
  <c r="Q58" i="13" s="1"/>
  <c r="C15" i="16"/>
  <c r="C19" i="16" s="1"/>
  <c r="C44" i="7"/>
  <c r="Q30" i="7"/>
  <c r="Q36" i="7"/>
  <c r="C36" i="7" s="1"/>
  <c r="C25" i="7"/>
  <c r="Q32" i="7" l="1"/>
  <c r="Q37" i="7" s="1"/>
  <c r="C30" i="7"/>
  <c r="C32" i="7" s="1"/>
  <c r="C37" i="7" s="1"/>
  <c r="C21" i="16" l="1"/>
  <c r="C33" i="7"/>
  <c r="B33" i="7" s="1"/>
  <c r="B3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Jacobs, Adam</author>
  </authors>
  <commentList>
    <comment ref="D6" authorId="0" shapeId="0" xr:uid="{337B7D2A-3BCD-4EB7-82B7-9A1A5DF45779}">
      <text>
        <r>
          <rPr>
            <b/>
            <sz val="9"/>
            <color indexed="81"/>
            <rFont val="Tahoma"/>
            <family val="2"/>
          </rPr>
          <t>Jacobs, Adam:</t>
        </r>
        <r>
          <rPr>
            <sz val="9"/>
            <color indexed="81"/>
            <rFont val="Tahoma"/>
            <family val="2"/>
          </rPr>
          <t xml:space="preserve">
Current high inflation ~8% averaged out w/ some longer term return to 2.2% in a few years
updated from 3.3% to 4% in final model per stakeholder feedback</t>
        </r>
      </text>
    </comment>
    <comment ref="B16" authorId="0" shapeId="0" xr:uid="{5C36EEFC-1DC6-453A-A034-A398DDE04CAE}">
      <text>
        <r>
          <rPr>
            <b/>
            <sz val="9"/>
            <color indexed="81"/>
            <rFont val="Tahoma"/>
            <family val="2"/>
          </rPr>
          <t>Jacobs, Adam:</t>
        </r>
        <r>
          <rPr>
            <sz val="9"/>
            <color indexed="81"/>
            <rFont val="Tahoma"/>
            <family val="2"/>
          </rPr>
          <t xml:space="preserve">
impacts additional revenue from new Tier III loads</t>
        </r>
      </text>
    </comment>
    <comment ref="B23" authorId="0" shapeId="0" xr:uid="{AB55258C-60E3-4D52-AFE5-05E6FA7A8BA5}">
      <text>
        <r>
          <rPr>
            <b/>
            <sz val="9"/>
            <color indexed="81"/>
            <rFont val="Tahoma"/>
            <family val="2"/>
          </rPr>
          <t>Jacobs, Adam:</t>
        </r>
        <r>
          <rPr>
            <sz val="9"/>
            <color indexed="81"/>
            <rFont val="Tahoma"/>
            <family val="2"/>
          </rPr>
          <t xml:space="preserve">
updated to better reflect actual Tier III savings distribution 2018-2021. Shifted slightly more savings towards EVs and Custom from HPs per stakeholder feedback
</t>
        </r>
      </text>
    </comment>
    <comment ref="B44" authorId="0" shapeId="0" xr:uid="{787DF16C-6EDF-47A3-AD08-26EA9C0810BA}">
      <text>
        <r>
          <rPr>
            <b/>
            <sz val="9"/>
            <color indexed="81"/>
            <rFont val="Tahoma"/>
            <family val="2"/>
          </rPr>
          <t>Jacobs, Adam:</t>
        </r>
        <r>
          <rPr>
            <sz val="9"/>
            <color indexed="81"/>
            <rFont val="Tahoma"/>
            <family val="2"/>
          </rPr>
          <t xml:space="preserve">
updated based on stakeholder feedback that HPs loads increase at temp extremes which are highly correlated w/ high energy prices</t>
        </r>
      </text>
    </comment>
    <comment ref="B45" authorId="0" shapeId="0" xr:uid="{C9ACD0C2-4970-44E9-B1AC-4EF75909E0F8}">
      <text>
        <r>
          <rPr>
            <b/>
            <sz val="9"/>
            <color indexed="81"/>
            <rFont val="Tahoma"/>
            <family val="2"/>
          </rPr>
          <t>Jacobs, Adam:</t>
        </r>
        <r>
          <rPr>
            <sz val="9"/>
            <color indexed="81"/>
            <rFont val="Tahoma"/>
            <family val="2"/>
          </rPr>
          <t xml:space="preserve">
ratio of residential rate to estimated EV rate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Jacobs, Adam</author>
    <author>tc={F4AF4432-5B6C-4E75-B7A3-4158977E8E1A}</author>
  </authors>
  <commentList>
    <comment ref="E63" authorId="0" shapeId="0" xr:uid="{4796B21A-7E9B-48BA-BD3F-BB00DAB62E89}">
      <text>
        <r>
          <rPr>
            <b/>
            <sz val="9"/>
            <color indexed="81"/>
            <rFont val="Tahoma"/>
            <family val="2"/>
          </rPr>
          <t>Jacobs, Adam:</t>
        </r>
        <r>
          <rPr>
            <sz val="9"/>
            <color indexed="81"/>
            <rFont val="Tahoma"/>
            <family val="2"/>
          </rPr>
          <t xml:space="preserve">
% for weighting of Residential fossil fuel prices is based on census data for residential heating fuels (less wood and electric)</t>
        </r>
      </text>
    </comment>
    <comment ref="E64" authorId="1" shapeId="0" xr:uid="{F4AF4432-5B6C-4E75-B7A3-4158977E8E1A}">
      <text>
        <t>[Threaded comment]
Your version of Excel allows you to read this threaded comment; however, any edits to it will get removed if the file is opened in a newer version of Excel. Learn more: https://go.microsoft.com/fwlink/?linkid=870924
Comment:
    percentages based on: https://factfinder.census.gov/faces/tableservices/jsf/pages/productview.xhtml?src=CF</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Ben Plotzker</author>
  </authors>
  <commentList>
    <comment ref="J2" authorId="0" shapeId="0" xr:uid="{1B2C64BC-2ECE-43A9-A0BD-F047708CF065}">
      <text>
        <r>
          <rPr>
            <b/>
            <sz val="9"/>
            <color indexed="81"/>
            <rFont val="Tahoma"/>
            <family val="2"/>
          </rPr>
          <t>Ben Plotzker:</t>
        </r>
        <r>
          <rPr>
            <sz val="9"/>
            <color indexed="81"/>
            <rFont val="Tahoma"/>
            <family val="2"/>
          </rPr>
          <t xml:space="preserve">
* This is 2015 value for % of Fossil Fuel in electric mix</t>
        </r>
      </text>
    </comment>
    <comment ref="P2" authorId="0" shapeId="0" xr:uid="{C8002D08-03BA-4514-9496-3E19FF73B21A}">
      <text>
        <r>
          <rPr>
            <b/>
            <sz val="9"/>
            <color indexed="81"/>
            <rFont val="Tahoma"/>
            <family val="2"/>
          </rPr>
          <t>Ben Plotzker:</t>
        </r>
        <r>
          <rPr>
            <sz val="9"/>
            <color indexed="81"/>
            <rFont val="Tahoma"/>
            <family val="2"/>
          </rPr>
          <t xml:space="preserve">
ACP Can be adjusted in Cell F132</t>
        </r>
      </text>
    </comment>
    <comment ref="Q2" authorId="0" shapeId="0" xr:uid="{3D5A4A20-7446-4EC2-ACEF-0D12376475AB}">
      <text>
        <r>
          <rPr>
            <b/>
            <sz val="9"/>
            <color indexed="81"/>
            <rFont val="Tahoma"/>
            <family val="2"/>
          </rPr>
          <t>Ben Plotzker:</t>
        </r>
        <r>
          <rPr>
            <sz val="9"/>
            <color indexed="81"/>
            <rFont val="Tahoma"/>
            <family val="2"/>
          </rPr>
          <t xml:space="preserve">
ACP Can be adjusted in Cell F132</t>
        </r>
      </text>
    </comment>
    <comment ref="G149" authorId="0" shapeId="0" xr:uid="{FC343477-7DE6-4818-B28E-6EBE660C81CC}">
      <text>
        <r>
          <rPr>
            <b/>
            <sz val="9"/>
            <color rgb="FF000000"/>
            <rFont val="Tahoma"/>
            <family val="2"/>
          </rPr>
          <t>Ben Plotzker:</t>
        </r>
        <r>
          <rPr>
            <sz val="9"/>
            <color rgb="FF000000"/>
            <rFont val="Tahoma"/>
            <family val="2"/>
          </rPr>
          <t xml:space="preserve">
DU must use the 2021 Tier III Battery Analysis tool to find out their DU specific savings for Tier III savings. This tool outputs the net MWh, so there is no need to fill columns I or J for this measure.
Verify you are inputting the first year Net MWh equivalent saved. This value will be multiplied by measure life by Column M.</t>
        </r>
      </text>
    </comment>
    <comment ref="G158" authorId="0" shapeId="0" xr:uid="{CBFDE79A-C93C-470E-99E9-C30198FA55D3}">
      <text>
        <r>
          <rPr>
            <b/>
            <sz val="9"/>
            <color rgb="FF000000"/>
            <rFont val="Tahoma"/>
            <family val="2"/>
          </rPr>
          <t>Ben Plotzker:</t>
        </r>
        <r>
          <rPr>
            <sz val="9"/>
            <color rgb="FF000000"/>
            <rFont val="Tahoma"/>
            <family val="2"/>
          </rPr>
          <t xml:space="preserve">
DU must use the 2020 Tier III Telecommuting tool to find out their DU specific savings for Tier III savings. This tool outputs the net MWh, so there is no need to fill columns I or J for this measure.
</t>
        </r>
      </text>
    </comment>
    <comment ref="F169" authorId="0" shapeId="0" xr:uid="{819F19AD-AF6B-41A7-A113-8921F66E3673}">
      <text>
        <r>
          <rPr>
            <b/>
            <sz val="9"/>
            <color indexed="81"/>
            <rFont val="Tahoma"/>
            <family val="2"/>
          </rPr>
          <t>Ben Plotzker:</t>
        </r>
        <r>
          <rPr>
            <sz val="9"/>
            <color indexed="81"/>
            <rFont val="Tahoma"/>
            <family val="2"/>
          </rPr>
          <t xml:space="preserve">
Alternative Compliance Payment</t>
        </r>
      </text>
    </comment>
    <comment ref="G169" authorId="0" shapeId="0" xr:uid="{E06706D4-E75F-4DBC-A11B-06D8195A170A}">
      <text>
        <r>
          <rPr>
            <b/>
            <sz val="9"/>
            <color indexed="81"/>
            <rFont val="Tahoma"/>
            <family val="2"/>
          </rPr>
          <t>Ben Plotzker:</t>
        </r>
        <r>
          <rPr>
            <sz val="9"/>
            <color indexed="81"/>
            <rFont val="Tahoma"/>
            <family val="2"/>
          </rPr>
          <t xml:space="preserve">
http://www.eia.gov/totalenergy/data/monthly/
Page 221, Table A6. Approximate Heat Rates for Electricity, and Heat Content of Electricity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Woodward, John</author>
  </authors>
  <commentList>
    <comment ref="B5" authorId="0" shapeId="0" xr:uid="{00000000-0006-0000-0B00-000001000000}">
      <text>
        <r>
          <rPr>
            <b/>
            <sz val="9"/>
            <color indexed="81"/>
            <rFont val="Tahoma"/>
            <family val="2"/>
          </rPr>
          <t>for reference only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Ben Plotzker</author>
  </authors>
  <commentList>
    <comment ref="J2" authorId="0" shapeId="0" xr:uid="{A3BF96B9-F839-4145-AE0C-B4E6DBA577AD}">
      <text>
        <r>
          <rPr>
            <b/>
            <sz val="9"/>
            <color indexed="81"/>
            <rFont val="Tahoma"/>
            <family val="2"/>
          </rPr>
          <t>Ben Plotzker:</t>
        </r>
        <r>
          <rPr>
            <sz val="9"/>
            <color indexed="81"/>
            <rFont val="Tahoma"/>
            <family val="2"/>
          </rPr>
          <t xml:space="preserve">
* This is 2015 value for % of Fossil Fuel in electric mix</t>
        </r>
      </text>
    </comment>
    <comment ref="P2" authorId="0" shapeId="0" xr:uid="{3DDBCFE2-BC7D-4A41-AC11-9FE1D890E05F}">
      <text>
        <r>
          <rPr>
            <b/>
            <sz val="9"/>
            <color indexed="81"/>
            <rFont val="Tahoma"/>
            <family val="2"/>
          </rPr>
          <t>Ben Plotzker:</t>
        </r>
        <r>
          <rPr>
            <sz val="9"/>
            <color indexed="81"/>
            <rFont val="Tahoma"/>
            <family val="2"/>
          </rPr>
          <t xml:space="preserve">
ACP Can be adjusted in Cell F132</t>
        </r>
      </text>
    </comment>
    <comment ref="Q2" authorId="0" shapeId="0" xr:uid="{1256D9AC-BF6B-4E86-8C4D-55872A201CB7}">
      <text>
        <r>
          <rPr>
            <b/>
            <sz val="9"/>
            <color indexed="81"/>
            <rFont val="Tahoma"/>
            <family val="2"/>
          </rPr>
          <t>Ben Plotzker:</t>
        </r>
        <r>
          <rPr>
            <sz val="9"/>
            <color indexed="81"/>
            <rFont val="Tahoma"/>
            <family val="2"/>
          </rPr>
          <t xml:space="preserve">
ACP Can be adjusted in Cell F132</t>
        </r>
      </text>
    </comment>
    <comment ref="G138" authorId="0" shapeId="0" xr:uid="{91014CA3-3A38-4309-8212-4B9544438EA0}">
      <text>
        <r>
          <rPr>
            <b/>
            <sz val="9"/>
            <color rgb="FF000000"/>
            <rFont val="Tahoma"/>
            <family val="2"/>
          </rPr>
          <t>Ben Plotzker:</t>
        </r>
        <r>
          <rPr>
            <sz val="9"/>
            <color rgb="FF000000"/>
            <rFont val="Tahoma"/>
            <family val="2"/>
          </rPr>
          <t xml:space="preserve">
</t>
        </r>
        <r>
          <rPr>
            <sz val="9"/>
            <color rgb="FF000000"/>
            <rFont val="Tahoma"/>
            <family val="2"/>
          </rPr>
          <t xml:space="preserve">DU must use the 2019 Tier III Battery Analysis tool to find out their DU specific savings for Tier III savings. This tool outputs the net MWh, so there is no need to fill columns I or J for this measure.
</t>
        </r>
        <r>
          <rPr>
            <sz val="9"/>
            <color rgb="FF000000"/>
            <rFont val="Tahoma"/>
            <family val="2"/>
          </rPr>
          <t>Verify you are inputting the first year Net MWh equivalent saved. This value will be multiplied by measure life by Column M.</t>
        </r>
      </text>
    </comment>
    <comment ref="G147" authorId="0" shapeId="0" xr:uid="{A9708BF0-82EB-4720-A890-D22E9F655B72}">
      <text>
        <r>
          <rPr>
            <b/>
            <sz val="9"/>
            <color rgb="FF000000"/>
            <rFont val="Tahoma"/>
            <family val="2"/>
          </rPr>
          <t>Ben Plotzker:</t>
        </r>
        <r>
          <rPr>
            <sz val="9"/>
            <color rgb="FF000000"/>
            <rFont val="Tahoma"/>
            <family val="2"/>
          </rPr>
          <t xml:space="preserve">
DU must use the 2020 Tier III Telecommuting tool to find out their DU specific savings for Tier III savings. This tool outputs the net MWh, so there is no need to fill columns I or J for this measure.
</t>
        </r>
      </text>
    </comment>
    <comment ref="F155" authorId="0" shapeId="0" xr:uid="{506DDB3D-59D2-48B6-98E6-2DDD92AA1AC7}">
      <text>
        <r>
          <rPr>
            <b/>
            <sz val="9"/>
            <color indexed="81"/>
            <rFont val="Tahoma"/>
            <family val="2"/>
          </rPr>
          <t>Ben Plotzker:</t>
        </r>
        <r>
          <rPr>
            <sz val="9"/>
            <color indexed="81"/>
            <rFont val="Tahoma"/>
            <family val="2"/>
          </rPr>
          <t xml:space="preserve">
Alternative Compliance Payment</t>
        </r>
      </text>
    </comment>
    <comment ref="G155" authorId="0" shapeId="0" xr:uid="{6B0F37A3-4F9C-489B-B602-F7BF4EB6AE06}">
      <text>
        <r>
          <rPr>
            <b/>
            <sz val="9"/>
            <color indexed="81"/>
            <rFont val="Tahoma"/>
            <family val="2"/>
          </rPr>
          <t>Ben Plotzker:</t>
        </r>
        <r>
          <rPr>
            <sz val="9"/>
            <color indexed="81"/>
            <rFont val="Tahoma"/>
            <family val="2"/>
          </rPr>
          <t xml:space="preserve">
http://www.eia.gov/totalenergy/data/monthly/
Page 221, Table A6. Approximate Heat Rates for Electricity, and Heat Content of Electricity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Ben Plotzker</author>
  </authors>
  <commentList>
    <comment ref="J2" authorId="0" shapeId="0" xr:uid="{F6BDC4EF-1CE5-47EA-B10A-DCF3BDCAC0F7}">
      <text>
        <r>
          <rPr>
            <b/>
            <sz val="9"/>
            <color indexed="81"/>
            <rFont val="Tahoma"/>
            <family val="2"/>
          </rPr>
          <t>Ben Plotzker:</t>
        </r>
        <r>
          <rPr>
            <sz val="9"/>
            <color indexed="81"/>
            <rFont val="Tahoma"/>
            <family val="2"/>
          </rPr>
          <t xml:space="preserve">
* This is 2015 value for % of Fossil Fuel in electric mix</t>
        </r>
      </text>
    </comment>
    <comment ref="G111" authorId="0" shapeId="0" xr:uid="{837409E6-5C82-4FEA-B271-DC421CC443E8}">
      <text>
        <r>
          <rPr>
            <b/>
            <sz val="9"/>
            <color indexed="81"/>
            <rFont val="Tahoma"/>
            <family val="2"/>
          </rPr>
          <t>Ben Plotzker:</t>
        </r>
        <r>
          <rPr>
            <sz val="9"/>
            <color indexed="81"/>
            <rFont val="Tahoma"/>
            <family val="2"/>
          </rPr>
          <t xml:space="preserve">
DU must use the 2019 Tier III Battery Analysis tool to find out their DU specific savings for Tier III savings. This tool outputs the net MWh, so there is no need to fill columns I or J for this measure.
Verify you are inputting the first year Net MWh equivalent saved. This value will be multiplied by measure life by Column M.</t>
        </r>
      </text>
    </comment>
    <comment ref="G119" authorId="0" shapeId="0" xr:uid="{5F000080-8E15-47FA-960D-161CEDB30FA1}">
      <text>
        <r>
          <rPr>
            <b/>
            <sz val="9"/>
            <color indexed="81"/>
            <rFont val="Tahoma"/>
            <family val="2"/>
          </rPr>
          <t>Ben Plotzker:</t>
        </r>
        <r>
          <rPr>
            <sz val="9"/>
            <color indexed="81"/>
            <rFont val="Tahoma"/>
            <family val="2"/>
          </rPr>
          <t xml:space="preserve">
http://www.eia.gov/totalenergy/data/monthly/
Page 221, Table A6. Approximate Heat Rates for Electricity, and Heat Content of Electricity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tc={089DF3AF-1A19-4DED-A294-C1FD0DBEB704}</author>
    <author>tc={BC1E1D84-6B92-43DB-8951-D7A5DAAC5813}</author>
    <author>Jacobs, Adam</author>
  </authors>
  <commentList>
    <comment ref="G16" authorId="0" shapeId="0" xr:uid="{089DF3AF-1A19-4DED-A294-C1FD0DBEB704}">
      <text>
        <t>[Threaded comment]
Your version of Excel allows you to read this threaded comment; however, any edits to it will get removed if the file is opened in a newer version of Excel. Learn more: https://go.microsoft.com/fwlink/?linkid=870924
Comment:
    Actuals from 21-3604-INV</t>
      </text>
    </comment>
    <comment ref="H16" authorId="1" shapeId="0" xr:uid="{BC1E1D84-6B92-43DB-8951-D7A5DAAC5813}">
      <text>
        <t>[Threaded comment]
Your version of Excel allows you to read this threaded comment; however, any edits to it will get removed if the file is opened in a newer version of Excel. Learn more: https://go.microsoft.com/fwlink/?linkid=870924
Comment:
    Actuals from 22-4030-INV</t>
      </text>
    </comment>
    <comment ref="B30" authorId="2" shapeId="0" xr:uid="{3094F722-8A98-4C07-AA7A-A6D845A7D26A}">
      <text>
        <r>
          <rPr>
            <b/>
            <sz val="9"/>
            <color indexed="81"/>
            <rFont val="Tahoma"/>
            <family val="2"/>
          </rPr>
          <t>Jacobs, Adam:</t>
        </r>
        <r>
          <rPr>
            <sz val="9"/>
            <color indexed="81"/>
            <rFont val="Tahoma"/>
            <family val="2"/>
          </rPr>
          <t xml:space="preserve">
this does not include additional revenues at retail rates to offset costs</t>
        </r>
      </text>
    </comment>
    <comment ref="B34" authorId="2" shapeId="0" xr:uid="{0D75B6E9-5999-43BB-8856-50C61FCD9B6F}">
      <text>
        <r>
          <rPr>
            <b/>
            <sz val="9"/>
            <color indexed="81"/>
            <rFont val="Tahoma"/>
            <family val="2"/>
          </rPr>
          <t>Jacobs, Adam:</t>
        </r>
        <r>
          <rPr>
            <sz val="9"/>
            <color indexed="81"/>
            <rFont val="Tahoma"/>
            <family val="2"/>
          </rPr>
          <t xml:space="preserve">
this does not include additional revenues at retail rates to offset costs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Jacobs, Adam</author>
    <author>Fischer, Maria</author>
  </authors>
  <commentList>
    <comment ref="B7" authorId="0" shapeId="0" xr:uid="{D9BC8F36-B41A-41ED-9D05-B880ED4A83F7}">
      <text>
        <r>
          <rPr>
            <b/>
            <sz val="9"/>
            <color indexed="81"/>
            <rFont val="Tahoma"/>
            <family val="2"/>
          </rPr>
          <t>Jacobs, Adam:</t>
        </r>
        <r>
          <rPr>
            <sz val="9"/>
            <color indexed="81"/>
            <rFont val="Tahoma"/>
            <family val="2"/>
          </rPr>
          <t xml:space="preserve">
CAP central mitigation scenario is lower than PSD BAU from 2022-2025 which seems unrealistic
assume steady ramp up from 2022-2025 then uses 2026 where  CAP central mitigation begins to exceed BAU</t>
        </r>
      </text>
    </comment>
    <comment ref="A10" authorId="0" shapeId="0" xr:uid="{8C9A87E5-4652-42B3-8584-30B76B514A63}">
      <text>
        <r>
          <rPr>
            <b/>
            <sz val="9"/>
            <color indexed="81"/>
            <rFont val="Tahoma"/>
            <family val="2"/>
          </rPr>
          <t>Jacobs, Adam:</t>
        </r>
        <r>
          <rPr>
            <sz val="9"/>
            <color indexed="81"/>
            <rFont val="Tahoma"/>
            <family val="2"/>
          </rPr>
          <t xml:space="preserve">
based on 2021 retail sales escalating at same rate as VELCO LRTP baseline forecast</t>
        </r>
      </text>
    </comment>
    <comment ref="H10" authorId="0" shapeId="0" xr:uid="{E9007064-C19D-4A55-BEB2-C97B3567605F}">
      <text>
        <r>
          <rPr>
            <b/>
            <sz val="9"/>
            <color indexed="81"/>
            <rFont val="Tahoma"/>
            <family val="2"/>
          </rPr>
          <t>Jacobs, Adam:</t>
        </r>
        <r>
          <rPr>
            <sz val="9"/>
            <color indexed="81"/>
            <rFont val="Tahoma"/>
            <family val="2"/>
          </rPr>
          <t xml:space="preserve">
actual 2021 retail sales from Annual Resource Survey</t>
        </r>
      </text>
    </comment>
    <comment ref="A12" authorId="0" shapeId="0" xr:uid="{6119C181-1BD4-46BD-B64E-8000CBAD91A9}">
      <text>
        <r>
          <rPr>
            <b/>
            <sz val="9"/>
            <color indexed="81"/>
            <rFont val="Tahoma"/>
            <family val="2"/>
          </rPr>
          <t>Jacobs, Adam:</t>
        </r>
        <r>
          <rPr>
            <sz val="9"/>
            <color indexed="81"/>
            <rFont val="Tahoma"/>
            <family val="2"/>
          </rPr>
          <t xml:space="preserve">
new load (CCHP, EV, Custom)</t>
        </r>
      </text>
    </comment>
    <comment ref="B14" authorId="0" shapeId="0" xr:uid="{490DA048-CDBE-4A8F-B1CC-F0D2426D7EF0}">
      <text>
        <r>
          <rPr>
            <b/>
            <sz val="9"/>
            <color indexed="81"/>
            <rFont val="Tahoma"/>
            <family val="2"/>
          </rPr>
          <t>Jacobs, Adam:</t>
        </r>
        <r>
          <rPr>
            <sz val="9"/>
            <color indexed="81"/>
            <rFont val="Tahoma"/>
            <family val="2"/>
          </rPr>
          <t xml:space="preserve">
from 2021 LRTP - 
https://www.velco.com/assets/documents/2021%20VLRTP%20to%20PUC_FINAL.pdf</t>
        </r>
      </text>
    </comment>
    <comment ref="B15" authorId="0" shapeId="0" xr:uid="{DC5A9B56-E0BF-43B8-A9E0-E799C82EDC60}">
      <text>
        <r>
          <rPr>
            <b/>
            <sz val="9"/>
            <color indexed="81"/>
            <rFont val="Tahoma"/>
            <family val="2"/>
          </rPr>
          <t>Jacobs, Adam:</t>
        </r>
        <r>
          <rPr>
            <sz val="9"/>
            <color indexed="81"/>
            <rFont val="Tahoma"/>
            <family val="2"/>
          </rPr>
          <t xml:space="preserve">
new NM</t>
        </r>
      </text>
    </comment>
    <comment ref="B20" authorId="1" shapeId="0" xr:uid="{00000000-0006-0000-0200-000006000000}">
      <text>
        <r>
          <rPr>
            <b/>
            <sz val="9"/>
            <color indexed="81"/>
            <rFont val="Tahoma"/>
            <family val="2"/>
          </rPr>
          <t>Fischer, Maria:</t>
        </r>
        <r>
          <rPr>
            <sz val="9"/>
            <color indexed="81"/>
            <rFont val="Tahoma"/>
            <family val="2"/>
          </rPr>
          <t xml:space="preserve">
New BTM
</t>
        </r>
      </text>
    </comment>
    <comment ref="B24" authorId="0" shapeId="0" xr:uid="{4D4B09FE-BE58-428B-AC11-1F36CF850E9C}">
      <text>
        <r>
          <rPr>
            <b/>
            <sz val="9"/>
            <color indexed="81"/>
            <rFont val="Tahoma"/>
            <family val="2"/>
          </rPr>
          <t>Jacobs, Adam:</t>
        </r>
        <r>
          <rPr>
            <sz val="9"/>
            <color indexed="81"/>
            <rFont val="Tahoma"/>
            <family val="2"/>
          </rPr>
          <t xml:space="preserve">
embedded in forecast but RECs not transferred to utility so no RES benefits</t>
        </r>
      </text>
    </comment>
    <comment ref="B25" authorId="0" shapeId="0" xr:uid="{3C79FAF8-A3FA-493C-84E9-08253B0F1018}">
      <text>
        <r>
          <rPr>
            <b/>
            <sz val="9"/>
            <color indexed="81"/>
            <rFont val="Tahoma"/>
            <family val="2"/>
          </rPr>
          <t>Jacobs, Adam:</t>
        </r>
        <r>
          <rPr>
            <sz val="9"/>
            <color indexed="81"/>
            <rFont val="Tahoma"/>
            <family val="2"/>
          </rPr>
          <t xml:space="preserve">
embedded in forecast but larely do transfer RECs to utility and do support RES</t>
        </r>
      </text>
    </comment>
    <comment ref="B26" authorId="0" shapeId="0" xr:uid="{92C163DA-7381-463F-BAAF-80BD823A3965}">
      <text>
        <r>
          <rPr>
            <b/>
            <sz val="9"/>
            <color indexed="81"/>
            <rFont val="Tahoma"/>
            <family val="2"/>
          </rPr>
          <t>Jacobs, Adam:</t>
        </r>
        <r>
          <rPr>
            <sz val="9"/>
            <color indexed="81"/>
            <rFont val="Tahoma"/>
            <family val="2"/>
          </rPr>
          <t xml:space="preserve">
not embedded in VELCO 2021 LRTP</t>
        </r>
      </text>
    </comment>
    <comment ref="B38" authorId="0" shapeId="0" xr:uid="{B7BD0AD7-8349-4C6C-A39B-47803695971F}">
      <text>
        <r>
          <rPr>
            <b/>
            <sz val="9"/>
            <color indexed="81"/>
            <rFont val="Tahoma"/>
            <family val="2"/>
          </rPr>
          <t>Jacobs, Adam:</t>
        </r>
        <r>
          <rPr>
            <sz val="9"/>
            <color indexed="81"/>
            <rFont val="Tahoma"/>
            <family val="2"/>
          </rPr>
          <t xml:space="preserve">
takes the greater of new electrification loads based on LEAP model BAU or Tier III additions; essentially accounting for any naturally occuring electrification in excess of Tier III absent additional policies</t>
        </r>
      </text>
    </comment>
    <comment ref="B40" authorId="0" shapeId="0" xr:uid="{6876AEA8-6B48-4C2B-85F6-4BDBF58BDFC1}">
      <text>
        <r>
          <rPr>
            <b/>
            <sz val="9"/>
            <color indexed="81"/>
            <rFont val="Tahoma"/>
            <family val="2"/>
          </rPr>
          <t>Jacobs, Adam:</t>
        </r>
        <r>
          <rPr>
            <sz val="9"/>
            <color indexed="81"/>
            <rFont val="Tahoma"/>
            <family val="2"/>
          </rPr>
          <t xml:space="preserve">
LEAP model BAU electrification # of units for CCHP and EVs as of 12/14/22</t>
        </r>
      </text>
    </comment>
    <comment ref="B52" authorId="0" shapeId="0" xr:uid="{88348446-0A64-468B-A6E8-A6030128415E}">
      <text>
        <r>
          <rPr>
            <b/>
            <sz val="9"/>
            <color indexed="81"/>
            <rFont val="Tahoma"/>
            <family val="2"/>
          </rPr>
          <t>Jacobs, Adam:</t>
        </r>
        <r>
          <rPr>
            <sz val="9"/>
            <color indexed="81"/>
            <rFont val="Tahoma"/>
            <family val="2"/>
          </rPr>
          <t xml:space="preserve">
LEAP model central mitigation scenario load as of 12/14/22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Jacobs, Adam</author>
  </authors>
  <commentList>
    <comment ref="C3" authorId="0" shapeId="0" xr:uid="{6D7A0515-1647-429C-A0E0-D86A10600197}">
      <text>
        <r>
          <rPr>
            <b/>
            <sz val="9"/>
            <color indexed="81"/>
            <rFont val="Tahoma"/>
            <family val="2"/>
          </rPr>
          <t>Jacobs, Adam:</t>
        </r>
        <r>
          <rPr>
            <sz val="9"/>
            <color indexed="81"/>
            <rFont val="Tahoma"/>
            <family val="2"/>
          </rPr>
          <t xml:space="preserve">
was 50% but most VT utilities hedged at 80% or more and even though some long-term contracts are partly tied to market rates, they're generally capped (Example -HQ)
per DU feedback on draft model, increased this % to account for losses, balancing transactions and ancilary services tied to market</t>
        </r>
      </text>
    </comment>
    <comment ref="C4" authorId="0" shapeId="0" xr:uid="{53C83DC7-8A0B-430D-8CAD-C6B4C709F309}">
      <text>
        <r>
          <rPr>
            <b/>
            <sz val="9"/>
            <color indexed="81"/>
            <rFont val="Tahoma"/>
            <family val="2"/>
          </rPr>
          <t>Jacobs, Adam:</t>
        </r>
        <r>
          <rPr>
            <sz val="9"/>
            <color indexed="81"/>
            <rFont val="Tahoma"/>
            <family val="2"/>
          </rPr>
          <t xml:space="preserve">
was 45% but T&amp;D service, labor costs and many long-term power supply contract prices escalate at inflation so increased to 70%
decreased to allocate more to market per DU feedback on draft model</t>
        </r>
      </text>
    </comment>
    <comment ref="C5" authorId="0" shapeId="0" xr:uid="{63EFB45E-D33A-4DE5-82F3-B8E5CC85C38F}">
      <text>
        <r>
          <rPr>
            <b/>
            <sz val="9"/>
            <color indexed="81"/>
            <rFont val="Tahoma"/>
            <family val="2"/>
          </rPr>
          <t>Jacobs, Adam:</t>
        </r>
        <r>
          <rPr>
            <sz val="9"/>
            <color indexed="81"/>
            <rFont val="Tahoma"/>
            <family val="2"/>
          </rPr>
          <t xml:space="preserve">
was 5% but updated based on GMP 22-0175-TF which projected 10% COS to be deprecation FY24-26</t>
        </r>
      </text>
    </comment>
    <comment ref="B6" authorId="0" shapeId="0" xr:uid="{9F429AD2-5050-4BA6-AB51-62A55DBF4831}">
      <text>
        <r>
          <rPr>
            <b/>
            <sz val="9"/>
            <color indexed="81"/>
            <rFont val="Tahoma"/>
            <family val="2"/>
          </rPr>
          <t>Jacobs, Adam:</t>
        </r>
        <r>
          <rPr>
            <sz val="9"/>
            <color indexed="81"/>
            <rFont val="Tahoma"/>
            <family val="2"/>
          </rPr>
          <t xml:space="preserve">
Retail Sales from 2021 annual resource survey</t>
        </r>
      </text>
    </comment>
    <comment ref="G15" authorId="0" shapeId="0" xr:uid="{734B1185-E2CC-448D-A418-C77898B4F957}">
      <text>
        <r>
          <rPr>
            <b/>
            <sz val="9"/>
            <color indexed="81"/>
            <rFont val="Tahoma"/>
            <family val="2"/>
          </rPr>
          <t>Jacobs, Adam:</t>
        </r>
        <r>
          <rPr>
            <sz val="9"/>
            <color indexed="81"/>
            <rFont val="Tahoma"/>
            <family val="2"/>
          </rPr>
          <t xml:space="preserve">
backed out 2021 actual RES costs of $16,940,963 to get baseline COS without the RES.</t>
        </r>
      </text>
    </comment>
    <comment ref="B24" authorId="0" shapeId="0" xr:uid="{2E861CE4-F997-4FFE-9E95-557A610A620A}">
      <text>
        <r>
          <rPr>
            <b/>
            <sz val="9"/>
            <color indexed="81"/>
            <rFont val="Tahoma"/>
            <family val="2"/>
          </rPr>
          <t>Jacobs, Adam:</t>
        </r>
        <r>
          <rPr>
            <sz val="9"/>
            <color indexed="81"/>
            <rFont val="Tahoma"/>
            <family val="2"/>
          </rPr>
          <t xml:space="preserve">
related to additional load from Tier III measures</t>
        </r>
      </text>
    </comment>
    <comment ref="B31" authorId="0" shapeId="0" xr:uid="{E89824CD-2A81-49D8-AF6B-F540DB098777}">
      <text>
        <r>
          <rPr>
            <b/>
            <sz val="9"/>
            <color indexed="81"/>
            <rFont val="Tahoma"/>
            <family val="2"/>
          </rPr>
          <t>Jacobs, Adam:</t>
        </r>
        <r>
          <rPr>
            <sz val="9"/>
            <color indexed="81"/>
            <rFont val="Tahoma"/>
            <family val="2"/>
          </rPr>
          <t xml:space="preserve">
based on actual 2021 sales escalating at VELCO LRTP baseline escalation, plus new NM and additional load resulting from Tier III measures</t>
        </r>
      </text>
    </comment>
    <comment ref="B40" authorId="0" shapeId="0" xr:uid="{90A1982F-CF6A-40ED-BE6F-450C34B02B4F}">
      <text>
        <r>
          <rPr>
            <b/>
            <sz val="9"/>
            <color indexed="81"/>
            <rFont val="Tahoma"/>
            <family val="2"/>
          </rPr>
          <t>Jacobs, Adam:</t>
        </r>
        <r>
          <rPr>
            <sz val="9"/>
            <color indexed="81"/>
            <rFont val="Tahoma"/>
            <family val="2"/>
          </rPr>
          <t xml:space="preserve">
impact of Tier III; NOT NM impacts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Jacobs, Adam</author>
  </authors>
  <commentList>
    <comment ref="B6" authorId="0" shapeId="0" xr:uid="{4B5314C8-0631-4D49-BDE6-6A0FF3B22E62}">
      <text>
        <r>
          <rPr>
            <b/>
            <sz val="9"/>
            <color indexed="81"/>
            <rFont val="Tahoma"/>
            <family val="2"/>
          </rPr>
          <t>Jacobs, Adam:</t>
        </r>
        <r>
          <rPr>
            <sz val="9"/>
            <color indexed="81"/>
            <rFont val="Tahoma"/>
            <family val="2"/>
          </rPr>
          <t xml:space="preserve">
NYPA pre-dates the RES and must be backed out of Tier I costs.
Prior iteration of RES model only covered one of St. Lawrence and Niagra contracts. 2021 value based on resource survey total NYPA deliveries of 120,988MWh and attributes</t>
        </r>
      </text>
    </comment>
    <comment ref="B8" authorId="0" shapeId="0" xr:uid="{3265DE6C-19BD-458E-827D-27959E6967F8}">
      <text>
        <r>
          <rPr>
            <b/>
            <sz val="9"/>
            <color indexed="81"/>
            <rFont val="Tahoma"/>
            <family val="2"/>
          </rPr>
          <t>Jacobs, Adam:</t>
        </r>
        <r>
          <rPr>
            <sz val="9"/>
            <color indexed="81"/>
            <rFont val="Tahoma"/>
            <family val="2"/>
          </rPr>
          <t xml:space="preserve">
new GMP fixed volume Tier I REC contract starting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Fischer, Maria</author>
    <author>Jacobs, Adam</author>
    <author>tc={7E7E626D-B284-4A12-B0F2-D1DBCE873C29}</author>
    <author>tc={7899BF73-3012-4B02-B537-EEAF9040BD30}</author>
  </authors>
  <commentList>
    <comment ref="B5" authorId="0" shapeId="0" xr:uid="{00000000-0006-0000-0600-000001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B6" authorId="0" shapeId="0" xr:uid="{7D5874B5-3C8E-4E27-A1AE-A418176B5C43}">
      <text>
        <r>
          <rPr>
            <b/>
            <sz val="9"/>
            <color indexed="81"/>
            <rFont val="Tahoma"/>
            <family val="2"/>
          </rPr>
          <t>Fischer, Maria:</t>
        </r>
        <r>
          <rPr>
            <sz val="9"/>
            <color indexed="81"/>
            <rFont val="Tahoma"/>
            <family val="2"/>
          </rPr>
          <t xml:space="preserve">
new NM.  Most do transfer RECs to utility.  This 52,300 is the number of NM RECs used in 2019, increased slightly for full year.  This value is a lot less than what we'd expect based on the NM online
</t>
        </r>
      </text>
    </comment>
    <comment ref="B11" authorId="0" shapeId="0" xr:uid="{00000000-0006-0000-0600-000002000000}">
      <text>
        <r>
          <rPr>
            <b/>
            <sz val="9"/>
            <color indexed="81"/>
            <rFont val="Tahoma"/>
            <family val="2"/>
          </rPr>
          <t>Fischer, Maria:</t>
        </r>
        <r>
          <rPr>
            <sz val="9"/>
            <color indexed="81"/>
            <rFont val="Tahoma"/>
            <family val="2"/>
          </rPr>
          <t xml:space="preserve">
does not allow for resale of NM RECs
</t>
        </r>
      </text>
    </comment>
    <comment ref="B13" authorId="0" shapeId="0" xr:uid="{00000000-0006-0000-0600-000003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B14" authorId="0" shapeId="0" xr:uid="{6E2BEECD-AFE5-4F29-A6BC-D28ED57A2E8C}">
      <text>
        <r>
          <rPr>
            <b/>
            <sz val="9"/>
            <color indexed="81"/>
            <rFont val="Tahoma"/>
            <family val="2"/>
          </rPr>
          <t>Fischer, Maria:</t>
        </r>
        <r>
          <rPr>
            <sz val="9"/>
            <color indexed="81"/>
            <rFont val="Tahoma"/>
            <family val="2"/>
          </rPr>
          <t xml:space="preserve">
new NM.  Most do transfer RECs to utility
</t>
        </r>
      </text>
    </comment>
    <comment ref="B15" authorId="1" shapeId="0" xr:uid="{4CE46F79-02A3-49C6-834D-6017FBA4FCA6}">
      <text>
        <r>
          <rPr>
            <b/>
            <sz val="9"/>
            <color indexed="81"/>
            <rFont val="Tahoma"/>
            <family val="2"/>
          </rPr>
          <t>Jacobs, Adam:</t>
        </r>
        <r>
          <rPr>
            <sz val="9"/>
            <color indexed="81"/>
            <rFont val="Tahoma"/>
            <family val="2"/>
          </rPr>
          <t xml:space="preserve">
imputed REC price from SO </t>
        </r>
      </text>
    </comment>
    <comment ref="B18" authorId="0" shapeId="0" xr:uid="{00000000-0006-0000-0600-000004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B19" authorId="0" shapeId="0" xr:uid="{8BEB08F9-5E13-4B6C-8BF1-C416B38E8FC4}">
      <text>
        <r>
          <rPr>
            <b/>
            <sz val="9"/>
            <color indexed="81"/>
            <rFont val="Tahoma"/>
            <family val="2"/>
          </rPr>
          <t>Fischer, Maria:</t>
        </r>
        <r>
          <rPr>
            <sz val="9"/>
            <color indexed="81"/>
            <rFont val="Tahoma"/>
            <family val="2"/>
          </rPr>
          <t xml:space="preserve">
new NM.  Most do transfer RECs to utility
</t>
        </r>
      </text>
    </comment>
    <comment ref="E34" authorId="1" shapeId="0" xr:uid="{91A62EBB-1186-4B99-9C62-7D07E6633AE5}">
      <text>
        <r>
          <rPr>
            <b/>
            <sz val="9"/>
            <color indexed="81"/>
            <rFont val="Tahoma"/>
            <family val="2"/>
          </rPr>
          <t>Jacobs, Adam:</t>
        </r>
        <r>
          <rPr>
            <sz val="9"/>
            <color indexed="81"/>
            <rFont val="Tahoma"/>
            <family val="2"/>
          </rPr>
          <t xml:space="preserve">
actuals based on 2022 NM biennial of 31 MW in 2020</t>
        </r>
      </text>
    </comment>
    <comment ref="F34" authorId="1" shapeId="0" xr:uid="{74651096-3882-49F8-8A00-C0E223E76CF5}">
      <text>
        <r>
          <rPr>
            <b/>
            <sz val="9"/>
            <color indexed="81"/>
            <rFont val="Tahoma"/>
            <family val="2"/>
          </rPr>
          <t>Jacobs, Adam:</t>
        </r>
        <r>
          <rPr>
            <sz val="9"/>
            <color indexed="81"/>
            <rFont val="Tahoma"/>
            <family val="2"/>
          </rPr>
          <t xml:space="preserve">
Actual of 28.3 MW for 2021  from 2022 NM biennial</t>
        </r>
      </text>
    </comment>
    <comment ref="J36" authorId="1" shapeId="0" xr:uid="{913C6F46-90DD-4941-8996-CB3B26FE27F5}">
      <text>
        <r>
          <rPr>
            <b/>
            <sz val="9"/>
            <color indexed="81"/>
            <rFont val="Tahoma"/>
            <family val="2"/>
          </rPr>
          <t>Jacobs, Adam:</t>
        </r>
        <r>
          <rPr>
            <sz val="9"/>
            <color indexed="81"/>
            <rFont val="Tahoma"/>
            <family val="2"/>
          </rPr>
          <t xml:space="preserve">
feedback from GMP was that they expected continued NM growth with 24MW in 2025 in their 2021 IRP. This was pre 2022 NM biennial which reduced compensation slightly, so we have modeled a slower tapering of NM capacity in our udpated high scenario w/ 24MW in 2025 followed by 1MW reductions in each subsequent year</t>
        </r>
      </text>
    </comment>
    <comment ref="E46" authorId="2" shapeId="0" xr:uid="{7E7E626D-B284-4A12-B0F2-D1DBCE873C29}">
      <text>
        <t>[Threaded comment]
Your version of Excel allows you to read this threaded comment; however, any edits to it will get removed if the file is opened in a newer version of Excel. Learn more: https://go.microsoft.com/fwlink/?linkid=870924
Comment:
    actual</t>
      </text>
    </comment>
    <comment ref="F46" authorId="3" shapeId="0" xr:uid="{7899BF73-3012-4B02-B537-EEAF9040BD30}">
      <text>
        <t>[Threaded comment]
Your version of Excel allows you to read this threaded comment; however, any edits to it will get removed if the file is opened in a newer version of Excel. Learn more: https://go.microsoft.com/fwlink/?linkid=870924
Comment:
    Actual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tc={2D5082E3-CDF3-4D36-A401-8E9D1C75FDA4}</author>
    <author>Jacobs, Adam</author>
    <author>Richard Faesy</author>
    <author>Levenson, Keith</author>
    <author>tc={4774CEDB-B83C-4DBA-AC5C-52F2327F202F}</author>
  </authors>
  <commentList>
    <comment ref="E1" authorId="0" shapeId="0" xr:uid="{2D5082E3-CDF3-4D36-A401-8E9D1C75FDA4}">
      <text>
        <t>[Threaded comment]
Your version of Excel allows you to read this threaded comment; however, any edits to it will get removed if the file is opened in a newer version of Excel. Learn more: https://go.microsoft.com/fwlink/?linkid=870924
Comment:
    These values were set with a trial and error method—low FF has incentives for CCHP and EVs around $1000, and high FF has incentives around $500 per unit, which seem like reasonable per measure incentives.</t>
      </text>
    </comment>
    <comment ref="A2" authorId="1" shapeId="0" xr:uid="{EEE0B6DC-66E9-4AAC-8514-33EA7A31DE6D}">
      <text>
        <r>
          <rPr>
            <b/>
            <sz val="9"/>
            <color indexed="81"/>
            <rFont val="Tahoma"/>
            <family val="2"/>
          </rPr>
          <t xml:space="preserve">Jacobs, Adam:
</t>
        </r>
        <r>
          <rPr>
            <sz val="9"/>
            <color indexed="81"/>
            <rFont val="Tahoma"/>
            <family val="2"/>
          </rPr>
          <t>Updated to address DU feedback
GMP's 2021 incentives of -</t>
        </r>
        <r>
          <rPr>
            <sz val="9"/>
            <color indexed="81"/>
            <rFont val="Tahoma"/>
            <family val="2"/>
          </rPr>
          <t xml:space="preserve">
CCHP = $26/Mwhe
EV = $52/Mwhe
Customer = $16/Mwhe
BED also notes higher rebate levels</t>
        </r>
      </text>
    </comment>
    <comment ref="C2" authorId="1" shapeId="0" xr:uid="{93844EDE-8477-4883-AB27-66773DA29CB6}">
      <text>
        <r>
          <rPr>
            <b/>
            <sz val="9"/>
            <color indexed="81"/>
            <rFont val="Tahoma"/>
            <family val="2"/>
          </rPr>
          <t>Jacobs, Adam:</t>
        </r>
        <r>
          <rPr>
            <sz val="9"/>
            <color indexed="81"/>
            <rFont val="Tahoma"/>
            <family val="2"/>
          </rPr>
          <t xml:space="preserve">
see "Core Assumptions" tab for details on allocations</t>
        </r>
      </text>
    </comment>
    <comment ref="K2" authorId="2" shapeId="0" xr:uid="{00000000-0006-0000-0700-000001000000}">
      <text>
        <r>
          <rPr>
            <sz val="9"/>
            <color indexed="81"/>
            <rFont val="Tahoma"/>
            <family val="2"/>
          </rPr>
          <t>http://www.eia.gov/totalenergy/data/monthly/pdf/sec13_6.pdf
Table A6: Monthly Updates page on EIA site: http://www.eia.gov/totalenergy/data/monthly/</t>
        </r>
      </text>
    </comment>
    <comment ref="AA2" authorId="1" shapeId="0" xr:uid="{5E9BE8BC-F35C-45D8-B416-10BB3B855628}">
      <text>
        <r>
          <rPr>
            <b/>
            <sz val="9"/>
            <color indexed="81"/>
            <rFont val="Tahoma"/>
            <family val="2"/>
          </rPr>
          <t>Jacobs, Adam:</t>
        </r>
        <r>
          <rPr>
            <sz val="9"/>
            <color indexed="81"/>
            <rFont val="Tahoma"/>
            <family val="2"/>
          </rPr>
          <t xml:space="preserve">
2021 actuals from DEER team</t>
        </r>
      </text>
    </comment>
    <comment ref="AA3" authorId="3" shapeId="0" xr:uid="{BEE9FF2F-6B63-4752-9F36-9B08542EDCEB}">
      <text>
        <r>
          <rPr>
            <sz val="11"/>
            <color theme="1"/>
            <rFont val="Calibri"/>
            <family val="2"/>
            <scheme val="minor"/>
          </rPr>
          <t xml:space="preserve">Levenson, Keith:
Includes 388 Heat pump water heaters
</t>
        </r>
      </text>
    </comment>
    <comment ref="AA4" authorId="3" shapeId="0" xr:uid="{2E399E7D-CB91-4AE6-81BD-2DD776957382}">
      <text>
        <r>
          <rPr>
            <sz val="11"/>
            <color theme="1"/>
            <rFont val="Calibri"/>
            <family val="2"/>
            <scheme val="minor"/>
          </rPr>
          <t xml:space="preserve">Levenson, Keith:
includes 754 ebikes, charging stations, lawnmowers and forklifts
</t>
        </r>
      </text>
    </comment>
    <comment ref="G6" authorId="4" shapeId="0" xr:uid="{4774CEDB-B83C-4DBA-AC5C-52F2327F202F}">
      <text>
        <t>[Threaded comment]
Your version of Excel allows you to read this threaded comment; however, any edits to it will get removed if the file is opened in a newer version of Excel. Learn more: https://go.microsoft.com/fwlink/?linkid=870924
Comment:
    29 kwh of additional load per MWh of claimed savings based on VEC 2017 actual</t>
      </text>
    </comment>
    <comment ref="AB8" authorId="1" shapeId="0" xr:uid="{C72EF0E3-8542-4387-90D4-70694C7A6337}">
      <text>
        <r>
          <rPr>
            <b/>
            <sz val="9"/>
            <color indexed="81"/>
            <rFont val="Tahoma"/>
            <family val="2"/>
          </rPr>
          <t>Jacobs, Adam:</t>
        </r>
        <r>
          <rPr>
            <sz val="9"/>
            <color indexed="81"/>
            <rFont val="Tahoma"/>
            <family val="2"/>
          </rPr>
          <t xml:space="preserve">
well in excess of 2021 requirement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Jacobs, Adam</author>
  </authors>
  <commentList>
    <comment ref="F6" authorId="0" shapeId="0" xr:uid="{1793DC24-969D-4B55-AA20-668CADA1032F}">
      <text>
        <r>
          <rPr>
            <b/>
            <sz val="9"/>
            <color indexed="81"/>
            <rFont val="Tahoma"/>
            <family val="2"/>
          </rPr>
          <t>Jacobs, Adam:</t>
        </r>
        <r>
          <rPr>
            <sz val="9"/>
            <color indexed="81"/>
            <rFont val="Tahoma"/>
            <family val="2"/>
          </rPr>
          <t xml:space="preserve">
actuals came in higher towards end of year</t>
        </r>
      </text>
    </comment>
    <comment ref="G6" authorId="0" shapeId="0" xr:uid="{AF2A5725-802F-490A-9F56-E030621E2FF5}">
      <text>
        <r>
          <rPr>
            <b/>
            <sz val="9"/>
            <color indexed="81"/>
            <rFont val="Tahoma"/>
            <family val="2"/>
          </rPr>
          <t>Jacobs, Adam:</t>
        </r>
        <r>
          <rPr>
            <sz val="9"/>
            <color indexed="81"/>
            <rFont val="Tahoma"/>
            <family val="2"/>
          </rPr>
          <t xml:space="preserve">
2022 YTD and forwards for remainder of year</t>
        </r>
      </text>
    </comment>
    <comment ref="H6" authorId="0" shapeId="0" xr:uid="{5BFA969B-5D8F-4601-9367-1810F19BEE65}">
      <text>
        <r>
          <rPr>
            <b/>
            <sz val="9"/>
            <color indexed="81"/>
            <rFont val="Tahoma"/>
            <family val="2"/>
          </rPr>
          <t>Jacobs, Adam:</t>
        </r>
        <r>
          <rPr>
            <sz val="9"/>
            <color indexed="81"/>
            <rFont val="Tahoma"/>
            <family val="2"/>
          </rPr>
          <t xml:space="preserve">
average of forwards for CY2023. pulled once a month toward beginning of the month from April through October 2022. weighting 54% on-peak, 46% off-peak</t>
        </r>
      </text>
    </comment>
    <comment ref="I6" authorId="0" shapeId="0" xr:uid="{1615CC32-5141-4F71-BEE8-B2A0B985B69D}">
      <text>
        <r>
          <rPr>
            <b/>
            <sz val="9"/>
            <color indexed="81"/>
            <rFont val="Tahoma"/>
            <family val="2"/>
          </rPr>
          <t>Jacobs, Adam:</t>
        </r>
        <r>
          <rPr>
            <sz val="9"/>
            <color indexed="81"/>
            <rFont val="Tahoma"/>
            <family val="2"/>
          </rPr>
          <t xml:space="preserve">
2024 out to 2031 is escalated at % change of henry hub forward gas prices
</t>
        </r>
        <r>
          <rPr>
            <b/>
            <sz val="9"/>
            <color indexed="81"/>
            <rFont val="Tahoma"/>
            <family val="2"/>
          </rPr>
          <t xml:space="preserve">Updates 12/12
</t>
        </r>
        <r>
          <rPr>
            <sz val="9"/>
            <color indexed="81"/>
            <rFont val="Tahoma"/>
            <family val="2"/>
          </rPr>
          <t>per DU feedback, longer-term outlook in late 2020s closer to $68/MWh so new forecast reflects this tempering in rates for 2026-2031</t>
        </r>
      </text>
    </comment>
    <comment ref="K6" authorId="0" shapeId="0" xr:uid="{E3EB3365-345A-431F-9AA5-1818F138BEBA}">
      <text>
        <r>
          <rPr>
            <b/>
            <sz val="9"/>
            <color indexed="81"/>
            <rFont val="Tahoma"/>
            <family val="2"/>
          </rPr>
          <t>Jacobs, Adam:</t>
        </r>
        <r>
          <rPr>
            <sz val="9"/>
            <color indexed="81"/>
            <rFont val="Tahoma"/>
            <family val="2"/>
          </rPr>
          <t xml:space="preserve">
updated latter end of 2020s to temper costs more based on DU feedback RE: market expecations</t>
        </r>
      </text>
    </comment>
    <comment ref="G23" authorId="0" shapeId="0" xr:uid="{1A4135AB-0055-4EDA-BD11-31CB677ED5BD}">
      <text>
        <r>
          <rPr>
            <b/>
            <sz val="9"/>
            <color indexed="81"/>
            <rFont val="Tahoma"/>
            <family val="2"/>
          </rPr>
          <t>Jacobs, Adam:</t>
        </r>
        <r>
          <rPr>
            <sz val="9"/>
            <color indexed="81"/>
            <rFont val="Tahoma"/>
            <family val="2"/>
          </rPr>
          <t xml:space="preserve">
High scenario = ACP given that prices are already approaching this level</t>
        </r>
      </text>
    </comment>
    <comment ref="G25" authorId="0" shapeId="0" xr:uid="{ACBD8444-89B4-4359-B351-64D5A5A53A8D}">
      <text>
        <r>
          <rPr>
            <b/>
            <sz val="9"/>
            <color indexed="81"/>
            <rFont val="Tahoma"/>
            <family val="2"/>
          </rPr>
          <t>Jacobs, Adam:</t>
        </r>
        <r>
          <rPr>
            <sz val="9"/>
            <color indexed="81"/>
            <rFont val="Tahoma"/>
            <family val="2"/>
          </rPr>
          <t xml:space="preserve">
Average of MA Class I REC sales by VT utilities in 2021</t>
        </r>
      </text>
    </comment>
    <comment ref="H25" authorId="0" shapeId="0" xr:uid="{19177BF4-8490-410A-BE38-54C5D0323874}">
      <text>
        <r>
          <rPr>
            <b/>
            <sz val="9"/>
            <color indexed="81"/>
            <rFont val="Tahoma"/>
            <family val="2"/>
          </rPr>
          <t>Jacobs, Adam:</t>
        </r>
        <r>
          <rPr>
            <sz val="9"/>
            <color indexed="81"/>
            <rFont val="Tahoma"/>
            <family val="2"/>
          </rPr>
          <t xml:space="preserve">
Average of actual transactions from broker shared 10.10.22</t>
        </r>
      </text>
    </comment>
    <comment ref="I25" authorId="0" shapeId="0" xr:uid="{0BFA636B-FBD2-4C42-9309-92EF0B0D6589}">
      <text>
        <r>
          <rPr>
            <b/>
            <sz val="9"/>
            <color indexed="81"/>
            <rFont val="Tahoma"/>
            <family val="2"/>
          </rPr>
          <t>Jacobs, Adam:</t>
        </r>
        <r>
          <rPr>
            <sz val="9"/>
            <color indexed="81"/>
            <rFont val="Tahoma"/>
            <family val="2"/>
          </rPr>
          <t xml:space="preserve">
Average of actual transactions from broker shared 10.10.22</t>
        </r>
      </text>
    </comment>
    <comment ref="J25" authorId="0" shapeId="0" xr:uid="{C13EBB70-ADEA-424C-AADC-017857A0F3C9}">
      <text>
        <r>
          <rPr>
            <b/>
            <sz val="9"/>
            <color indexed="81"/>
            <rFont val="Tahoma"/>
            <family val="2"/>
          </rPr>
          <t>Jacobs, Adam:</t>
        </r>
        <r>
          <rPr>
            <sz val="9"/>
            <color indexed="81"/>
            <rFont val="Tahoma"/>
            <family val="2"/>
          </rPr>
          <t xml:space="preserve">
Average of actual transactions from broker shared 10.10.22</t>
        </r>
      </text>
    </comment>
    <comment ref="K25" authorId="0" shapeId="0" xr:uid="{62167CDE-DFFF-435F-8492-887B4CE7A980}">
      <text>
        <r>
          <rPr>
            <b/>
            <sz val="9"/>
            <color indexed="81"/>
            <rFont val="Tahoma"/>
            <family val="2"/>
          </rPr>
          <t>Jacobs, Adam:</t>
        </r>
        <r>
          <rPr>
            <sz val="9"/>
            <color indexed="81"/>
            <rFont val="Tahoma"/>
            <family val="2"/>
          </rPr>
          <t xml:space="preserve">
10% annual reduction in price in 2025/2026 then a price floor around $24 for rest of model horizon based on stakeholder feedback</t>
        </r>
      </text>
    </comment>
    <comment ref="G26" authorId="0" shapeId="0" xr:uid="{1737FC32-A822-4A3D-A8BC-E16BD26A03C4}">
      <text>
        <r>
          <rPr>
            <b/>
            <sz val="9"/>
            <color indexed="81"/>
            <rFont val="Tahoma"/>
            <family val="2"/>
          </rPr>
          <t>Jacobs, Adam:</t>
        </r>
        <r>
          <rPr>
            <sz val="9"/>
            <color indexed="81"/>
            <rFont val="Tahoma"/>
            <family val="2"/>
          </rPr>
          <t xml:space="preserve">
Average of MA Class I REC sales by VT utilities in 2021</t>
        </r>
      </text>
    </comment>
    <comment ref="H26" authorId="0" shapeId="0" xr:uid="{5792BF4E-C0A3-49AD-B0B1-92127B4C49F1}">
      <text>
        <r>
          <rPr>
            <b/>
            <sz val="9"/>
            <color indexed="81"/>
            <rFont val="Tahoma"/>
            <family val="2"/>
          </rPr>
          <t>Jacobs, Adam:</t>
        </r>
        <r>
          <rPr>
            <sz val="9"/>
            <color indexed="81"/>
            <rFont val="Tahoma"/>
            <family val="2"/>
          </rPr>
          <t xml:space="preserve">
Average of actual transactions from broker shared 10.10.22</t>
        </r>
      </text>
    </comment>
    <comment ref="I26" authorId="0" shapeId="0" xr:uid="{35EF2BE5-161E-4163-9249-8F7C21939DC5}">
      <text>
        <r>
          <rPr>
            <b/>
            <sz val="9"/>
            <color indexed="81"/>
            <rFont val="Tahoma"/>
            <family val="2"/>
          </rPr>
          <t>Jacobs, Adam:</t>
        </r>
        <r>
          <rPr>
            <sz val="9"/>
            <color indexed="81"/>
            <rFont val="Tahoma"/>
            <family val="2"/>
          </rPr>
          <t xml:space="preserve">
Average of actual transactions from broker shared 10.10.22</t>
        </r>
      </text>
    </comment>
    <comment ref="J26" authorId="0" shapeId="0" xr:uid="{264DB079-FAA6-4040-9945-D312E18E5D09}">
      <text>
        <r>
          <rPr>
            <b/>
            <sz val="9"/>
            <color indexed="81"/>
            <rFont val="Tahoma"/>
            <family val="2"/>
          </rPr>
          <t>Jacobs, Adam:</t>
        </r>
        <r>
          <rPr>
            <sz val="9"/>
            <color indexed="81"/>
            <rFont val="Tahoma"/>
            <family val="2"/>
          </rPr>
          <t xml:space="preserve">
Average of actual transactions from broker shared 10.10.22</t>
        </r>
      </text>
    </comment>
    <comment ref="G27" authorId="0" shapeId="0" xr:uid="{9D995904-7EBD-438A-B7E8-CAEEB3E0BEC1}">
      <text>
        <r>
          <rPr>
            <b/>
            <sz val="9"/>
            <color indexed="81"/>
            <rFont val="Tahoma"/>
            <family val="2"/>
          </rPr>
          <t>Jacobs, Adam:</t>
        </r>
        <r>
          <rPr>
            <sz val="9"/>
            <color indexed="81"/>
            <rFont val="Tahoma"/>
            <family val="2"/>
          </rPr>
          <t xml:space="preserve">
Average of MA Class I REC sales by VT utilities in 2021</t>
        </r>
      </text>
    </comment>
    <comment ref="H27" authorId="0" shapeId="0" xr:uid="{76BA22FE-0CE2-4C76-AF28-4AA781573027}">
      <text>
        <r>
          <rPr>
            <b/>
            <sz val="9"/>
            <color indexed="81"/>
            <rFont val="Tahoma"/>
            <family val="2"/>
          </rPr>
          <t>Jacobs, Adam:</t>
        </r>
        <r>
          <rPr>
            <sz val="9"/>
            <color indexed="81"/>
            <rFont val="Tahoma"/>
            <family val="2"/>
          </rPr>
          <t xml:space="preserve">
Average of actual transactions from broker shared 10.10.22</t>
        </r>
      </text>
    </comment>
    <comment ref="I27" authorId="0" shapeId="0" xr:uid="{C3FF5878-D4B0-4DF6-8F5C-C9B1F15967F9}">
      <text>
        <r>
          <rPr>
            <b/>
            <sz val="9"/>
            <color indexed="81"/>
            <rFont val="Tahoma"/>
            <family val="2"/>
          </rPr>
          <t>Jacobs, Adam:</t>
        </r>
        <r>
          <rPr>
            <sz val="9"/>
            <color indexed="81"/>
            <rFont val="Tahoma"/>
            <family val="2"/>
          </rPr>
          <t xml:space="preserve">
Average of actual transactions from broker shared 10.10.22</t>
        </r>
      </text>
    </comment>
    <comment ref="J27" authorId="0" shapeId="0" xr:uid="{39A756C5-8A1E-4DD4-95D9-1270B84C589D}">
      <text>
        <r>
          <rPr>
            <b/>
            <sz val="9"/>
            <color indexed="81"/>
            <rFont val="Tahoma"/>
            <family val="2"/>
          </rPr>
          <t>Jacobs, Adam:</t>
        </r>
        <r>
          <rPr>
            <sz val="9"/>
            <color indexed="81"/>
            <rFont val="Tahoma"/>
            <family val="2"/>
          </rPr>
          <t xml:space="preserve">
Average of actual transactions from broker shared 10.10.22</t>
        </r>
      </text>
    </comment>
    <comment ref="K27" authorId="0" shapeId="0" xr:uid="{652C148B-4C10-4C72-BA8E-6F38CC606AAF}">
      <text>
        <r>
          <rPr>
            <b/>
            <sz val="9"/>
            <color indexed="81"/>
            <rFont val="Tahoma"/>
            <family val="2"/>
          </rPr>
          <t>Jacobs, Adam:</t>
        </r>
        <r>
          <rPr>
            <sz val="9"/>
            <color indexed="81"/>
            <rFont val="Tahoma"/>
            <family val="2"/>
          </rPr>
          <t xml:space="preserve">
5%, 10% annual increase in price, then stable around $40 based on stakeholder feedback</t>
        </r>
      </text>
    </comment>
    <comment ref="B39" authorId="0" shapeId="0" xr:uid="{DEEF57FB-EE7D-4180-B744-D5CA0850B8E3}">
      <text>
        <r>
          <rPr>
            <b/>
            <sz val="9"/>
            <color indexed="81"/>
            <rFont val="Tahoma"/>
            <family val="2"/>
          </rPr>
          <t>Jacobs, Adam:</t>
        </r>
        <r>
          <rPr>
            <sz val="9"/>
            <color indexed="81"/>
            <rFont val="Tahoma"/>
            <family val="2"/>
          </rPr>
          <t xml:space="preserve">
changed from prior year where COS Market Tied linked to Row 38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Jacobs, Adam</author>
    <author>Fischer, Maria</author>
    <author>tc={FFCEC4D2-2087-4F12-A7ED-63466D74372E}</author>
  </authors>
  <commentList>
    <comment ref="C5" authorId="0" shapeId="0" xr:uid="{38658D45-0422-4DBC-AC6D-6C195CC2C7ED}">
      <text>
        <r>
          <rPr>
            <b/>
            <sz val="9"/>
            <color indexed="81"/>
            <rFont val="Tahoma"/>
            <family val="2"/>
          </rPr>
          <t>Jacobs, Adam:</t>
        </r>
        <r>
          <rPr>
            <sz val="9"/>
            <color indexed="81"/>
            <rFont val="Tahoma"/>
            <family val="2"/>
          </rPr>
          <t xml:space="preserve">
In 2016, the final year before RES compliance began, Vermont's energy was sourced from 48% non-fossil fuels and 52% ISO-NE system mix.  
</t>
        </r>
      </text>
    </comment>
    <comment ref="D5" authorId="0" shapeId="0" xr:uid="{5875A00A-E43E-4F53-BEB0-15436763F85E}">
      <text>
        <r>
          <rPr>
            <b/>
            <sz val="9"/>
            <color indexed="81"/>
            <rFont val="Tahoma"/>
            <family val="2"/>
          </rPr>
          <t>Jacobs, Adam:</t>
        </r>
        <r>
          <rPr>
            <sz val="9"/>
            <color indexed="81"/>
            <rFont val="Tahoma"/>
            <family val="2"/>
          </rPr>
          <t xml:space="preserve">
2021 attributes retired for RES compliance + NE system mix to total </t>
        </r>
        <r>
          <rPr>
            <b/>
            <u/>
            <sz val="9"/>
            <color indexed="81"/>
            <rFont val="Tahoma"/>
            <family val="2"/>
          </rPr>
          <t>deliveries</t>
        </r>
        <r>
          <rPr>
            <sz val="9"/>
            <color indexed="81"/>
            <rFont val="Tahoma"/>
            <family val="2"/>
          </rPr>
          <t>. Note: this is higher than retail sales</t>
        </r>
      </text>
    </comment>
    <comment ref="F38" authorId="0" shapeId="0" xr:uid="{32B1BE82-4C11-4C29-B9DE-195427052D47}">
      <text>
        <r>
          <rPr>
            <b/>
            <sz val="9"/>
            <color indexed="81"/>
            <rFont val="Tahoma"/>
            <family val="2"/>
          </rPr>
          <t>Jacobs, Adam:</t>
        </r>
        <r>
          <rPr>
            <sz val="9"/>
            <color indexed="81"/>
            <rFont val="Tahoma"/>
            <family val="2"/>
          </rPr>
          <t xml:space="preserve">
based on actual 2021 post-REC retirement nuke %</t>
        </r>
      </text>
    </comment>
    <comment ref="B45" authorId="1" shapeId="0" xr:uid="{DF4425D8-E777-4BEC-8DBE-9F16FA1784E6}">
      <text>
        <r>
          <rPr>
            <b/>
            <sz val="9"/>
            <color indexed="81"/>
            <rFont val="Tahoma"/>
            <family val="2"/>
          </rPr>
          <t>Fischer, Maria:</t>
        </r>
        <r>
          <rPr>
            <sz val="9"/>
            <color indexed="81"/>
            <rFont val="Tahoma"/>
            <family val="2"/>
          </rPr>
          <t xml:space="preserve">
assumes constant emissions rate of the residual mix
</t>
        </r>
      </text>
    </comment>
    <comment ref="B46" authorId="1" shapeId="0" xr:uid="{D11984A1-2E41-4EFE-B4FA-5E97CE421E07}">
      <text>
        <r>
          <rPr>
            <b/>
            <sz val="9"/>
            <color indexed="81"/>
            <rFont val="Tahoma"/>
            <family val="2"/>
          </rPr>
          <t>Fischer, Maria:</t>
        </r>
        <r>
          <rPr>
            <sz val="9"/>
            <color indexed="81"/>
            <rFont val="Tahoma"/>
            <family val="2"/>
          </rPr>
          <t xml:space="preserve">
assumes constant emissions rate of the residual mix
</t>
        </r>
      </text>
    </comment>
    <comment ref="B47" authorId="1" shapeId="0" xr:uid="{00000000-0006-0000-0900-000001000000}">
      <text>
        <r>
          <rPr>
            <b/>
            <sz val="9"/>
            <color indexed="81"/>
            <rFont val="Tahoma"/>
            <family val="2"/>
          </rPr>
          <t>Fischer, Maria:</t>
        </r>
        <r>
          <rPr>
            <sz val="9"/>
            <color indexed="81"/>
            <rFont val="Tahoma"/>
            <family val="2"/>
          </rPr>
          <t xml:space="preserve">
assumes constant emissions rate of the residual mix
</t>
        </r>
      </text>
    </comment>
    <comment ref="B52" authorId="1" shapeId="0" xr:uid="{D8A0A609-6A85-49E1-A476-3144777EE975}">
      <text>
        <r>
          <rPr>
            <b/>
            <sz val="9"/>
            <color indexed="81"/>
            <rFont val="Tahoma"/>
            <family val="2"/>
          </rPr>
          <t>Fischer, Maria:</t>
        </r>
        <r>
          <rPr>
            <sz val="9"/>
            <color indexed="81"/>
            <rFont val="Tahoma"/>
            <family val="2"/>
          </rPr>
          <t xml:space="preserve">
assumes constant emissions rate of the residual mix
</t>
        </r>
      </text>
    </comment>
    <comment ref="B53" authorId="1" shapeId="0" xr:uid="{A181A58D-80F4-4F09-816D-04B633E54F46}">
      <text>
        <r>
          <rPr>
            <b/>
            <sz val="9"/>
            <color indexed="81"/>
            <rFont val="Tahoma"/>
            <family val="2"/>
          </rPr>
          <t>Fischer, Maria:</t>
        </r>
        <r>
          <rPr>
            <sz val="9"/>
            <color indexed="81"/>
            <rFont val="Tahoma"/>
            <family val="2"/>
          </rPr>
          <t xml:space="preserve">
assumes constant emissions rate of the residual mix
</t>
        </r>
      </text>
    </comment>
    <comment ref="B54" authorId="1" shapeId="0" xr:uid="{6E16D5B9-3718-4EE7-974D-90054C9DE4FC}">
      <text>
        <r>
          <rPr>
            <b/>
            <sz val="9"/>
            <color indexed="81"/>
            <rFont val="Tahoma"/>
            <family val="2"/>
          </rPr>
          <t>Fischer, Maria:</t>
        </r>
        <r>
          <rPr>
            <sz val="9"/>
            <color indexed="81"/>
            <rFont val="Tahoma"/>
            <family val="2"/>
          </rPr>
          <t xml:space="preserve">
assumes constant emissions rate of the residual mix
</t>
        </r>
      </text>
    </comment>
    <comment ref="B62" authorId="2" shapeId="0" xr:uid="{FFCEC4D2-2087-4F12-A7ED-63466D74372E}">
      <text>
        <t>[Threaded comment]
Your version of Excel allows you to read this threaded comment; however, any edits to it will get removed if the file is opened in a newer version of Excel. Learn more: https://go.microsoft.com/fwlink/?linkid=870924
Comment:
    is this OK-- check for 2018</t>
      </text>
    </comment>
  </commentList>
</comments>
</file>

<file path=xl/sharedStrings.xml><?xml version="1.0" encoding="utf-8"?>
<sst xmlns="http://schemas.openxmlformats.org/spreadsheetml/2006/main" count="2829" uniqueCount="987">
  <si>
    <t>CURRENT SCENARIO</t>
  </si>
  <si>
    <t>NOTES</t>
  </si>
  <si>
    <t>PSD BASE CASE</t>
  </si>
  <si>
    <t>HIGH COST SCENARIO</t>
  </si>
  <si>
    <t>LOW COST SCENARIO</t>
  </si>
  <si>
    <t>Assumption Level of Certainty</t>
  </si>
  <si>
    <t>ASSUMPTIONS</t>
  </si>
  <si>
    <t>base year</t>
  </si>
  <si>
    <t>mid</t>
  </si>
  <si>
    <t>inflation rate</t>
  </si>
  <si>
    <t>https://www.bls.gov/charts/consumer-price-index/consumer-price-index-by-category-line-chart.htm</t>
  </si>
  <si>
    <t>Averaging long-term stable inflation of around 2.3% w/ currently high 8.3% from latest CPI due to fact that this is a 10-year model</t>
  </si>
  <si>
    <t>high</t>
  </si>
  <si>
    <t>customer discount rate</t>
  </si>
  <si>
    <t>6% (for utility perspective), 2% (for societal perspective)</t>
  </si>
  <si>
    <t>depreciation rate</t>
  </si>
  <si>
    <t>Retail Sales Scenario</t>
  </si>
  <si>
    <t>(base, high) base = VELCO LRTP base with elevated EV + ccHP deployment and NM adjustment; LEAP = from CAP/CEP central mitigation scenario + NM adjustment</t>
  </si>
  <si>
    <t>base/high</t>
  </si>
  <si>
    <t>Each of these three scenarions (PSD base, high cost scenario, low cost scenario) were run under the base and high load scenario</t>
  </si>
  <si>
    <t>low</t>
  </si>
  <si>
    <t>NM Escalation Rate</t>
  </si>
  <si>
    <t>(VELCO, low, mid, high) NM Scenarios on Tier II tab, rows 26-30</t>
  </si>
  <si>
    <t>(VELCO, low, mid, high) NM scenario on Tier II tab, rows 26-30</t>
  </si>
  <si>
    <t>REC Scenario</t>
  </si>
  <si>
    <t>(low, mid, high)</t>
  </si>
  <si>
    <t>Low</t>
  </si>
  <si>
    <t>residential electricity rate ($/MWh)</t>
  </si>
  <si>
    <t>GMP Residential rate</t>
  </si>
  <si>
    <t>blended residential rate from biennial as of 2022 Biennial</t>
  </si>
  <si>
    <t>EV charging rate</t>
  </si>
  <si>
    <t>current GMP Rate 74 - weighted avg 30% peak/ 70% off peak</t>
  </si>
  <si>
    <t xml:space="preserve">retail electricity price trend </t>
  </si>
  <si>
    <t>Fossil Fuel Scenario</t>
  </si>
  <si>
    <t>Low Fossil Fuel escalation</t>
  </si>
  <si>
    <t>Mid Fossil Fuel escalation</t>
  </si>
  <si>
    <t>High Fossil Fuel escalation</t>
  </si>
  <si>
    <t>6% is consistent with AEO base case</t>
  </si>
  <si>
    <t>Tier III Technology Allocation</t>
  </si>
  <si>
    <t>CCHP</t>
  </si>
  <si>
    <t>EV</t>
  </si>
  <si>
    <t>Weatherization</t>
  </si>
  <si>
    <t>Custom</t>
  </si>
  <si>
    <t>Tier II RECs</t>
  </si>
  <si>
    <t>TOTAL</t>
  </si>
  <si>
    <t>Tier III BASE Incentive Rates ($/claimed MWh)</t>
  </si>
  <si>
    <t>Tier III Incentive Escalation</t>
  </si>
  <si>
    <t>CCHP LMP multiplier</t>
  </si>
  <si>
    <t>electric cost to supply energy for additional Tier III load</t>
  </si>
  <si>
    <t>EV LMP multiplier</t>
  </si>
  <si>
    <t>Weatherization multiplier</t>
  </si>
  <si>
    <t>Custom multiplier</t>
  </si>
  <si>
    <t>Tier III contribution to RNS peaks</t>
  </si>
  <si>
    <t>(0 = no additional peak load; 1 = 100% of load at the time of peaks)</t>
  </si>
  <si>
    <t>Tier III contribution to FCM peaks</t>
  </si>
  <si>
    <t>Tier III Overhead in Year 1</t>
  </si>
  <si>
    <t>2021 reported was $806,378</t>
  </si>
  <si>
    <t>Tier III Overhead escalation</t>
  </si>
  <si>
    <t>RESULTS DASHBOARD: CURRENT SCENARIO</t>
  </si>
  <si>
    <t>ENERGY IMPACT RESULTS</t>
  </si>
  <si>
    <t>Total Energy Consumption</t>
  </si>
  <si>
    <t>Assumptions</t>
  </si>
  <si>
    <t>Load Forescast Scenario</t>
  </si>
  <si>
    <t>Electric Energy Consumption (MWh)</t>
  </si>
  <si>
    <t>Customer Discount Rate</t>
  </si>
  <si>
    <t>Electric Energy Consumption (%)</t>
  </si>
  <si>
    <t>REC Price Scenario</t>
  </si>
  <si>
    <t>Total Fossil Fuel Consumption</t>
  </si>
  <si>
    <t>NM Adoption Rate</t>
  </si>
  <si>
    <t>GHG Emissions (tons of CO2 Saved)</t>
  </si>
  <si>
    <t>Peak contribution of New Load</t>
  </si>
  <si>
    <t>Fossil Fuel Price</t>
  </si>
  <si>
    <t>Tier 1 Cost</t>
  </si>
  <si>
    <t>NPV 2021-2030</t>
  </si>
  <si>
    <t>Tier 2 Cost</t>
  </si>
  <si>
    <t>+Tier 3 Cost</t>
  </si>
  <si>
    <t>Incentives, Cost to Serve New Load</t>
  </si>
  <si>
    <t>-Additional Revenue</t>
  </si>
  <si>
    <t>Additional Utility Revenue from Tier III Electrification Measures</t>
  </si>
  <si>
    <t>Tier 3 Net Cost</t>
  </si>
  <si>
    <t>Social Cost of Carbon</t>
  </si>
  <si>
    <r>
      <t xml:space="preserve">TOTAL Cost of RES - </t>
    </r>
    <r>
      <rPr>
        <i/>
        <sz val="11"/>
        <color theme="1"/>
        <rFont val="Calibri"/>
        <family val="2"/>
        <scheme val="minor"/>
      </rPr>
      <t xml:space="preserve">Utility Perspective </t>
    </r>
  </si>
  <si>
    <t>Excludes SCC</t>
  </si>
  <si>
    <r>
      <t xml:space="preserve">TOTAL Cost of RES - </t>
    </r>
    <r>
      <rPr>
        <i/>
        <sz val="11"/>
        <color theme="1"/>
        <rFont val="Calibri"/>
        <family val="2"/>
        <scheme val="minor"/>
      </rPr>
      <t>Societal Perspective</t>
    </r>
  </si>
  <si>
    <t>Includes SCC</t>
  </si>
  <si>
    <t>Rate Impact</t>
  </si>
  <si>
    <t>BELOW THIS ROW ALL RESULTS ARE HARD CODED</t>
  </si>
  <si>
    <t>DRAFT 2023 RESULTS (RUN 10/19/22)</t>
  </si>
  <si>
    <t>FINAL 2022 RESULTS</t>
  </si>
  <si>
    <t>BASELINE LOAD SCENARIO</t>
  </si>
  <si>
    <t>HIGH LOAD SCENARIO</t>
  </si>
  <si>
    <t>LOW INCREMENTAL COST</t>
  </si>
  <si>
    <t>HIGH INCREMENTAL COST</t>
  </si>
  <si>
    <t xml:space="preserve">"Likely" PSD </t>
  </si>
  <si>
    <t xml:space="preserve">"Likely" PSD upperbound </t>
  </si>
  <si>
    <t>LOW</t>
  </si>
  <si>
    <t>HIGH</t>
  </si>
  <si>
    <t>MID</t>
  </si>
  <si>
    <r>
      <t xml:space="preserve">TOTAL Cost of RES - </t>
    </r>
    <r>
      <rPr>
        <i/>
        <sz val="11"/>
        <color rgb="FF000000"/>
        <rFont val="Calibri"/>
        <family val="2"/>
      </rPr>
      <t xml:space="preserve">Utility Perspective </t>
    </r>
  </si>
  <si>
    <t>FINAL 2023 RESULTS (RUN 12/16/22)</t>
  </si>
  <si>
    <r>
      <t>TOTAL Cost of RES</t>
    </r>
    <r>
      <rPr>
        <i/>
        <sz val="11"/>
        <color theme="1"/>
        <rFont val="Calibri"/>
        <family val="2"/>
        <scheme val="minor"/>
      </rPr>
      <t xml:space="preserve"> </t>
    </r>
  </si>
  <si>
    <t>Total Energy Consumption (MMBtu)</t>
  </si>
  <si>
    <t>Total Fossil Fuel Consumption (MMBtu)</t>
  </si>
  <si>
    <t>Reporting Requirements:</t>
  </si>
  <si>
    <t>electric utility rates; total energy consumption; electric energy consumption; fossil fuel consumption; and greenhouse gas emissions. The report shall compare the amount or level in each of these areas with and without the program.</t>
  </si>
  <si>
    <t>TABLE FOR RESULTS SECTION</t>
  </si>
  <si>
    <t>Load Scenario Scenario</t>
  </si>
  <si>
    <t>Baseline</t>
  </si>
  <si>
    <t>High</t>
  </si>
  <si>
    <t>TOTAL Cost of RES</t>
  </si>
  <si>
    <t>Load Scenario</t>
  </si>
  <si>
    <t>Cost Scenario</t>
  </si>
  <si>
    <t>10 year Cost</t>
  </si>
  <si>
    <t>Levelized Annual Cost</t>
  </si>
  <si>
    <t>Lower Bound</t>
  </si>
  <si>
    <t>Likely Cost</t>
  </si>
  <si>
    <t>Upper Bound</t>
  </si>
  <si>
    <t>Row Labels</t>
  </si>
  <si>
    <t>Sum of 10 year Cost</t>
  </si>
  <si>
    <t>OUTPUT TAB</t>
  </si>
  <si>
    <t>outside modeling period</t>
  </si>
  <si>
    <t xml:space="preserve">Projected Retail Sales </t>
  </si>
  <si>
    <t>MWh</t>
  </si>
  <si>
    <t>Tier I Requirement</t>
  </si>
  <si>
    <t>%</t>
  </si>
  <si>
    <t>Tier I Requirement (net)</t>
  </si>
  <si>
    <t>Tier II Requirement</t>
  </si>
  <si>
    <t>Tier III Requirement</t>
  </si>
  <si>
    <t>Tier I ACP</t>
  </si>
  <si>
    <t>$/MWh</t>
  </si>
  <si>
    <t>Tier II ACP</t>
  </si>
  <si>
    <t>Tier III ACP</t>
  </si>
  <si>
    <t>Tier I Sources</t>
  </si>
  <si>
    <t>Tier II Sources</t>
  </si>
  <si>
    <t>Tier III Sources</t>
  </si>
  <si>
    <t>Tier I @ Market</t>
  </si>
  <si>
    <t>Tier II @ Market</t>
  </si>
  <si>
    <t>Tier III @ Market</t>
  </si>
  <si>
    <t>Tier I Cost</t>
  </si>
  <si>
    <t>$$</t>
  </si>
  <si>
    <t>Tier II Cost</t>
  </si>
  <si>
    <t>Tier III Cost</t>
  </si>
  <si>
    <t>Tier I Price</t>
  </si>
  <si>
    <t>Tier II Price</t>
  </si>
  <si>
    <t>Tier III Price</t>
  </si>
  <si>
    <t>SYSTEM MWh (non-renewable)</t>
  </si>
  <si>
    <t>FF Consumed (mmbtu)</t>
  </si>
  <si>
    <t>Decrease in system MWh</t>
  </si>
  <si>
    <t>change in FF consumed from Tier I &amp; II (mmbtu)</t>
  </si>
  <si>
    <t>historicals based on DU RES Compliance Filings</t>
  </si>
  <si>
    <t>NEW DATA</t>
  </si>
  <si>
    <t>Scenario</t>
  </si>
  <si>
    <t>PSD BAU Scenario</t>
  </si>
  <si>
    <t>base</t>
  </si>
  <si>
    <t>PSD Adjusted BAU Scenario</t>
  </si>
  <si>
    <t>CEP/CAP Central Mitigation Scenario</t>
  </si>
  <si>
    <t>PSD LOW (BAU) SCENARIO DATA</t>
  </si>
  <si>
    <t>baseline</t>
  </si>
  <si>
    <t>Retail Sales</t>
  </si>
  <si>
    <t>- new NM</t>
  </si>
  <si>
    <t>+ Tier III additions</t>
  </si>
  <si>
    <r>
      <t xml:space="preserve">VELCO LRTP                </t>
    </r>
    <r>
      <rPr>
        <sz val="10"/>
        <color theme="1"/>
        <rFont val="Calibri"/>
        <family val="2"/>
        <scheme val="minor"/>
      </rPr>
      <t>(winter 2020/2021)</t>
    </r>
  </si>
  <si>
    <t>- Solar</t>
  </si>
  <si>
    <t>+ Heat Pumps</t>
  </si>
  <si>
    <t>+ Electric Vehicles</t>
  </si>
  <si>
    <t>Existing Solar</t>
  </si>
  <si>
    <t>Incremental Solar</t>
  </si>
  <si>
    <t>Heat Pumps</t>
  </si>
  <si>
    <t>Electric Vehicles</t>
  </si>
  <si>
    <t>embedded in VELCO</t>
  </si>
  <si>
    <t>NM 1.0</t>
  </si>
  <si>
    <t>NM 2.0 installed pre-2020</t>
  </si>
  <si>
    <t>NM 2.0+ - post-2019 SCENARIO</t>
  </si>
  <si>
    <t>TOTAL NM</t>
  </si>
  <si>
    <t>based on obligations under Tier III only</t>
  </si>
  <si>
    <t>Total Tier III additions</t>
  </si>
  <si>
    <t>BASELINE SCENARIO DATA</t>
  </si>
  <si>
    <t>Curently LRTP</t>
  </si>
  <si>
    <t>-new NM</t>
  </si>
  <si>
    <t>NM scenario</t>
  </si>
  <si>
    <t>+electrification</t>
  </si>
  <si>
    <t xml:space="preserve">Total New Units </t>
  </si>
  <si>
    <t>Units</t>
  </si>
  <si>
    <t>Additional Load</t>
  </si>
  <si>
    <t>based on forecast provided to ISO (CCHP + EV) and Tier III requirements</t>
  </si>
  <si>
    <t>Custom Tier III</t>
  </si>
  <si>
    <t>Total Electrification Additions</t>
  </si>
  <si>
    <t>HIGH (SEI/LEAP) SCENARIO DATA</t>
  </si>
  <si>
    <t>HIGH (SEI/LEAP)</t>
  </si>
  <si>
    <t>Net Metering INSTALLED CAPACITY</t>
  </si>
  <si>
    <t>NM 1.0 - pre-7/2015 install</t>
  </si>
  <si>
    <t>NM 2.0 embedded in forecast</t>
  </si>
  <si>
    <t>NM 2.0+ - post-2020 SCENARIO</t>
  </si>
  <si>
    <t>COS ESCALATION</t>
  </si>
  <si>
    <t>share tied to market</t>
  </si>
  <si>
    <t>share tied to inflation</t>
  </si>
  <si>
    <t>share tied to depreciation</t>
  </si>
  <si>
    <t>2021 Gross Receipts</t>
  </si>
  <si>
    <t>NPV</t>
  </si>
  <si>
    <t>BASELINE</t>
  </si>
  <si>
    <t>COS Market tied</t>
  </si>
  <si>
    <t>COS inflation tied</t>
  </si>
  <si>
    <t>COS depreciation tied</t>
  </si>
  <si>
    <t>COS TOTAL</t>
  </si>
  <si>
    <t>Retail Sales- Baseline</t>
  </si>
  <si>
    <t>Retail Rate- Baseline</t>
  </si>
  <si>
    <t>RES</t>
  </si>
  <si>
    <t>+ Tier I Costs</t>
  </si>
  <si>
    <t>+ Tier II Costs</t>
  </si>
  <si>
    <t>+ Tier III Costs</t>
  </si>
  <si>
    <t>- Revenue from Add. Sales</t>
  </si>
  <si>
    <r>
      <t xml:space="preserve">TOTAL Cost of RES- </t>
    </r>
    <r>
      <rPr>
        <i/>
        <sz val="11"/>
        <color theme="1"/>
        <rFont val="Calibri"/>
        <family val="2"/>
        <scheme val="minor"/>
      </rPr>
      <t>Utility Perspective</t>
    </r>
  </si>
  <si>
    <t>Discount  Rate</t>
  </si>
  <si>
    <t>Social Cost of Carbon (Value of Avoided Emissions)</t>
  </si>
  <si>
    <t>Only Applicable for 2% Discount Rate</t>
  </si>
  <si>
    <t>COS with RES ($$)</t>
  </si>
  <si>
    <t>Retail Sales w/ RES (MWh)</t>
  </si>
  <si>
    <t>Retail Rate w/ RES ($/MWh)</t>
  </si>
  <si>
    <t xml:space="preserve">TOTAL Cost of RES </t>
  </si>
  <si>
    <t>Total Energy Consumption Impact (mmbtu)</t>
  </si>
  <si>
    <t>Electric Energy Consumption Impact (MWh)</t>
  </si>
  <si>
    <t>Electric Energy Consumption Impact (%)</t>
  </si>
  <si>
    <t>Total Fossil Fuel Consumption Impact (mmbtu)</t>
  </si>
  <si>
    <t>Total lbs of CO2 Saved</t>
  </si>
  <si>
    <t>Total tons of CO2 Saved</t>
  </si>
  <si>
    <t>Price:</t>
  </si>
  <si>
    <t>Source</t>
  </si>
  <si>
    <t>NYPA (NIA)</t>
  </si>
  <si>
    <t>HQ</t>
  </si>
  <si>
    <t>New Fixed contract</t>
  </si>
  <si>
    <t>Market</t>
  </si>
  <si>
    <t>Market Price</t>
  </si>
  <si>
    <t>Mid</t>
  </si>
  <si>
    <t>Fixed</t>
  </si>
  <si>
    <t>Price</t>
  </si>
  <si>
    <t>Cost</t>
  </si>
  <si>
    <t>2017 Deliveries to Vermont</t>
  </si>
  <si>
    <t>NIA</t>
  </si>
  <si>
    <t>Total NIA to VT</t>
  </si>
  <si>
    <t>CAGR</t>
  </si>
  <si>
    <t>NM2.0 (installed prior to 2020)</t>
  </si>
  <si>
    <t>New NM- post-1/1/2020</t>
  </si>
  <si>
    <t>Standard Offer (post 7/2015)</t>
  </si>
  <si>
    <t>Tier II RECs to AQUIRE</t>
  </si>
  <si>
    <t>Excess Tier II RECS</t>
  </si>
  <si>
    <t>NM 1.0 post 7/1/2015 install</t>
  </si>
  <si>
    <t>NM2.0+ post-2016 installed</t>
  </si>
  <si>
    <t>New NM- install 7/1/2015 - 12/31/2016</t>
  </si>
  <si>
    <t>NET METERING</t>
  </si>
  <si>
    <t>VELCO</t>
  </si>
  <si>
    <t>New NM- post-2020</t>
  </si>
  <si>
    <t>NM installed capacity (14% CF)</t>
  </si>
  <si>
    <t>MW</t>
  </si>
  <si>
    <t>NM Annual Escalation rate</t>
  </si>
  <si>
    <t>STANDARD OFFER</t>
  </si>
  <si>
    <t>Existing Standard Offer MW (Tier I)</t>
  </si>
  <si>
    <t>New Standard Offer MW</t>
  </si>
  <si>
    <t>Cumulative SO MW (post-2016) Tier II</t>
  </si>
  <si>
    <t>Technology</t>
  </si>
  <si>
    <t>Capacity Factor AC</t>
  </si>
  <si>
    <t>% of Projects</t>
  </si>
  <si>
    <t>Install Date</t>
  </si>
  <si>
    <t>Net Metering REC adjustor ($/MWh)</t>
  </si>
  <si>
    <t>Biomass</t>
  </si>
  <si>
    <t>7/1/2015</t>
  </si>
  <si>
    <t>n/a</t>
  </si>
  <si>
    <t>Farm Methane</t>
  </si>
  <si>
    <t>Hydropower</t>
  </si>
  <si>
    <t>Landfill Methane</t>
  </si>
  <si>
    <t>6/30/2020</t>
  </si>
  <si>
    <t>Solar</t>
  </si>
  <si>
    <t>6/30/2021</t>
  </si>
  <si>
    <t>Wind</t>
  </si>
  <si>
    <t>6/30/2022</t>
  </si>
  <si>
    <t>Standard Offer Capacity Factor</t>
  </si>
  <si>
    <t>NM Incremental</t>
  </si>
  <si>
    <t>VELCO 2021</t>
  </si>
  <si>
    <t>from ITRON load forecast for VELCO showing non-utility scale solar</t>
  </si>
  <si>
    <t>Low (50% VELCO)</t>
  </si>
  <si>
    <t>Mid (100% VELCO)</t>
  </si>
  <si>
    <t>High (100% VELCO to 2025 then gradual decline)</t>
  </si>
  <si>
    <t>GMP 2021 IRP</t>
  </si>
  <si>
    <t>Cummulative NM Installed MW (for graph)</t>
  </si>
  <si>
    <t>Year</t>
  </si>
  <si>
    <t>Incentive Factor:</t>
  </si>
  <si>
    <t>(for HIGH FF prices, incentive reduced by 10%; MID FF prices, incentive equals "BASE"; LOW FF prices, incentive increased by 30%)</t>
  </si>
  <si>
    <t>Base Incentives $/MWhe (UPDATE)</t>
  </si>
  <si>
    <t>Allocation</t>
  </si>
  <si>
    <t>Net Lifetime MWh Savings per Unit</t>
  </si>
  <si>
    <t>Incentive Cost per Unit</t>
  </si>
  <si>
    <t>Scenario Incentive per MWh ($/MWh)</t>
  </si>
  <si>
    <t>Annual Additional MWh per unit</t>
  </si>
  <si>
    <t>Annual MMBtu of Fossil Fuel Saved</t>
  </si>
  <si>
    <t>measure life</t>
  </si>
  <si>
    <t>VT Non-Fossil %</t>
  </si>
  <si>
    <t>Heat Rate for Fossil Fuels</t>
  </si>
  <si>
    <t>Net to Gross</t>
  </si>
  <si>
    <t>tier 3 lifetime MWh equiv</t>
  </si>
  <si>
    <t>Tier III lifetime MWh elec penalty</t>
  </si>
  <si>
    <t>Gross tier 3 lifetime MWh equiv</t>
  </si>
  <si>
    <t>increased kWh/MWh equiv</t>
  </si>
  <si>
    <t>lbs of CO2 saved per unit annually</t>
  </si>
  <si>
    <t>2021 Actual Units</t>
  </si>
  <si>
    <t>2021 MWhe savings</t>
  </si>
  <si>
    <t>annual savings (MWHe)</t>
  </si>
  <si>
    <t>annual MMBtu avoided</t>
  </si>
  <si>
    <t>annual CO2 emissions avoided (tons)</t>
  </si>
  <si>
    <t xml:space="preserve">lifetime MMBtu avoided </t>
  </si>
  <si>
    <t>Lifetime CO2 emissions avoided (tons)</t>
  </si>
  <si>
    <t>outside model projection period</t>
  </si>
  <si>
    <t>AVG</t>
  </si>
  <si>
    <t>RES TIER III Req</t>
  </si>
  <si>
    <t>MWh Equivalent to Meet Requirement</t>
  </si>
  <si>
    <t>Number of New Units</t>
  </si>
  <si>
    <t>Total Number of Units</t>
  </si>
  <si>
    <t>Cost of Incentive</t>
  </si>
  <si>
    <t>$</t>
  </si>
  <si>
    <t>Overhead Costs</t>
  </si>
  <si>
    <t>Additional Electric Load</t>
  </si>
  <si>
    <t>Overhead</t>
  </si>
  <si>
    <t>Additional Revenue at Retail Rates</t>
  </si>
  <si>
    <t>Incentive</t>
  </si>
  <si>
    <t>Cost of Additional Load</t>
  </si>
  <si>
    <t>Add Load</t>
  </si>
  <si>
    <t>TOTAL Cost of Tier III</t>
  </si>
  <si>
    <t>TOTAL MMBtu of Fossil Fuel Saved</t>
  </si>
  <si>
    <t>TOTAL lbs of CO2 saved</t>
  </si>
  <si>
    <t>Decrease in Energy Consumption</t>
  </si>
  <si>
    <t>FF SCENARIO:</t>
  </si>
  <si>
    <t>REC SCENARIO:</t>
  </si>
  <si>
    <t>scalar from base</t>
  </si>
  <si>
    <t>Energy (ATC)</t>
  </si>
  <si>
    <t>$/ MWh</t>
  </si>
  <si>
    <t>Capacity</t>
  </si>
  <si>
    <t>$/kw-mo</t>
  </si>
  <si>
    <t>RNS</t>
  </si>
  <si>
    <t>$/kw-year</t>
  </si>
  <si>
    <t>Total</t>
  </si>
  <si>
    <t>AEO</t>
  </si>
  <si>
    <t>Fossil Fuel- heating</t>
  </si>
  <si>
    <t>$/mmbtu</t>
  </si>
  <si>
    <t>Fossil Fuel- transportation</t>
  </si>
  <si>
    <t>PRICES USED IN MODEL:</t>
  </si>
  <si>
    <t>10yr Avg</t>
  </si>
  <si>
    <t>Energy</t>
  </si>
  <si>
    <t>Wholesale Cost of CCHP</t>
  </si>
  <si>
    <t>Wholesale Cost of EV</t>
  </si>
  <si>
    <t>Wholesale Cost of Weatherization</t>
  </si>
  <si>
    <t>Wholesale Cost of Custom</t>
  </si>
  <si>
    <t>Wholesale price trend CCHP</t>
  </si>
  <si>
    <t xml:space="preserve">Wholesale price trend All </t>
  </si>
  <si>
    <t>NOTES:</t>
  </si>
  <si>
    <t>Base Energy, Capacity, REC Tier I forecats from PSD fall outlooks</t>
  </si>
  <si>
    <t>2021 Retail Sales:</t>
  </si>
  <si>
    <t>2016 Direct fossil fuel consumption (heating and transportation)</t>
  </si>
  <si>
    <t>mmBtu</t>
  </si>
  <si>
    <t>2016 indirect fossil fuel consumption (electric)</t>
  </si>
  <si>
    <t>Vermont Fuel Mix (after the sale of RECs)</t>
  </si>
  <si>
    <t>2016 TOTAL FF consumption</t>
  </si>
  <si>
    <t>Energy Source</t>
  </si>
  <si>
    <t>2016 Share</t>
  </si>
  <si>
    <t>2021 Share (post RECs)</t>
  </si>
  <si>
    <t>Distillate</t>
  </si>
  <si>
    <t>HQ System Mix</t>
  </si>
  <si>
    <t>Natural Gas</t>
  </si>
  <si>
    <t>Nuclear</t>
  </si>
  <si>
    <t>Unspecified (NE System Mix)</t>
  </si>
  <si>
    <t>2016 Vermont % renewable</t>
  </si>
  <si>
    <t>2016 Vermont % nuclear</t>
  </si>
  <si>
    <t>2016 Vermont % residual mix</t>
  </si>
  <si>
    <t>ISO-NE Emissions rates (marginal MMBtu/MWh)</t>
  </si>
  <si>
    <t>2020 MWh of renewables based on 2016 % mix</t>
  </si>
  <si>
    <t>All Units</t>
  </si>
  <si>
    <t>Emitting Units</t>
  </si>
  <si>
    <t>2020 MWh of nuclear based on 2016 % mix</t>
  </si>
  <si>
    <t>2020 Marginal heat rate</t>
  </si>
  <si>
    <t>2020 MWh of residual mix based on 2016 % mix</t>
  </si>
  <si>
    <t>2019 Marginal heat rate</t>
  </si>
  <si>
    <t>2020 mmbtu of residual mix based on 2016 mix</t>
  </si>
  <si>
    <t>2018 Marginal heat rate</t>
  </si>
  <si>
    <t>2021 NEPOOL GIS Residual Mix (lbs/MWh)</t>
  </si>
  <si>
    <t>2017 Marginal heat rate</t>
  </si>
  <si>
    <t>2020 ISO-NE Average emissions (lbs/MWh)</t>
  </si>
  <si>
    <t>VT = 609</t>
  </si>
  <si>
    <t>2016 Marginal heat rate</t>
  </si>
  <si>
    <t>2020 ISO-NE Marginal emissions (all marginal units)</t>
  </si>
  <si>
    <t>time weighted (lbs/MWh)</t>
  </si>
  <si>
    <t>2020 Emissions w/o RES (lbs)</t>
  </si>
  <si>
    <t>lbs of CO2</t>
  </si>
  <si>
    <t>Vermont emissions rate pre-RES (lbs/MWh)</t>
  </si>
  <si>
    <t>Projected Retail Sales</t>
  </si>
  <si>
    <t>RES % renewable requirement</t>
  </si>
  <si>
    <t>Renewables in Excess of RES</t>
  </si>
  <si>
    <t>% non-fossil</t>
  </si>
  <si>
    <t>% residual mix</t>
  </si>
  <si>
    <t>MWh of residual mix</t>
  </si>
  <si>
    <t>lbs of CO2 with RES</t>
  </si>
  <si>
    <t>*assumes constant NEPOOL residual mix</t>
  </si>
  <si>
    <t>Tier I &amp; II CO2 savings from pre-RES</t>
  </si>
  <si>
    <t>*does not project Dus continue to supply renewables in excess of the RES</t>
  </si>
  <si>
    <t>Nuclear CO2 savings from pre-RES</t>
  </si>
  <si>
    <t>Total Electric CO2 savings from pre-RES</t>
  </si>
  <si>
    <t>Tier III CO2 savings</t>
  </si>
  <si>
    <t>TOTAL CO2 Savings (Including Nuclear)</t>
  </si>
  <si>
    <t>TOTAL RES CO2 Savings (Exluding Nuclear)</t>
  </si>
  <si>
    <t>tons of CO2</t>
  </si>
  <si>
    <t>Tier I &amp; II reduction in residual mix (from pre-RES)</t>
  </si>
  <si>
    <t>Nuclear reduction in residual mix (from pre-RES)</t>
  </si>
  <si>
    <t>Tier I &amp; II  reduction in residual mix (from pre-RES)</t>
  </si>
  <si>
    <t>mmbtu</t>
  </si>
  <si>
    <t>Social Cost of Carbon (2% Discount Rate)</t>
  </si>
  <si>
    <t>2020$ per metric ton of CO2</t>
  </si>
  <si>
    <t>NPV SCC</t>
  </si>
  <si>
    <t>Annual Social Cost of Carbon</t>
  </si>
  <si>
    <t>TOTAL mmbtu reduction from pre-RES (result of RES)</t>
  </si>
  <si>
    <t>TOTAL mmbtu reduction from pre-RES (+increased nuclear)</t>
  </si>
  <si>
    <t>Year 10 reducion in mmbtu consumption- result of RES</t>
  </si>
  <si>
    <t>Tier I and II</t>
  </si>
  <si>
    <t>Tier III</t>
  </si>
  <si>
    <t>Year 10 reducion in mmbtu consumption- Total</t>
  </si>
  <si>
    <t>TOTAL RES CO2 Savings (Exluding Nuclear; tons of CO2)</t>
  </si>
  <si>
    <t>2016 mmBtu heating and transportation consumptions</t>
  </si>
  <si>
    <t>Carbon reduction in last year from RES</t>
  </si>
  <si>
    <t>Carbon reduction in last year from nuke</t>
  </si>
  <si>
    <t>Table 3.  Energy Prices by Sector and Source</t>
  </si>
  <si>
    <t>https://www.eia.gov/outlooks/aeo/data/browser/#/?id=3-AEO2022&amp;region=1-0&amp;cases=ref2022&amp;start=2020&amp;end=2050&amp;f=A&amp;sourcekey=0</t>
  </si>
  <si>
    <t>Tue Sep 27 2022 13:54:54 GMT-0400 (Eastern Daylight Time)</t>
  </si>
  <si>
    <t>Source: U.S. Energy Information Administration</t>
  </si>
  <si>
    <t>FROM AEO 2021; all other data from AEO 2022</t>
  </si>
  <si>
    <t>full name</t>
  </si>
  <si>
    <t>api key</t>
  </si>
  <si>
    <t>units</t>
  </si>
  <si>
    <t>Growth (2020-2050)</t>
  </si>
  <si>
    <t>Residential</t>
  </si>
  <si>
    <t>3-AEO2022.2.</t>
  </si>
  <si>
    <t>Propane</t>
  </si>
  <si>
    <t>Energy Prices: Residential: Propane: Reference case</t>
  </si>
  <si>
    <t>3-AEO2022.3.ref2022-d011222a</t>
  </si>
  <si>
    <t>2021 $/MMBtu</t>
  </si>
  <si>
    <t>Distillate Fuel Oil</t>
  </si>
  <si>
    <t>Energy Prices: Residential: Distillate Fuel Oil: Reference case</t>
  </si>
  <si>
    <t>3-AEO2022.4.ref2022-d011222a</t>
  </si>
  <si>
    <t>Energy Prices: Residential: Natural Gas: Reference case</t>
  </si>
  <si>
    <t>3-AEO2022.5.ref2022-d011222a</t>
  </si>
  <si>
    <t>Electricity</t>
  </si>
  <si>
    <t>Energy Prices: Residential: Electricity: Reference case</t>
  </si>
  <si>
    <t>3-AEO2022.6.ref2022-d011222a</t>
  </si>
  <si>
    <t>Commercial</t>
  </si>
  <si>
    <t>3-AEO2022.8.</t>
  </si>
  <si>
    <t>Energy Prices: Commercial: Propane: Reference case</t>
  </si>
  <si>
    <t>3-AEO2022.9.ref2022-d011222a</t>
  </si>
  <si>
    <t>Energy Prices: Commercial: Distillate Fuel Oil: Reference case</t>
  </si>
  <si>
    <t>3-AEO2022.10.ref2022-d011222a</t>
  </si>
  <si>
    <t>Residual Fuel Oil</t>
  </si>
  <si>
    <t>Energy Prices: Commercial: Residual Fuel: Reference case</t>
  </si>
  <si>
    <t>3-AEO2022.11.ref2022-d011222a</t>
  </si>
  <si>
    <t>Energy Prices: Commercial: Natural Gas: Reference case</t>
  </si>
  <si>
    <t>3-AEO2022.12.ref2022-d011222a</t>
  </si>
  <si>
    <t>Energy Prices: Commercial: Electricity: Reference case</t>
  </si>
  <si>
    <t>3-AEO2022.13.ref2022-d011222a</t>
  </si>
  <si>
    <t>Industrial</t>
  </si>
  <si>
    <t>3-AEO2022.15.</t>
  </si>
  <si>
    <t>Energy Prices: Industrial: Propane: Reference case</t>
  </si>
  <si>
    <t>3-AEO2022.16.ref2022-d011222a</t>
  </si>
  <si>
    <t>Energy Prices: Industrial: Distillate Fuel Oil: Reference case</t>
  </si>
  <si>
    <t>3-AEO2022.17.ref2022-d011222a</t>
  </si>
  <si>
    <t>Energy Prices: Industrial: Residual Fuel Oil: Reference case</t>
  </si>
  <si>
    <t>3-AEO2022.18.ref2022-d011222a</t>
  </si>
  <si>
    <t>Energy Prices: Industrial: Natural Gas: Reference case</t>
  </si>
  <si>
    <t>3-AEO2022.19.ref2022-d011222a</t>
  </si>
  <si>
    <t>Metallurgical Coal</t>
  </si>
  <si>
    <t>Energy Prices: Industrial: Metallurgical Coal: Reference case</t>
  </si>
  <si>
    <t>3-AEO2022.20.ref2022-d011222a</t>
  </si>
  <si>
    <t>Other Industrial Coal</t>
  </si>
  <si>
    <t>Energy Prices: Industrial: Other Industrial Coal: Reference case</t>
  </si>
  <si>
    <t>3-AEO2022.21.ref2022-d011222a</t>
  </si>
  <si>
    <t>Coal to Liquids</t>
  </si>
  <si>
    <t>Energy Prices: Industrial: Coal to Liquids: Reference case</t>
  </si>
  <si>
    <t>3-AEO2022.22.ref2022-d011222a</t>
  </si>
  <si>
    <t>- -</t>
  </si>
  <si>
    <t>Energy Prices: Industrial: Electricity: Reference case</t>
  </si>
  <si>
    <t>3-AEO2022.23.ref2022-d011222a</t>
  </si>
  <si>
    <t>Transportation</t>
  </si>
  <si>
    <t>3-AEO2022.25.</t>
  </si>
  <si>
    <t>Energy Prices: Transportation: Propane: Reference case</t>
  </si>
  <si>
    <t>3-AEO2022.26.ref2022-d011222a</t>
  </si>
  <si>
    <t>E85</t>
  </si>
  <si>
    <t>Energy Prices: Transportation: E85: Reference case</t>
  </si>
  <si>
    <t>3-AEO2022.27.ref2022-d011222a</t>
  </si>
  <si>
    <t>Motor Gasoline</t>
  </si>
  <si>
    <t>Energy Prices: Transportation: Motor Gasoline: Reference case</t>
  </si>
  <si>
    <t>3-AEO2022.28.ref2022-d011222a</t>
  </si>
  <si>
    <t>Jet Fuel</t>
  </si>
  <si>
    <t>Energy Prices: Transportation: Jet Fuel: Reference case</t>
  </si>
  <si>
    <t>3-AEO2022.29.ref2022-d011222a</t>
  </si>
  <si>
    <t>Diesel Fuel (distillate fuel oil)</t>
  </si>
  <si>
    <t>Energy Prices: Transportation: Diesel Fuel: Reference case</t>
  </si>
  <si>
    <t>3-AEO2022.30.ref2022-d011222a</t>
  </si>
  <si>
    <t>Energy Prices: Transportation: Residual Fuel Oil: Reference case</t>
  </si>
  <si>
    <t>3-AEO2022.31.ref2022-d011222a</t>
  </si>
  <si>
    <t>Energy Prices: Transportation: Natural Gas: Reference case</t>
  </si>
  <si>
    <t>3-AEO2022.32.ref2022-d011222a</t>
  </si>
  <si>
    <t>Energy Prices: Transportation: Electricity: Reference case</t>
  </si>
  <si>
    <t>3-AEO2022.33.ref2022-d011222a</t>
  </si>
  <si>
    <t>Electric Power</t>
  </si>
  <si>
    <t>3-AEO2022.35.</t>
  </si>
  <si>
    <t>Energy Prices: Electric Power: Distillate Fuel Oil: Reference case</t>
  </si>
  <si>
    <t>3-AEO2022.36.ref2022-d011222a</t>
  </si>
  <si>
    <t>Energy Prices: Electric Power: Residual Fuel Oil: Reference case</t>
  </si>
  <si>
    <t>3-AEO2022.37.ref2022-d011222a</t>
  </si>
  <si>
    <t>Energy Prices: Electric Power: Natural Gas: Reference case</t>
  </si>
  <si>
    <t>3-AEO2022.38.ref2022-d011222a</t>
  </si>
  <si>
    <t>Steam Coal</t>
  </si>
  <si>
    <t>Energy Prices: Electric Power: Steam Coal: Reference case</t>
  </si>
  <si>
    <t>3-AEO2022.39.ref2022-d011222a</t>
  </si>
  <si>
    <t>Uranium</t>
  </si>
  <si>
    <t>Energy Prices: Electric Power: Uranium: Reference case</t>
  </si>
  <si>
    <t>3-AEO2022.40.ref2022-d011222a</t>
  </si>
  <si>
    <t>Average Price to All Users</t>
  </si>
  <si>
    <t>3-AEO2022.44.</t>
  </si>
  <si>
    <t>Energy Prices: Average Price to All Users: Propane: Reference case</t>
  </si>
  <si>
    <t>3-AEO2022.45.ref2022-d011222a</t>
  </si>
  <si>
    <t>Energy Prices: Average Price to All Users: E85: Reference case</t>
  </si>
  <si>
    <t>3-AEO2022.46.ref2022-d011222a</t>
  </si>
  <si>
    <t>Energy Prices: Average Price to All Users: Motor Gasoline: Reference case</t>
  </si>
  <si>
    <t>3-AEO2022.47.ref2022-d011222a</t>
  </si>
  <si>
    <t>Energy Prices: Average Price to All Users: Jet Fuel: Reference case</t>
  </si>
  <si>
    <t>3-AEO2022.48.ref2022-d011222a</t>
  </si>
  <si>
    <t>Energy Prices: Average Price to All Users: Distillate Fuel Oil: Reference case</t>
  </si>
  <si>
    <t>3-AEO2022.49.ref2022-d011222a</t>
  </si>
  <si>
    <t>Energy Prices: Average Price to All Users: Residual Fuel Oil: Reference case</t>
  </si>
  <si>
    <t>3-AEO2022.50.ref2022-d011222a</t>
  </si>
  <si>
    <t>Energy Prices: Average Price to All Users: Natural Gas: Reference case</t>
  </si>
  <si>
    <t>3-AEO2022.51.ref2022-d011222a</t>
  </si>
  <si>
    <t>Energy Prices: Average Price to All Users: Metallurgical Coal: Reference case</t>
  </si>
  <si>
    <t>3-AEO2022.52.ref2022-d011222a</t>
  </si>
  <si>
    <t>Other Coal</t>
  </si>
  <si>
    <t>Energy Prices: Average Price to All Users: Other Coal: Reference case</t>
  </si>
  <si>
    <t>3-AEO2022.53.ref2022-d011222a</t>
  </si>
  <si>
    <t>Energy Prices: Average Price to All Users: Coal to Liquids: Reference case</t>
  </si>
  <si>
    <t>3-AEO2022.54.ref2022-d011222a</t>
  </si>
  <si>
    <t>Energy Prices: Average Price to All Users: Electricity: Reference case</t>
  </si>
  <si>
    <t>3-AEO2022.55.ref2022-d011222a</t>
  </si>
  <si>
    <t>Non-Renewable Energy Expenditures by Sector</t>
  </si>
  <si>
    <t>3-AEO2022.57.</t>
  </si>
  <si>
    <t>(billion 2021 dollars)</t>
  </si>
  <si>
    <t>3-AEO2022.58.</t>
  </si>
  <si>
    <t>Energy Expenditures: Non-Renewable Residential: Reference case</t>
  </si>
  <si>
    <t>3-AEO2022.59.ref2022-d011222a</t>
  </si>
  <si>
    <t>billion 2021 $</t>
  </si>
  <si>
    <t>Energy Expenditures: Non-Renewable Commercial: Reference case</t>
  </si>
  <si>
    <t>3-AEO2022.60.ref2022-d011222a</t>
  </si>
  <si>
    <t>Energy Expenditures: Non-Renewable Industrial: Reference case</t>
  </si>
  <si>
    <t>3-AEO2022.61.ref2022-d011222a</t>
  </si>
  <si>
    <t>Energy Expenditures: Non-Renewable Transportation: Reference case</t>
  </si>
  <si>
    <t>3-AEO2022.62.ref2022-d011222a</t>
  </si>
  <si>
    <t>Total Non-Renewable Expenditures</t>
  </si>
  <si>
    <t>Energy Expenditures: Total Non-Renewable: Reference case</t>
  </si>
  <si>
    <t>3-AEO2022.63.ref2022-d011222a</t>
  </si>
  <si>
    <t>Transportation Renewable Expenditures</t>
  </si>
  <si>
    <t>Energy Expenditures: Renewable Transportation: Reference case</t>
  </si>
  <si>
    <t>3-AEO2022.64.ref2022-d011222a</t>
  </si>
  <si>
    <t>Total Expenditures</t>
  </si>
  <si>
    <t>Energy Expenditures: Reference case</t>
  </si>
  <si>
    <t>3-AEO2022.65.ref2022-d011222a</t>
  </si>
  <si>
    <t>Prices in Nominal Dollars</t>
  </si>
  <si>
    <t>3-AEO2022.68.</t>
  </si>
  <si>
    <t>3-AEO2022.69.</t>
  </si>
  <si>
    <t>Weights</t>
  </si>
  <si>
    <t>Energy Prices: Nominal: Residential: Propane: Reference case</t>
  </si>
  <si>
    <t>3-AEO2022.70.ref2022-d011222a</t>
  </si>
  <si>
    <t>nom $/MMBtu</t>
  </si>
  <si>
    <t>Energy Prices: Nominal: Residential: Distillate Fuel Oil: Reference case</t>
  </si>
  <si>
    <t>3-AEO2022.71.ref2022-d011222a</t>
  </si>
  <si>
    <t>Energy Prices: Nominal: Residential: Natural Gas: Reference case</t>
  </si>
  <si>
    <t>3-AEO2022.72.ref2022-d011222a</t>
  </si>
  <si>
    <t>Energy Prices: Nominal: Residential: Electricity: Reference case</t>
  </si>
  <si>
    <t>3-AEO2022.73.ref2022-d011222a</t>
  </si>
  <si>
    <t>3-AEO2022.75.</t>
  </si>
  <si>
    <t>Energy Prices: Nominal: Commercial: Propane: Reference case</t>
  </si>
  <si>
    <t>3-AEO2022.76.ref2022-d011222a</t>
  </si>
  <si>
    <t>Energy Prices: Nominal: Commercial: Distillate Fuel Oil: Reference case</t>
  </si>
  <si>
    <t>3-AEO2022.77.ref2022-d011222a</t>
  </si>
  <si>
    <t>Energy Prices: Nominal: Commercial: Residual Fuel: Reference case</t>
  </si>
  <si>
    <t>3-AEO2022.78.ref2022-d011222a</t>
  </si>
  <si>
    <t>Energy Prices: Nominal: Commercial: Natural Gas: Reference case</t>
  </si>
  <si>
    <t>3-AEO2022.79.ref2022-d011222a</t>
  </si>
  <si>
    <t>Energy Prices: Nominal: Commercial: Electricity: Reference case</t>
  </si>
  <si>
    <t>3-AEO2022.80.ref2022-d011222a</t>
  </si>
  <si>
    <t>3-AEO2022.82.</t>
  </si>
  <si>
    <t>Energy Prices: Nominal: Industrial: Propane: Reference case</t>
  </si>
  <si>
    <t>3-AEO2022.83.ref2022-d011222a</t>
  </si>
  <si>
    <t>Energy Prices: Nominal: Industrial: Distillate Fuel Oil: Reference case</t>
  </si>
  <si>
    <t>3-AEO2022.84.ref2022-d011222a</t>
  </si>
  <si>
    <t>Energy Prices: Nominal: Industrial: Residual Fuel Oil: Reference case</t>
  </si>
  <si>
    <t>3-AEO2022.85.ref2022-d011222a</t>
  </si>
  <si>
    <t>Energy Prices: Nominal: Industrial: Natural Gas: Reference case</t>
  </si>
  <si>
    <t>3-AEO2022.86.ref2022-d011222a</t>
  </si>
  <si>
    <t>Energy Prices: Nominal: Industrial: Metallurgical Coal: Reference case</t>
  </si>
  <si>
    <t>3-AEO2022.87.ref2022-d011222a</t>
  </si>
  <si>
    <t>Energy Prices: Nominal: Industrial: Other Industrial Coal: Reference case</t>
  </si>
  <si>
    <t>3-AEO2022.88.ref2022-d011222a</t>
  </si>
  <si>
    <t>Energy Prices: Nominal: Industrial: Coal to Liquids: Reference case</t>
  </si>
  <si>
    <t>3-AEO2022.89.ref2022-d011222a</t>
  </si>
  <si>
    <t>Energy Prices: Nominal: Industrial: Electricity: Reference case</t>
  </si>
  <si>
    <t>3-AEO2022.90.ref2022-d011222a</t>
  </si>
  <si>
    <t>3-AEO2022.93.</t>
  </si>
  <si>
    <t>Energy Prices: Nominal: Transportation: Propane: Reference case</t>
  </si>
  <si>
    <t>3-AEO2022.94.ref2022-d011222a</t>
  </si>
  <si>
    <t>Energy Prices: Nominal: Transportation: E85: Reference case</t>
  </si>
  <si>
    <t>3-AEO2022.95.ref2022-d011222a</t>
  </si>
  <si>
    <t>Energy Prices: Nominal: Transportation: Motor Gasoline: Reference case</t>
  </si>
  <si>
    <t>3-AEO2022.96.ref2022-d011222a</t>
  </si>
  <si>
    <t>Energy Prices: Nominal: Transportation: Jet Fuel: Reference case</t>
  </si>
  <si>
    <t>3-AEO2022.97.ref2022-d011222a</t>
  </si>
  <si>
    <t>Energy Prices: Nominal: Transportation: Diesel Fuel: Reference case</t>
  </si>
  <si>
    <t>3-AEO2022.98.ref2022-d011222a</t>
  </si>
  <si>
    <t>Energy Prices: Nominal: Transportation: Residual Fuel Oil: Reference case</t>
  </si>
  <si>
    <t>3-AEO2022.99.ref2022-d011222a</t>
  </si>
  <si>
    <t>Energy Prices: Nominal: Transportation: Natural Gas: Reference case</t>
  </si>
  <si>
    <t>3-AEO2022.100.ref2022-d011222a</t>
  </si>
  <si>
    <t>Energy Prices: Nominal: Transportation: Electricity: Reference case</t>
  </si>
  <si>
    <t>3-AEO2022.101.ref2022-d011222a</t>
  </si>
  <si>
    <t>3-AEO2022.103.</t>
  </si>
  <si>
    <t>Energy Prices: Nominal: Electric Power: Distillate Fuel Oil: Reference case</t>
  </si>
  <si>
    <t>3-AEO2022.104.ref2022-d011222a</t>
  </si>
  <si>
    <t>Energy Prices: Nominal: Electric Power: Residual Fuel Oil: Reference case</t>
  </si>
  <si>
    <t>3-AEO2022.105.ref2022-d011222a</t>
  </si>
  <si>
    <t>Energy Prices: Nominal: Electric Power: Natural Gas: Reference case</t>
  </si>
  <si>
    <t>3-AEO2022.106.ref2022-d011222a</t>
  </si>
  <si>
    <t>Energy Prices: Nominal: Electric Power: Steam Coal: Reference case</t>
  </si>
  <si>
    <t>3-AEO2022.107.ref2022-d011222a</t>
  </si>
  <si>
    <t>Energy Prices: Nominal: Electric Power: Uranium: Reference case</t>
  </si>
  <si>
    <t>3-AEO2022.108.ref2022-d011222a</t>
  </si>
  <si>
    <t>3-AEO2022.111.</t>
  </si>
  <si>
    <t>Energy Prices: Nominal: Average Price to All Users: Propane: Reference case</t>
  </si>
  <si>
    <t>3-AEO2022.112.ref2022-d011222a</t>
  </si>
  <si>
    <t>Energy Prices: Nominal: Average Price to All Users: E85: Reference case</t>
  </si>
  <si>
    <t>3-AEO2022.113.ref2022-d011222a</t>
  </si>
  <si>
    <t>Energy Prices: Nominal: Average Price to All Users: Motor Gasoline: Reference case</t>
  </si>
  <si>
    <t>3-AEO2022.114.ref2022-d011222a</t>
  </si>
  <si>
    <t>Energy Prices: Nominal: Average Price to All Users: Jet Fuel: Reference case</t>
  </si>
  <si>
    <t>3-AEO2022.115.ref2022-d011222a</t>
  </si>
  <si>
    <t>Energy Prices: Nominal: Average Price to All Users: Distillate Fuel Oil: Reference case</t>
  </si>
  <si>
    <t>3-AEO2022.116.ref2022-d011222a</t>
  </si>
  <si>
    <t>Energy Prices: Nominal: Average Price to All Users: Residual Fuel Oil: Reference case</t>
  </si>
  <si>
    <t>3-AEO2022.117.ref2022-d011222a</t>
  </si>
  <si>
    <t>Energy Prices: Nominal: Average Price to All Users: Natural Gas: Reference case</t>
  </si>
  <si>
    <t>3-AEO2022.118.ref2022-d011222a</t>
  </si>
  <si>
    <t>Energy Prices: Nominal: Average Price to All Users: Metallurgical Coal: Reference case</t>
  </si>
  <si>
    <t>3-AEO2022.119.ref2022-d011222a</t>
  </si>
  <si>
    <t>Energy Prices: Nominal: Average Price to All Users: Other Coal: Reference case</t>
  </si>
  <si>
    <t>3-AEO2022.120.ref2022-d011222a</t>
  </si>
  <si>
    <t>Energy Prices: Nominal: Average Price to All Users: Coal to Liquids: Reference case</t>
  </si>
  <si>
    <t>3-AEO2022.121.ref2022-d011222a</t>
  </si>
  <si>
    <t>Energy Prices: Nominal: Average Price to All Users: Electricity: Reference case</t>
  </si>
  <si>
    <t>3-AEO2022.122.ref2022-d011222a</t>
  </si>
  <si>
    <t>3-AEO2022.124.</t>
  </si>
  <si>
    <t>(billion nominal dollars)</t>
  </si>
  <si>
    <t>3-AEO2022.125.</t>
  </si>
  <si>
    <t>Energy Expenditures: Nominal: Non-Renewable Residential: Reference case</t>
  </si>
  <si>
    <t>3-AEO2022.126.ref2022-d011222a</t>
  </si>
  <si>
    <t>billion nom $</t>
  </si>
  <si>
    <t>Energy Expenditures: Nominal: Non-Renewable Commercial: Reference case</t>
  </si>
  <si>
    <t>3-AEO2022.127.ref2022-d011222a</t>
  </si>
  <si>
    <t>Energy Expenditures: Nominal: Non-Renewable Industrial: Reference case</t>
  </si>
  <si>
    <t>3-AEO2022.128.ref2022-d011222a</t>
  </si>
  <si>
    <t>Energy Expenditures: Nominal: Non-Renewable Transportation: Reference case</t>
  </si>
  <si>
    <t>3-AEO2022.129.ref2022-d011222a</t>
  </si>
  <si>
    <t>Energy Expenditures: Nominal: Total Non-Renewable: Reference case</t>
  </si>
  <si>
    <t>3-AEO2022.130.ref2022-d011222a</t>
  </si>
  <si>
    <t>Energy Expenditures: Nominal: Renewable Transportation: Reference case</t>
  </si>
  <si>
    <t>3-AEO2022.131.ref2022-d011222a</t>
  </si>
  <si>
    <t>Energy Expenditures: Nominal: Reference case</t>
  </si>
  <si>
    <t>3-AEO2022.132.ref2022-d011222a</t>
  </si>
  <si>
    <t>ACP</t>
  </si>
  <si>
    <t>Tier I</t>
  </si>
  <si>
    <t>Tier I net of Tier II</t>
  </si>
  <si>
    <t>Tier II</t>
  </si>
  <si>
    <t>BAU</t>
  </si>
  <si>
    <t>FF MMBtu displaced per T3 credit</t>
  </si>
  <si>
    <t>space htg load (MMBtu/yr)</t>
  </si>
  <si>
    <t>VMT/year</t>
  </si>
  <si>
    <t>water htg load (MMBtu/yr)</t>
  </si>
  <si>
    <t>equipment cost</t>
  </si>
  <si>
    <t>not used</t>
  </si>
  <si>
    <t>space htg equip cost</t>
  </si>
  <si>
    <t>cost trend</t>
  </si>
  <si>
    <t>avg for 9,000 Btu single head system is around $1,300; multi-head systems run from$3,500 to $6,000</t>
  </si>
  <si>
    <t>water htg equip cost</t>
  </si>
  <si>
    <t>fuel efficiency (MMBtu/mile)</t>
  </si>
  <si>
    <t>equipment cost trend</t>
  </si>
  <si>
    <t>fuel usage (MMBtu)</t>
  </si>
  <si>
    <t>not a critical assumption to stress test. Fine to set at inflation but can set escalation rate high to help find upper bound of compliance costs</t>
  </si>
  <si>
    <t>% space htg load displaced</t>
  </si>
  <si>
    <t>N/A</t>
  </si>
  <si>
    <t>maintenance cost/mi (yr 1)</t>
  </si>
  <si>
    <t>set low to find upper bound of compliance costs</t>
  </si>
  <si>
    <t>% water htg load displaced</t>
  </si>
  <si>
    <t>maintenance cost/yr (yr 1)</t>
  </si>
  <si>
    <t>space htg load met w/CCHP</t>
  </si>
  <si>
    <t>electricity usage (MWh)</t>
  </si>
  <si>
    <t>water htg load met w/CCHP</t>
  </si>
  <si>
    <t>T3 credit (MWh)</t>
  </si>
  <si>
    <t>space htg load met w/FF</t>
  </si>
  <si>
    <t>water htg load met w/FF</t>
  </si>
  <si>
    <t>space htg elc usage (MWh)</t>
  </si>
  <si>
    <t xml:space="preserve">LRTP assumes 3.256 UEC. Cadmus metering study found 1,500 kWh supplies around 50 MMBtu of htg load </t>
  </si>
  <si>
    <t>water htg elc usage (MWh</t>
  </si>
  <si>
    <t>space clg elc usage (MWh)</t>
  </si>
  <si>
    <t xml:space="preserve"> </t>
  </si>
  <si>
    <t>space htg T3 credit (MWh)</t>
  </si>
  <si>
    <t xml:space="preserve">enter assumed average over projection period </t>
  </si>
  <si>
    <t>water htg T3 credit (MWh)</t>
  </si>
  <si>
    <t>CALENDAR YEAR</t>
  </si>
  <si>
    <t>Retail Rate</t>
  </si>
  <si>
    <t>FF price- heating</t>
  </si>
  <si>
    <t>FF price- transportation</t>
  </si>
  <si>
    <t>BAU expected OPEX</t>
  </si>
  <si>
    <t>$/unit</t>
  </si>
  <si>
    <t>CCHP CAPEX</t>
  </si>
  <si>
    <t>CCHP expected OPEX</t>
  </si>
  <si>
    <t>break-even incentive</t>
  </si>
  <si>
    <t>incentive cost per T3 credit</t>
  </si>
  <si>
    <t>ACP celiling on incentive</t>
  </si>
  <si>
    <t>ELECTRIC VEHICLES</t>
  </si>
  <si>
    <t>BAU CAPEX</t>
  </si>
  <si>
    <t>EV CAPEX</t>
  </si>
  <si>
    <t>EV expected OPEX</t>
  </si>
  <si>
    <t>Federal Incentive</t>
  </si>
  <si>
    <t>net incentive from DU</t>
  </si>
  <si>
    <t>WEATHERIZATION</t>
  </si>
  <si>
    <t>Wx CAPEX</t>
  </si>
  <si>
    <t>Wx expected OPEX</t>
  </si>
  <si>
    <t>CUSTOM</t>
  </si>
  <si>
    <t>CAPEX</t>
  </si>
  <si>
    <t>Expected OPEX</t>
  </si>
  <si>
    <t>Existing MMBtu Consumption Annually</t>
  </si>
  <si>
    <t>Existing System MMBtu Displaced / Reduced By New System (DMMBtu)</t>
  </si>
  <si>
    <t>Added kWh new system (DkWh)</t>
  </si>
  <si>
    <t>Gross Lifetime MWh Saved</t>
  </si>
  <si>
    <t>Multi Zone Cold-Climate Heat Pump (CCHP) with Controls* and High Performing Home</t>
  </si>
  <si>
    <t>Multi Zone Cold-Climate Heat Pump (CCHP) with no Controls* and Low Performing Home</t>
  </si>
  <si>
    <t>Multi Zone Cold-Climate Heat Pump (CCHP) with Controls* and Low Performing Home</t>
  </si>
  <si>
    <t>Multi Zone Cold-Climate Heat Pump (CCHP) with no Controls* and High Performing Home</t>
  </si>
  <si>
    <t>Single Zone Cold-Climate Heat Pump (CCHP) with Controls* and High Performing Home</t>
  </si>
  <si>
    <t>Single Zone Cold-Climate Heat Pump (CCHP) with no Controls* and Low Performing Home</t>
  </si>
  <si>
    <t>Single Zone Cold-Climate Heat Pump (CCHP) with Controls* and Low Performing Home</t>
  </si>
  <si>
    <t>Single Zone Cold-Climate Heat Pump (CCHP) with no Controls* and High Performing Home</t>
  </si>
  <si>
    <t>https://www.eia.gov/tools/faqs/faq.php?id=73&amp;t=11</t>
  </si>
  <si>
    <t>CCHP Average</t>
  </si>
  <si>
    <t>Heat Pump Water Heater (HPWH)</t>
  </si>
  <si>
    <t>Biodiesel**</t>
  </si>
  <si>
    <t>Pellet Heating***</t>
  </si>
  <si>
    <t>Charging Stations****</t>
  </si>
  <si>
    <t>Smart Thermostat</t>
  </si>
  <si>
    <t>Electric Bike</t>
  </si>
  <si>
    <t>Transit Bus*****</t>
  </si>
  <si>
    <t>School Bus*****</t>
  </si>
  <si>
    <t>Paratransit Vehicle*****</t>
  </si>
  <si>
    <t>Low Flow Faucet Aerator</t>
  </si>
  <si>
    <t>Low Flow Showerhead</t>
  </si>
  <si>
    <t>Solar Hot Water</t>
  </si>
  <si>
    <t>Electric Forklift</t>
  </si>
  <si>
    <t>Electric Golf Cart</t>
  </si>
  <si>
    <t>Air to Water Heat Pump</t>
  </si>
  <si>
    <t>Lawnmowers</t>
  </si>
  <si>
    <t>Leafblowers</t>
  </si>
  <si>
    <t>Centrally Ducted Air Source Heat Pumps</t>
  </si>
  <si>
    <t>Induction Stovetop</t>
  </si>
  <si>
    <t>Motorcycles</t>
  </si>
  <si>
    <t>Tractors and Small Gas Appliances</t>
  </si>
  <si>
    <t>DISPLACED MMBTU</t>
  </si>
  <si>
    <t>lbs CO2 per mmBTU</t>
  </si>
  <si>
    <t>lbs of CO2 saved annually</t>
  </si>
  <si>
    <t>HP Hot Water Heater</t>
  </si>
  <si>
    <t>EV Chargers</t>
  </si>
  <si>
    <t>Claimed lifetime MWh</t>
  </si>
  <si>
    <t>Smart Thermostats</t>
  </si>
  <si>
    <t>Measure Life (years)</t>
  </si>
  <si>
    <t>Home Battery</t>
  </si>
  <si>
    <t>FF Heat Rate</t>
  </si>
  <si>
    <t>MMBtu of FF saved</t>
  </si>
  <si>
    <t>Pellet Boiler</t>
  </si>
  <si>
    <t>Average Wx MWh claim for 2018</t>
  </si>
  <si>
    <t>Displaced MMBtu per project</t>
  </si>
  <si>
    <t>Existing System</t>
  </si>
  <si>
    <t>System Displacement</t>
  </si>
  <si>
    <t>Electric Penalty New System</t>
  </si>
  <si>
    <t>Utility Savings and ACP Cap</t>
  </si>
  <si>
    <t>Measure</t>
  </si>
  <si>
    <t>Tier III Approval</t>
  </si>
  <si>
    <t>Assumptions/Note</t>
  </si>
  <si>
    <r>
      <t>Existing System MMBtu Displaced / Reduced By New System (</t>
    </r>
    <r>
      <rPr>
        <b/>
        <sz val="10"/>
        <color theme="1"/>
        <rFont val="Symbol"/>
        <family val="1"/>
        <charset val="2"/>
      </rPr>
      <t>D</t>
    </r>
    <r>
      <rPr>
        <b/>
        <sz val="10"/>
        <color theme="1"/>
        <rFont val="Arial"/>
        <family val="2"/>
      </rPr>
      <t>MMBtu)</t>
    </r>
  </si>
  <si>
    <t>Measure Cost</t>
  </si>
  <si>
    <t>Existing System MWH Equivalent Displaced</t>
  </si>
  <si>
    <t>% of Load Displaced / Reduced By New System</t>
  </si>
  <si>
    <r>
      <t>Added kWh new system (</t>
    </r>
    <r>
      <rPr>
        <b/>
        <sz val="10"/>
        <color theme="1"/>
        <rFont val="Symbol"/>
        <family val="1"/>
        <charset val="2"/>
      </rPr>
      <t>D</t>
    </r>
    <r>
      <rPr>
        <b/>
        <sz val="10"/>
        <color theme="1"/>
        <rFont val="Arial"/>
        <family val="2"/>
      </rPr>
      <t>kWh)</t>
    </r>
  </si>
  <si>
    <t>Lifetime Avg Annual MWh Penalty 
(adj for %Fossil)</t>
  </si>
  <si>
    <t>Gross 1st Yr MWh Saved</t>
  </si>
  <si>
    <t>Net 1st Yr MWh Saved</t>
  </si>
  <si>
    <t>Measure Life</t>
  </si>
  <si>
    <t>Net Lifetime MWh Saved</t>
  </si>
  <si>
    <t>Alternative Compliance Cap 
(%Fossil=1st Year)</t>
  </si>
  <si>
    <t>Alternative Compliance Cap 
(RE=100%)</t>
  </si>
  <si>
    <t>Assumed Fuel</t>
  </si>
  <si>
    <t>Gross Annual CO2 Offset (LBS)</t>
  </si>
  <si>
    <t>NET Lifetime CO2 Offset (LBS)</t>
  </si>
  <si>
    <t>Yes</t>
  </si>
  <si>
    <t>16,000 - 20,000 BTU/h</t>
  </si>
  <si>
    <t>Home Heating Average</t>
  </si>
  <si>
    <t>20,001 - 24,000 BTU/h</t>
  </si>
  <si>
    <t>24,001 - 32,000 BTU/h</t>
  </si>
  <si>
    <t>32,001 - 38,000 BTU/h</t>
  </si>
  <si>
    <t>38,001 - 44,000 BTU/h</t>
  </si>
  <si>
    <t>44,001 - 65,000 BTU/h</t>
  </si>
  <si>
    <t>5,000 - 8,000 BTU/h</t>
  </si>
  <si>
    <t>8,001 - 11,000 BTU/h</t>
  </si>
  <si>
    <t>11,001 - 14,000 BTU/h</t>
  </si>
  <si>
    <t>14,001 - 17,000 BTU/h</t>
  </si>
  <si>
    <t>17,001 - 22,000 BTU/h</t>
  </si>
  <si>
    <t>22,001 - 32,000 BTU/h</t>
  </si>
  <si>
    <t>32,001 - 48,000 BTU/h</t>
  </si>
  <si>
    <t>48,001 - 65,000 BTU/h</t>
  </si>
  <si>
    <t>&lt; 55 Gallon, Tier 1/Tier 2</t>
  </si>
  <si>
    <t>&lt; 55 Gallon, Tier 3</t>
  </si>
  <si>
    <t>&lt; 55 Gallon, Tier 4</t>
  </si>
  <si>
    <t>&gt; 55 Gallon, Tier 1/Tier 2</t>
  </si>
  <si>
    <t>&gt; 55 Gallon, Tier 3</t>
  </si>
  <si>
    <t>&gt; 55 Gallon, Tier 4</t>
  </si>
  <si>
    <t xml:space="preserve">Biodiesel** </t>
  </si>
  <si>
    <t>B5, per gallon</t>
  </si>
  <si>
    <t>Diesel</t>
  </si>
  <si>
    <t>B10, per gallon</t>
  </si>
  <si>
    <t>B20, per gallon</t>
  </si>
  <si>
    <t>B100, per gallon</t>
  </si>
  <si>
    <t>Residential Pellet boilers or furnaces, Existing Boiler</t>
  </si>
  <si>
    <t>Residential Pellet boilers or furnaces, Existing Furnace</t>
  </si>
  <si>
    <t>Residential Pellet stoves, Existing Home</t>
  </si>
  <si>
    <t>Residential Pellet stoves, New Construction</t>
  </si>
  <si>
    <t>Residential Wood Stoves, Existing Home</t>
  </si>
  <si>
    <t>Residential Wood Stoves, New Construction</t>
  </si>
  <si>
    <t>New All Electric Vehicle</t>
  </si>
  <si>
    <t>Gasoline (regular)</t>
  </si>
  <si>
    <t>New Plug-in Hybrid Electric Vehicle</t>
  </si>
  <si>
    <t>Used All Electric Vehicle</t>
  </si>
  <si>
    <t>Used Plug-in Hybrid Electric Vehicle</t>
  </si>
  <si>
    <t>Level 2 Public</t>
  </si>
  <si>
    <t>DC Fast</t>
  </si>
  <si>
    <t>Level 2 Workplace</t>
  </si>
  <si>
    <t>Multifamily</t>
  </si>
  <si>
    <t>Singlefamily Blend of fuels and Existing Homes/RNC</t>
  </si>
  <si>
    <t>Multifamily Blend of fuels and Existing Homes/RNC</t>
  </si>
  <si>
    <t>Use in place of an automobile for all activities, except exercise</t>
  </si>
  <si>
    <t>New transit bus in place of a gas or diesel vehicle, requires custom inputs</t>
  </si>
  <si>
    <t>New school bus in place of a gas or diesel vehicle, requires custom inputs</t>
  </si>
  <si>
    <t>New paratransit vehicle in place of a gas or diesel vehicle, requires custom inputs</t>
  </si>
  <si>
    <t>1.5 GPM, Direct Install (DHW fuel known)</t>
  </si>
  <si>
    <t>1.5 GPM, Direct Install (DHW fuel unknown)</t>
  </si>
  <si>
    <t>1.5 GPM, Free Giveaways</t>
  </si>
  <si>
    <t>1.5 GPM or less</t>
  </si>
  <si>
    <t>1.0 ≤ SEF &lt; 1.5</t>
  </si>
  <si>
    <t>1.5 ≤ SEF &lt; 2.0</t>
  </si>
  <si>
    <t>2.0 ≤ SEF &lt; 2.5</t>
  </si>
  <si>
    <t>2.5 ≤ SEF</t>
  </si>
  <si>
    <t>New electric forklift</t>
  </si>
  <si>
    <t>Liquid Propane</t>
  </si>
  <si>
    <t>Used electric forklift</t>
  </si>
  <si>
    <t>New electric golf cart</t>
  </si>
  <si>
    <t>Residential 2 Ton</t>
  </si>
  <si>
    <t>Residential 2.5 Ton</t>
  </si>
  <si>
    <t>Residential 3 Ton</t>
  </si>
  <si>
    <t>Residential 3.5 Ton</t>
  </si>
  <si>
    <t>Residential 4 Ton</t>
  </si>
  <si>
    <t>Residential 4.5 Ton</t>
  </si>
  <si>
    <t>Residential 5 Ton</t>
  </si>
  <si>
    <t>Residential 5.5 Ton</t>
  </si>
  <si>
    <t>Residential 6 Ton</t>
  </si>
  <si>
    <t>Commercial 2 Ton</t>
  </si>
  <si>
    <t>Commercial 2.5 Ton</t>
  </si>
  <si>
    <t>Commercial 3 Ton</t>
  </si>
  <si>
    <t>Commercial 3.5 Ton</t>
  </si>
  <si>
    <t>Commercial 4 Ton</t>
  </si>
  <si>
    <t>Commercial 4.5 Ton</t>
  </si>
  <si>
    <t>Commercial 5 Ton</t>
  </si>
  <si>
    <t>Commercial 5.5 Ton</t>
  </si>
  <si>
    <t>Commercial 6 Ton</t>
  </si>
  <si>
    <t>Ride on Lawnmowers</t>
  </si>
  <si>
    <t>Commercial Ride On Electric Lawnmower</t>
  </si>
  <si>
    <t>Residential Ride On Electric Lawnmower</t>
  </si>
  <si>
    <t>Commercial Electric Leafblower</t>
  </si>
  <si>
    <t>Residential Electric Leafblower</t>
  </si>
  <si>
    <t>Residential 9000 Btu/hr</t>
  </si>
  <si>
    <t>Residential 12000 Btu/hr</t>
  </si>
  <si>
    <t>Residential 15000 Btu/hr</t>
  </si>
  <si>
    <t>Residential 18000 Btu/hr</t>
  </si>
  <si>
    <t>Residential 24000 Btu/hr</t>
  </si>
  <si>
    <t>Residential 30000 Btu/hr</t>
  </si>
  <si>
    <t>Residential 36000 Btu/hr</t>
  </si>
  <si>
    <t>Residential 42000 Btu/hr</t>
  </si>
  <si>
    <t>Residential 48000 Btu/hr</t>
  </si>
  <si>
    <t>Residential 54000 Btu/hr</t>
  </si>
  <si>
    <t>Residential 60000 Btu/hr</t>
  </si>
  <si>
    <t>Residential 66000 Btu/hr</t>
  </si>
  <si>
    <t>Residential 72000 Btu/hr</t>
  </si>
  <si>
    <t>Commercial 9000 Btu/hr</t>
  </si>
  <si>
    <t>Commercial 12000 Btu/hr</t>
  </si>
  <si>
    <t>Commercial 15000 Btu/hr</t>
  </si>
  <si>
    <t>Commercial 18000 Btu/hr</t>
  </si>
  <si>
    <t>Commercial 24000 Btu/hr</t>
  </si>
  <si>
    <t>Commercial 30000 Btu/hr</t>
  </si>
  <si>
    <t>Commercial 36000 Btu/hr</t>
  </si>
  <si>
    <t>Commercial 42000 Btu/hr</t>
  </si>
  <si>
    <t>Commercial 48000 Btu/hr</t>
  </si>
  <si>
    <t>Commercial 54000 Btu/hr</t>
  </si>
  <si>
    <t>Commercial 60000 Btu/hr</t>
  </si>
  <si>
    <t>Commercial 66000 Btu/hr</t>
  </si>
  <si>
    <t>Commercial 72000 Btu/hr</t>
  </si>
  <si>
    <t>Residential Induction Stovetop</t>
  </si>
  <si>
    <t>Battery</t>
  </si>
  <si>
    <t>Residential Battery</t>
  </si>
  <si>
    <t>Custom Input from Tool</t>
  </si>
  <si>
    <t>Scooter</t>
  </si>
  <si>
    <t>Motorcycle</t>
  </si>
  <si>
    <t>Push Lawn Mowers and Small Gas Appliances</t>
  </si>
  <si>
    <t>Residential Trimmers</t>
  </si>
  <si>
    <t>Commercial Trimmers</t>
  </si>
  <si>
    <t>Residential Chainsaws</t>
  </si>
  <si>
    <t>Commercial Chainsaws</t>
  </si>
  <si>
    <t>Residential Electric Push Lawnmower</t>
  </si>
  <si>
    <t>Commercial Electric Push Lawnmower</t>
  </si>
  <si>
    <t>Telecommute</t>
  </si>
  <si>
    <t>Custom calculation needed, per day per employee savings already calculated</t>
  </si>
  <si>
    <t>Replace Your Ride</t>
  </si>
  <si>
    <t>Early retirement of existing internal combustion engine vehicle</t>
  </si>
  <si>
    <t>Heat Pump Pool Water Heater</t>
  </si>
  <si>
    <t>Assumes pool cover on customer's pool</t>
  </si>
  <si>
    <t>Assumes no pool cover on customer's pool</t>
  </si>
  <si>
    <t>*Net savings calculations (Column L and O) are referring to low performing home FR/SO values. To calculate for high performing home, point the formulas to D4 and D5 on "FR SO Table" tab for multi zone and single zone respectively.</t>
  </si>
  <si>
    <t xml:space="preserve">**There is an additional cost for B20 and above. The additional cost of replacing a burner to accommodate biodiesel blends above B20 is $1,000 for boilers less than 300,000 Btu/hr and furnaces less than 225,000 Btu/hr and $2,500 for boilers equal to or greater than 300,000 Btu/hr and furnaces equal to or greater than 225,000 Btu/hr.  </t>
  </si>
  <si>
    <t>***For commercial pellet heating applications, a custom Existing MMBtu Consumption is needed to calculate savings.</t>
  </si>
  <si>
    <t xml:space="preserve">****All savings for Tier III Charging Stations will be based on actual kWh consumption from metered data from the utility. </t>
  </si>
  <si>
    <t>*****All commercial electric vehicles require DU custom inputs of annual vehicle miles traveled and electric efficiency of new electric vehicle</t>
  </si>
  <si>
    <t>Key</t>
  </si>
  <si>
    <t>DU Target ACP</t>
  </si>
  <si>
    <t>Heat Rate</t>
  </si>
  <si>
    <t>Still questions around measure</t>
  </si>
  <si>
    <t>Completed</t>
  </si>
  <si>
    <t xml:space="preserve">18000 Btu/Hr </t>
  </si>
  <si>
    <t xml:space="preserve">24000 Btu/Hr </t>
  </si>
  <si>
    <t xml:space="preserve">30000 Btu/Hr </t>
  </si>
  <si>
    <t xml:space="preserve">36000 Btu/Hr </t>
  </si>
  <si>
    <t xml:space="preserve">42000 Btu/Hr </t>
  </si>
  <si>
    <t xml:space="preserve">48000 Btu/Hr </t>
  </si>
  <si>
    <t xml:space="preserve">6000 Btu/Hr </t>
  </si>
  <si>
    <t xml:space="preserve">9000 Btu/Hr </t>
  </si>
  <si>
    <t xml:space="preserve">12000 Btu/Hr </t>
  </si>
  <si>
    <t xml:space="preserve">15000 Btu/Hr </t>
  </si>
  <si>
    <t>&lt; 55 Gallon, UEF&lt;2.35</t>
  </si>
  <si>
    <t>&lt; 55 Gallon, 2.35&lt;UEF&lt;2.7</t>
  </si>
  <si>
    <t>&lt; 55 Gallon, 2.7&lt;UEF</t>
  </si>
  <si>
    <t>&gt; 55 Gallon, UEF&lt;2.35</t>
  </si>
  <si>
    <t>&gt; 55 Gallon, 2.35&lt;UEF&lt;2.7</t>
  </si>
  <si>
    <t>&gt; 55 Gallon, 2.7&lt;UEF</t>
  </si>
  <si>
    <t>Residential Pellet stoves, Existing Boiler</t>
  </si>
  <si>
    <t>Residential Pellet stoves, Existing Furnace</t>
  </si>
  <si>
    <t>Blend of fuels and Existing Homes/RNC</t>
  </si>
  <si>
    <t>Commercial Electric Lawnmower</t>
  </si>
  <si>
    <t>Residential Electric Lawnmower</t>
  </si>
  <si>
    <t>Commerical Electric Leafblower</t>
  </si>
  <si>
    <t>Residential Lawn &amp; Garden Tractor</t>
  </si>
  <si>
    <t>Commercial Lawn &amp; Garden Tractor</t>
  </si>
  <si>
    <t>&lt; 55 Gallon, EF&lt;2.35</t>
  </si>
  <si>
    <t>&lt; 55 Gallon, 2.35&lt;EF&lt;2.7</t>
  </si>
  <si>
    <t>&lt; 55 Gallon, 2.7&lt;EF</t>
  </si>
  <si>
    <t>&gt; 55 Gallon, EF&lt;2.35</t>
  </si>
  <si>
    <t>&gt; 55 Gallon, 2.35&lt;EF&lt;2.7</t>
  </si>
  <si>
    <t>&gt; 55 Gallon, 2.7&lt;EF</t>
  </si>
  <si>
    <t>% of Tier III Savings</t>
  </si>
  <si>
    <t>TIER III PLANNING TOOL (references Savings Calculator 2022)</t>
  </si>
  <si>
    <t>2021 Annual Emissions Reductions for RES Report</t>
  </si>
  <si>
    <t>Tier I &amp; II</t>
  </si>
  <si>
    <t>All Tiers</t>
  </si>
  <si>
    <t>Max RES cost @ ACP</t>
  </si>
  <si>
    <t>2021 Vermont emissions rate (lbs/MWh)</t>
  </si>
  <si>
    <t>CAP</t>
  </si>
  <si>
    <t>updated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</si>
</sst>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 numFmtId="168" formatCode="_(&quot;$&quot;* #,##0.0_);_(&quot;$&quot;* \(#,##0.0\);_(&quot;$&quot;* &quot;-&quot;??_);_(@_)"/>
    <numFmt numFmtId="169" formatCode="0.0"/>
    <numFmt numFmtId="170" formatCode="_(* #,##0.000_);_(* \(#,##0.000\);_(* &quot;-&quot;??_);_(@_)"/>
    <numFmt numFmtId="171" formatCode="&quot;$&quot;#,##0"/>
    <numFmt numFmtId="172" formatCode="0.000"/>
    <numFmt numFmtId="173" formatCode="#,##0.000"/>
    <numFmt numFmtId="174" formatCode="&quot;$&quot;#,##0.000"/>
    <numFmt numFmtId="175" formatCode="#,##0.0000"/>
    <numFmt numFmtId="176" formatCode="#,##0.0"/>
    <numFmt numFmtId="177" formatCode="_(&quot;$&quot;* #,##0.0000_);_(&quot;$&quot;* \(#,##0.0000\);_(&quot;$&quot;* &quot;-&quot;??_);_(@_)"/>
    <numFmt numFmtId="178" formatCode="_(* #,##0.0_);_(* \(#,##0.0\);_(* &quot;-&quot;??_);_(@_)"/>
    <numFmt numFmtId="179" formatCode="&quot;Warning&quot;;&quot;Warning&quot;;&quot;OK&quot;"/>
    <numFmt numFmtId="180" formatCode="_(* #,##0.00%_);_(* \(#,##0.00%\);_(* &quot;-&quot;??_);_(@_)"/>
    <numFmt numFmtId="181" formatCode="#,##0_-;\ \(#,##0\);_-* &quot;-&quot;??;_-@_-"/>
    <numFmt numFmtId="182" formatCode="_(* #,##0.00\x_);_(* \(#,##0.00\x\);_(* &quot;-&quot;??_);_(@_)"/>
    <numFmt numFmtId="183" formatCode="_ * #,##0.00_ ;_ * \-#,##0.00_ ;_ * &quot;&quot;\-&quot;&quot;??_ ;_ @_ "/>
    <numFmt numFmtId="184" formatCode="_(* #,##0.0000_);_(* \(#,##0.0000\);_(* &quot;-&quot;??_);_(@_)"/>
    <numFmt numFmtId="185" formatCode="&quot;$&quot;#,##0.0000_);[Red]\(&quot;$&quot;#,##0.0000\)"/>
    <numFmt numFmtId="186" formatCode="0.000%"/>
    <numFmt numFmtId="187" formatCode="0_);\(0\)"/>
  </numFmts>
  <fonts count="105"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theme="0" tint="-0.499984740745262"/>
      <name val="Calibri"/>
      <family val="2"/>
      <scheme val="minor"/>
    </font>
    <font>
      <b/>
      <sz val="9"/>
      <color indexed="81"/>
      <name val="Tahoma"/>
      <family val="2"/>
    </font>
    <font>
      <b/>
      <u/>
      <sz val="11"/>
      <color theme="1"/>
      <name val="Calibri"/>
      <family val="2"/>
      <scheme val="minor"/>
    </font>
    <font>
      <b/>
      <u val="singleAccounting"/>
      <sz val="11"/>
      <color theme="1"/>
      <name val="Calibri"/>
      <family val="2"/>
      <scheme val="minor"/>
    </font>
    <font>
      <sz val="14"/>
      <color theme="1"/>
      <name val="Calibri"/>
      <family val="2"/>
      <scheme val="minor"/>
    </font>
    <font>
      <sz val="10"/>
      <color theme="1"/>
      <name val="Calibri"/>
      <family val="2"/>
      <scheme val="minor"/>
    </font>
    <font>
      <sz val="10"/>
      <color indexed="8"/>
      <name val="Arial"/>
      <family val="2"/>
    </font>
    <font>
      <sz val="9"/>
      <color indexed="81"/>
      <name val="Tahoma"/>
      <family val="2"/>
    </font>
    <font>
      <b/>
      <sz val="14"/>
      <color theme="1"/>
      <name val="Calibri"/>
      <family val="2"/>
      <scheme val="minor"/>
    </font>
    <font>
      <i/>
      <sz val="11"/>
      <color theme="1"/>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12"/>
      <color theme="0"/>
      <name val="Calibri"/>
      <family val="2"/>
      <scheme val="minor"/>
    </font>
    <font>
      <sz val="11"/>
      <name val="Calibri"/>
      <family val="2"/>
      <scheme val="minor"/>
    </font>
    <font>
      <b/>
      <u/>
      <sz val="11"/>
      <color indexed="8"/>
      <name val="Calibri"/>
      <family val="2"/>
      <scheme val="minor"/>
    </font>
    <font>
      <sz val="11"/>
      <color indexed="8"/>
      <name val="Calibri"/>
      <family val="2"/>
      <scheme val="minor"/>
    </font>
    <font>
      <b/>
      <u/>
      <sz val="12"/>
      <color theme="0"/>
      <name val="Calibri"/>
      <family val="2"/>
      <scheme val="minor"/>
    </font>
    <font>
      <sz val="11"/>
      <color theme="0" tint="-0.249977111117893"/>
      <name val="Calibri"/>
      <family val="2"/>
      <scheme val="minor"/>
    </font>
    <font>
      <b/>
      <u/>
      <sz val="12"/>
      <color rgb="FFFF0000"/>
      <name val="Calibri"/>
      <family val="2"/>
      <scheme val="minor"/>
    </font>
    <font>
      <b/>
      <u/>
      <sz val="12"/>
      <color theme="1"/>
      <name val="Calibri"/>
      <family val="2"/>
      <scheme val="minor"/>
    </font>
    <font>
      <b/>
      <sz val="10"/>
      <color theme="1"/>
      <name val="Arial"/>
      <family val="2"/>
    </font>
    <font>
      <i/>
      <sz val="11"/>
      <color rgb="FFFF0000"/>
      <name val="Calibri"/>
      <family val="2"/>
      <scheme val="minor"/>
    </font>
    <font>
      <sz val="11"/>
      <color rgb="FF212121"/>
      <name val="Arial"/>
      <family val="2"/>
    </font>
    <font>
      <b/>
      <u/>
      <sz val="11"/>
      <name val="Calibri"/>
      <family val="2"/>
      <scheme val="minor"/>
    </font>
    <font>
      <b/>
      <sz val="16"/>
      <color theme="1"/>
      <name val="Calibri"/>
      <family val="2"/>
      <scheme val="minor"/>
    </font>
    <font>
      <sz val="11"/>
      <color rgb="FF006100"/>
      <name val="Calibri"/>
      <family val="2"/>
      <scheme val="minor"/>
    </font>
    <font>
      <b/>
      <sz val="11"/>
      <name val="Calibri"/>
      <family val="2"/>
      <scheme val="minor"/>
    </font>
    <font>
      <b/>
      <u/>
      <sz val="10"/>
      <color theme="1"/>
      <name val="Calibri"/>
      <family val="2"/>
      <scheme val="minor"/>
    </font>
    <font>
      <sz val="11"/>
      <color theme="1" tint="0.499984740745262"/>
      <name val="Calibri"/>
      <family val="2"/>
      <scheme val="minor"/>
    </font>
    <font>
      <sz val="8"/>
      <name val="Calibri"/>
      <family val="2"/>
      <scheme val="minor"/>
    </font>
    <font>
      <sz val="10"/>
      <color theme="1"/>
      <name val="Arial"/>
      <family val="2"/>
    </font>
    <font>
      <b/>
      <sz val="10"/>
      <color theme="1"/>
      <name val="Symbol"/>
      <family val="1"/>
      <charset val="2"/>
    </font>
    <font>
      <sz val="10"/>
      <color rgb="FFFF0000"/>
      <name val="Arial"/>
      <family val="2"/>
    </font>
    <font>
      <sz val="10"/>
      <name val="Arial"/>
      <family val="2"/>
    </font>
    <font>
      <b/>
      <sz val="10"/>
      <name val="Arial"/>
      <family val="2"/>
    </font>
    <font>
      <i/>
      <sz val="10"/>
      <name val="Arial"/>
      <family val="2"/>
    </font>
    <font>
      <b/>
      <sz val="10"/>
      <color theme="1"/>
      <name val="Times New Roman"/>
      <family val="1"/>
    </font>
    <font>
      <sz val="10"/>
      <color theme="1"/>
      <name val="Times New Roman"/>
      <family val="1"/>
    </font>
    <font>
      <sz val="10"/>
      <color theme="1"/>
      <name val="Symbol"/>
      <family val="1"/>
      <charset val="2"/>
    </font>
    <font>
      <u/>
      <sz val="10"/>
      <color theme="10"/>
      <name val="Arial"/>
      <family val="2"/>
    </font>
    <font>
      <vertAlign val="superscript"/>
      <sz val="9"/>
      <color theme="1"/>
      <name val="Times New Roman"/>
      <family val="1"/>
    </font>
    <font>
      <sz val="11"/>
      <color theme="0" tint="-0.14999847407452621"/>
      <name val="Calibri"/>
      <family val="2"/>
      <scheme val="minor"/>
    </font>
    <font>
      <b/>
      <sz val="9"/>
      <color rgb="FF000000"/>
      <name val="Tahoma"/>
      <family val="2"/>
    </font>
    <font>
      <sz val="9"/>
      <color rgb="FF000000"/>
      <name val="Tahoma"/>
      <family val="2"/>
    </font>
    <font>
      <u/>
      <sz val="11"/>
      <color theme="1"/>
      <name val="Calibri"/>
      <family val="2"/>
      <scheme val="minor"/>
    </font>
    <font>
      <b/>
      <u/>
      <sz val="11"/>
      <color rgb="FFFF0000"/>
      <name val="Calibri"/>
      <family val="2"/>
      <scheme val="minor"/>
    </font>
    <font>
      <sz val="12"/>
      <color theme="1"/>
      <name val="Calibri"/>
      <family val="2"/>
      <scheme val="minor"/>
    </font>
    <font>
      <b/>
      <sz val="20"/>
      <color rgb="FFF2F2F2"/>
      <name val="Calibri"/>
      <family val="2"/>
      <scheme val="minor"/>
    </font>
    <font>
      <sz val="14"/>
      <color theme="1"/>
      <name val="Calibri"/>
      <family val="2"/>
    </font>
    <font>
      <sz val="10"/>
      <color rgb="FF236194"/>
      <name val="Calibri"/>
      <family val="2"/>
      <scheme val="minor"/>
    </font>
    <font>
      <sz val="10"/>
      <color theme="0"/>
      <name val="Calibri"/>
      <family val="2"/>
      <scheme val="minor"/>
    </font>
    <font>
      <i/>
      <sz val="10"/>
      <color theme="0" tint="-0.34998626667073579"/>
      <name val="Calibri"/>
      <family val="2"/>
      <scheme val="minor"/>
    </font>
    <font>
      <b/>
      <sz val="15"/>
      <color rgb="FF236194"/>
      <name val="Calibri"/>
      <family val="2"/>
    </font>
    <font>
      <sz val="10"/>
      <name val="Calibri"/>
      <family val="2"/>
      <scheme val="minor"/>
    </font>
    <font>
      <i/>
      <sz val="10"/>
      <color rgb="FF003366"/>
      <name val="Calibri"/>
      <family val="2"/>
      <scheme val="minor"/>
    </font>
    <font>
      <b/>
      <sz val="13"/>
      <name val="Calibri"/>
      <family val="2"/>
      <scheme val="minor"/>
    </font>
    <font>
      <b/>
      <sz val="11"/>
      <name val="Calibri"/>
      <family val="2"/>
    </font>
    <font>
      <u/>
      <sz val="10"/>
      <name val="Calibri"/>
      <family val="2"/>
    </font>
    <font>
      <sz val="10"/>
      <color indexed="23"/>
      <name val="Calibri"/>
      <family val="2"/>
    </font>
    <font>
      <sz val="10"/>
      <color theme="1"/>
      <name val="Calibri"/>
      <family val="2"/>
    </font>
    <font>
      <sz val="10"/>
      <color rgb="FF4EAC96"/>
      <name val="Calibri"/>
      <family val="2"/>
      <scheme val="minor"/>
    </font>
    <font>
      <sz val="10"/>
      <color rgb="FFC00000"/>
      <name val="Calibri"/>
      <family val="2"/>
      <scheme val="minor"/>
    </font>
    <font>
      <b/>
      <sz val="15"/>
      <color theme="0"/>
      <name val="Calibri"/>
      <family val="2"/>
    </font>
    <font>
      <b/>
      <sz val="14"/>
      <name val="Calibri"/>
      <family val="2"/>
      <scheme val="minor"/>
    </font>
    <font>
      <b/>
      <sz val="12"/>
      <name val="Calibri"/>
      <family val="2"/>
    </font>
    <font>
      <u/>
      <sz val="11"/>
      <name val="Calibri"/>
      <family val="2"/>
    </font>
    <font>
      <sz val="10"/>
      <color rgb="FF00B050"/>
      <name val="Calibri"/>
      <family val="2"/>
      <scheme val="minor"/>
    </font>
    <font>
      <sz val="10"/>
      <color indexed="23"/>
      <name val="Calibri"/>
      <family val="2"/>
      <scheme val="minor"/>
    </font>
    <font>
      <b/>
      <sz val="10"/>
      <color theme="0"/>
      <name val="Calibri"/>
      <family val="2"/>
      <scheme val="minor"/>
    </font>
    <font>
      <sz val="8"/>
      <name val="Arial"/>
      <family val="2"/>
    </font>
    <font>
      <b/>
      <sz val="14"/>
      <color rgb="FF000000"/>
      <name val="Arial"/>
      <family val="2"/>
    </font>
    <font>
      <sz val="11"/>
      <color rgb="FF000000"/>
      <name val="Arial"/>
      <family val="2"/>
    </font>
    <font>
      <b/>
      <sz val="11"/>
      <color theme="0"/>
      <name val="Calibri"/>
      <family val="2"/>
      <scheme val="minor"/>
    </font>
    <font>
      <i/>
      <sz val="9"/>
      <name val="Calibri"/>
      <family val="2"/>
      <scheme val="minor"/>
    </font>
    <font>
      <i/>
      <sz val="9"/>
      <color theme="1"/>
      <name val="Calibri"/>
      <family val="2"/>
      <scheme val="minor"/>
    </font>
    <font>
      <i/>
      <sz val="10"/>
      <color theme="1"/>
      <name val="Calibri"/>
      <family val="2"/>
      <scheme val="minor"/>
    </font>
    <font>
      <sz val="16"/>
      <color theme="1"/>
      <name val="Calibri"/>
      <family val="2"/>
      <scheme val="minor"/>
    </font>
    <font>
      <sz val="11"/>
      <color rgb="FF0070C0"/>
      <name val="Calibri"/>
      <family val="2"/>
      <scheme val="minor"/>
    </font>
    <font>
      <b/>
      <sz val="11"/>
      <color rgb="FF0070C0"/>
      <name val="Calibri"/>
      <family val="2"/>
      <scheme val="minor"/>
    </font>
    <font>
      <u/>
      <sz val="11"/>
      <color theme="10"/>
      <name val="Calibri"/>
      <family val="2"/>
      <scheme val="minor"/>
    </font>
    <font>
      <b/>
      <i/>
      <sz val="11"/>
      <color rgb="FFFF0000"/>
      <name val="Calibri"/>
      <family val="2"/>
      <scheme val="minor"/>
    </font>
    <font>
      <b/>
      <sz val="11"/>
      <color theme="4" tint="-0.249977111117893"/>
      <name val="Calibri"/>
      <family val="2"/>
      <scheme val="minor"/>
    </font>
    <font>
      <b/>
      <sz val="11"/>
      <color theme="8"/>
      <name val="Calibri"/>
      <family val="2"/>
      <scheme val="minor"/>
    </font>
    <font>
      <sz val="11"/>
      <color theme="8"/>
      <name val="Calibri"/>
      <family val="2"/>
      <scheme val="minor"/>
    </font>
    <font>
      <b/>
      <sz val="16"/>
      <name val="Calibri"/>
      <family val="2"/>
      <scheme val="minor"/>
    </font>
    <font>
      <i/>
      <sz val="11"/>
      <name val="Calibri"/>
      <family val="2"/>
      <scheme val="minor"/>
    </font>
    <font>
      <b/>
      <i/>
      <u/>
      <sz val="11"/>
      <color theme="1"/>
      <name val="Calibri"/>
      <family val="2"/>
      <scheme val="minor"/>
    </font>
    <font>
      <b/>
      <i/>
      <u/>
      <sz val="10"/>
      <color theme="1"/>
      <name val="Calibri"/>
      <family val="2"/>
      <scheme val="minor"/>
    </font>
    <font>
      <sz val="16"/>
      <color rgb="FFFF0000"/>
      <name val="Calibri"/>
      <family val="2"/>
      <scheme val="minor"/>
    </font>
    <font>
      <b/>
      <u/>
      <sz val="9"/>
      <color indexed="81"/>
      <name val="Tahoma"/>
      <family val="2"/>
    </font>
    <font>
      <b/>
      <sz val="16"/>
      <color rgb="FF000000"/>
      <name val="Calibri"/>
      <family val="2"/>
    </font>
    <font>
      <sz val="11"/>
      <color theme="1"/>
      <name val="Calibri"/>
      <family val="2"/>
    </font>
    <font>
      <b/>
      <sz val="11"/>
      <color rgb="FFFFFFFF"/>
      <name val="Calibri"/>
      <family val="2"/>
    </font>
    <font>
      <b/>
      <sz val="11"/>
      <color rgb="FF000000"/>
      <name val="Calibri"/>
      <family val="2"/>
    </font>
    <font>
      <sz val="11"/>
      <name val="Calibri"/>
      <family val="2"/>
    </font>
    <font>
      <i/>
      <sz val="9"/>
      <color rgb="FF000000"/>
      <name val="Calibri"/>
      <family val="2"/>
    </font>
    <font>
      <i/>
      <sz val="9"/>
      <name val="Calibri"/>
      <family val="2"/>
    </font>
    <font>
      <i/>
      <sz val="11"/>
      <color rgb="FF000000"/>
      <name val="Calibri"/>
      <family val="2"/>
    </font>
    <font>
      <b/>
      <i/>
      <sz val="11"/>
      <color theme="1"/>
      <name val="Calibri"/>
      <family val="2"/>
      <scheme val="minor"/>
    </font>
    <font>
      <sz val="9"/>
      <name val="Calibri"/>
      <family val="2"/>
      <scheme val="minor"/>
    </font>
  </fonts>
  <fills count="44">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6EFCE"/>
      </patternFill>
    </fill>
    <fill>
      <patternFill patternType="solid">
        <fgColor theme="5" tint="0.39997558519241921"/>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1" tint="0.499984740745262"/>
        <bgColor indexed="64"/>
      </patternFill>
    </fill>
    <fill>
      <patternFill patternType="solid">
        <fgColor theme="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236194"/>
        <bgColor indexed="64"/>
      </patternFill>
    </fill>
    <fill>
      <patternFill patternType="solid">
        <fgColor theme="0" tint="-0.14996795556505021"/>
        <bgColor indexed="64"/>
      </patternFill>
    </fill>
    <fill>
      <patternFill patternType="solid">
        <fgColor rgb="FFFFFFC5"/>
        <bgColor indexed="64"/>
      </patternFill>
    </fill>
    <fill>
      <patternFill patternType="solid">
        <fgColor rgb="FF7B868C"/>
        <bgColor indexed="64"/>
      </patternFill>
    </fill>
    <fill>
      <patternFill patternType="solid">
        <fgColor theme="0" tint="-4.9989318521683403E-2"/>
        <bgColor indexed="64"/>
      </patternFill>
    </fill>
    <fill>
      <patternFill patternType="solid">
        <fgColor rgb="FFEB6F6F"/>
        <bgColor indexed="64"/>
      </patternFill>
    </fill>
    <fill>
      <patternFill patternType="solid">
        <fgColor rgb="FFDDEBF7"/>
        <bgColor indexed="64"/>
      </patternFill>
    </fill>
    <fill>
      <patternFill patternType="lightGray">
        <fgColor indexed="22"/>
      </patternFill>
    </fill>
    <fill>
      <patternFill patternType="solid">
        <fgColor rgb="FFF7C9C9"/>
        <bgColor indexed="64"/>
      </patternFill>
    </fill>
    <fill>
      <patternFill patternType="lightGray">
        <bgColor indexed="9"/>
      </patternFill>
    </fill>
    <fill>
      <patternFill patternType="solid">
        <fgColor theme="8" tint="0.59996337778862885"/>
        <bgColor indexed="64"/>
      </patternFill>
    </fill>
    <fill>
      <patternFill patternType="lightDown">
        <fgColor theme="0" tint="-0.14996795556505021"/>
        <bgColor indexed="65"/>
      </patternFill>
    </fill>
    <fill>
      <patternFill patternType="solid">
        <fgColor theme="4"/>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7E6E6"/>
        <bgColor rgb="FF000000"/>
      </patternFill>
    </fill>
    <fill>
      <patternFill patternType="solid">
        <fgColor rgb="FF000000"/>
        <bgColor rgb="FF000000"/>
      </patternFill>
    </fill>
    <fill>
      <patternFill patternType="solid">
        <fgColor rgb="FFC6E0B4"/>
        <bgColor rgb="FF000000"/>
      </patternFill>
    </fill>
    <fill>
      <patternFill patternType="solid">
        <fgColor rgb="FFD9E1F2"/>
        <bgColor indexed="64"/>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right style="medium">
        <color indexed="64"/>
      </right>
      <top/>
      <bottom style="medium">
        <color indexed="64"/>
      </bottom>
      <diagonal/>
    </border>
    <border>
      <left style="thin">
        <color rgb="FF7F7F7F"/>
      </left>
      <right style="medium">
        <color indexed="64"/>
      </right>
      <top/>
      <bottom style="thin">
        <color rgb="FF7F7F7F"/>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F7F7F"/>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rgb="FF7B868C"/>
      </bottom>
      <diagonal/>
    </border>
    <border>
      <left/>
      <right/>
      <top/>
      <bottom style="medium">
        <color rgb="FF35BD9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top style="dotted">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top/>
      <bottom style="dotted">
        <color indexed="64"/>
      </bottom>
      <diagonal/>
    </border>
    <border>
      <left/>
      <right/>
      <top style="medium">
        <color indexed="64"/>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thin">
        <color indexed="64"/>
      </left>
      <right style="dashed">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hair">
        <color indexed="64"/>
      </left>
      <right style="thin">
        <color indexed="64"/>
      </right>
      <top/>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diagonal/>
    </border>
    <border>
      <left style="thin">
        <color indexed="64"/>
      </left>
      <right style="hair">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dashed">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rgb="FF000000"/>
      </right>
      <top/>
      <bottom style="medium">
        <color rgb="FF000000"/>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44" fontId="1" fillId="0" borderId="0" applyFont="0" applyFill="0" applyBorder="0" applyAlignment="0" applyProtection="0"/>
    <xf numFmtId="0" fontId="30" fillId="12" borderId="0" applyNumberFormat="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44" fillId="0" borderId="0" applyNumberFormat="0" applyFill="0" applyBorder="0" applyAlignment="0" applyProtection="0"/>
    <xf numFmtId="0" fontId="51" fillId="0" borderId="0"/>
    <xf numFmtId="0" fontId="9" fillId="0" borderId="0" applyNumberFormat="0" applyFill="0" applyBorder="0" applyAlignment="0" applyProtection="0"/>
    <xf numFmtId="0" fontId="9" fillId="0" borderId="0" applyNumberFormat="0" applyFill="0" applyBorder="0" applyProtection="0"/>
    <xf numFmtId="0" fontId="53" fillId="26" borderId="46" applyNumberFormat="0">
      <alignment horizontal="left" vertical="center" indent="1"/>
    </xf>
    <xf numFmtId="0" fontId="54" fillId="27" borderId="47" applyNumberFormat="0" applyAlignment="0">
      <alignment horizontal="right"/>
      <protection locked="0"/>
    </xf>
    <xf numFmtId="0" fontId="55" fillId="25" borderId="16" applyNumberFormat="0" applyProtection="0">
      <alignment horizontal="center" vertical="center"/>
    </xf>
    <xf numFmtId="0" fontId="56" fillId="0" borderId="0" applyNumberFormat="0" applyFill="0" applyBorder="0" applyProtection="0"/>
    <xf numFmtId="9" fontId="51" fillId="0" borderId="0" applyFont="0" applyFill="0" applyBorder="0" applyAlignment="0" applyProtection="0"/>
    <xf numFmtId="0" fontId="52" fillId="28" borderId="45" applyNumberFormat="0">
      <alignment horizontal="left" indent="1"/>
    </xf>
    <xf numFmtId="0" fontId="9" fillId="0" borderId="0"/>
    <xf numFmtId="0" fontId="57" fillId="29" borderId="20" applyNumberFormat="0"/>
    <xf numFmtId="2" fontId="59" fillId="0" borderId="0" applyNumberFormat="0"/>
    <xf numFmtId="0" fontId="60" fillId="0" borderId="0" applyNumberFormat="0" applyProtection="0"/>
    <xf numFmtId="0" fontId="61" fillId="0" borderId="0" applyNumberFormat="0" applyFill="0"/>
    <xf numFmtId="0" fontId="62" fillId="0" borderId="0" applyNumberFormat="0" applyFill="0" applyBorder="0" applyAlignment="0"/>
    <xf numFmtId="0" fontId="58" fillId="31" borderId="16" applyNumberFormat="0" applyFont="0" applyAlignment="0"/>
    <xf numFmtId="0" fontId="63" fillId="32" borderId="48" applyNumberFormat="0">
      <alignment horizontal="right"/>
    </xf>
    <xf numFmtId="0" fontId="9" fillId="33" borderId="47" applyNumberFormat="0" applyFont="0">
      <protection locked="0"/>
    </xf>
    <xf numFmtId="0" fontId="58" fillId="34" borderId="16" applyNumberFormat="0"/>
    <xf numFmtId="179" fontId="64" fillId="0" borderId="49">
      <alignment horizontal="center"/>
    </xf>
    <xf numFmtId="43" fontId="65" fillId="0" borderId="0" applyNumberFormat="0" applyFill="0" applyBorder="0" applyAlignment="0" applyProtection="0"/>
    <xf numFmtId="43" fontId="66" fillId="0" borderId="0" applyNumberFormat="0" applyFill="0" applyBorder="0" applyAlignment="0" applyProtection="0"/>
    <xf numFmtId="0" fontId="38" fillId="0" borderId="50" applyNumberFormat="0" applyFont="0" applyFill="0" applyAlignment="0"/>
    <xf numFmtId="0" fontId="58" fillId="35" borderId="47" applyNumberFormat="0" applyAlignment="0"/>
    <xf numFmtId="0" fontId="67" fillId="28" borderId="20"/>
    <xf numFmtId="0" fontId="67" fillId="25" borderId="20"/>
    <xf numFmtId="0" fontId="67" fillId="30" borderId="20"/>
    <xf numFmtId="0" fontId="68" fillId="0" borderId="0" applyNumberFormat="0" applyProtection="0"/>
    <xf numFmtId="0" fontId="69" fillId="0" borderId="0" applyNumberFormat="0" applyFill="0"/>
    <xf numFmtId="0" fontId="70" fillId="0" borderId="0" applyNumberFormat="0" applyFill="0" applyBorder="0" applyAlignment="0"/>
    <xf numFmtId="0" fontId="58" fillId="31" borderId="16" applyNumberFormat="0" applyAlignment="0"/>
    <xf numFmtId="0" fontId="9" fillId="33" borderId="47" applyNumberFormat="0">
      <protection locked="0"/>
    </xf>
    <xf numFmtId="43" fontId="71" fillId="0" borderId="0" applyNumberForma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80" fontId="9" fillId="0" borderId="0" applyFont="0" applyFill="0" applyBorder="0" applyAlignment="0" applyProtection="0"/>
    <xf numFmtId="181" fontId="72" fillId="36" borderId="48"/>
    <xf numFmtId="0" fontId="9" fillId="33" borderId="47">
      <protection locked="0"/>
    </xf>
    <xf numFmtId="0" fontId="73" fillId="37" borderId="4" applyBorder="0">
      <alignment horizontal="left"/>
    </xf>
    <xf numFmtId="9" fontId="74" fillId="0" borderId="0" applyFont="0" applyFill="0" applyBorder="0" applyAlignment="0" applyProtection="0"/>
    <xf numFmtId="182" fontId="38" fillId="0" borderId="0" applyFont="0" applyFill="0" applyBorder="0" applyAlignment="0" applyProtection="0"/>
    <xf numFmtId="0" fontId="38" fillId="0" borderId="16" applyNumberFormat="0"/>
    <xf numFmtId="0" fontId="58" fillId="31" borderId="16" applyNumberFormat="0" applyFont="0" applyAlignment="0"/>
    <xf numFmtId="0" fontId="55" fillId="25" borderId="16" applyNumberFormat="0" applyProtection="0">
      <alignment horizontal="center" vertical="center"/>
    </xf>
    <xf numFmtId="43" fontId="51" fillId="0" borderId="0" applyFont="0" applyFill="0" applyBorder="0" applyAlignment="0" applyProtection="0"/>
    <xf numFmtId="0" fontId="84" fillId="0" borderId="0" applyNumberFormat="0" applyFill="0" applyBorder="0" applyAlignment="0" applyProtection="0"/>
  </cellStyleXfs>
  <cellXfs count="1106">
    <xf numFmtId="0" fontId="0" fillId="0" borderId="0" xfId="0"/>
    <xf numFmtId="0" fontId="0" fillId="0" borderId="0" xfId="0" applyAlignment="1">
      <alignment horizontal="center"/>
    </xf>
    <xf numFmtId="10" fontId="0" fillId="0" borderId="0" xfId="2" applyNumberFormat="1" applyFont="1"/>
    <xf numFmtId="9" fontId="0" fillId="0" borderId="0" xfId="0" applyNumberFormat="1"/>
    <xf numFmtId="10" fontId="0" fillId="0" borderId="0" xfId="0" applyNumberFormat="1"/>
    <xf numFmtId="3" fontId="0" fillId="0" borderId="0" xfId="0" applyNumberFormat="1" applyAlignment="1">
      <alignment horizontal="right"/>
    </xf>
    <xf numFmtId="0" fontId="0" fillId="0" borderId="0" xfId="0" quotePrefix="1"/>
    <xf numFmtId="3" fontId="0" fillId="0" borderId="0" xfId="0" applyNumberFormat="1"/>
    <xf numFmtId="0" fontId="6" fillId="0" borderId="0" xfId="0" applyFont="1"/>
    <xf numFmtId="0" fontId="6" fillId="0" borderId="0" xfId="0" applyFont="1" applyAlignment="1">
      <alignment horizontal="center"/>
    </xf>
    <xf numFmtId="164" fontId="0" fillId="0" borderId="0" xfId="1" applyNumberFormat="1" applyFont="1"/>
    <xf numFmtId="3" fontId="0" fillId="0" borderId="0" xfId="1" applyNumberFormat="1" applyFont="1"/>
    <xf numFmtId="164" fontId="0" fillId="0" borderId="0" xfId="0" applyNumberFormat="1"/>
    <xf numFmtId="0" fontId="0" fillId="0" borderId="4" xfId="0" applyBorder="1"/>
    <xf numFmtId="166" fontId="0" fillId="0" borderId="0" xfId="0" applyNumberFormat="1"/>
    <xf numFmtId="9" fontId="0" fillId="0" borderId="0" xfId="2" applyFont="1"/>
    <xf numFmtId="9" fontId="0" fillId="0" borderId="0" xfId="2" applyFont="1" applyFill="1"/>
    <xf numFmtId="0" fontId="0" fillId="0" borderId="7" xfId="0" applyBorder="1"/>
    <xf numFmtId="0" fontId="10" fillId="0" borderId="7" xfId="0" applyFont="1" applyBorder="1"/>
    <xf numFmtId="0" fontId="0" fillId="0" borderId="0" xfId="0" applyAlignment="1">
      <alignment wrapText="1"/>
    </xf>
    <xf numFmtId="44" fontId="0" fillId="0" borderId="0" xfId="4" applyFont="1"/>
    <xf numFmtId="167" fontId="0" fillId="0" borderId="0" xfId="4" applyNumberFormat="1" applyFont="1"/>
    <xf numFmtId="0" fontId="3" fillId="0" borderId="0" xfId="0" applyFont="1"/>
    <xf numFmtId="9" fontId="2" fillId="2" borderId="1" xfId="3" applyNumberFormat="1"/>
    <xf numFmtId="10" fontId="2" fillId="2" borderId="1" xfId="3" applyNumberFormat="1"/>
    <xf numFmtId="167" fontId="0" fillId="0" borderId="0" xfId="0" applyNumberFormat="1"/>
    <xf numFmtId="0" fontId="13" fillId="0" borderId="0" xfId="0" applyFont="1"/>
    <xf numFmtId="44" fontId="0" fillId="0" borderId="0" xfId="0" applyNumberFormat="1"/>
    <xf numFmtId="0" fontId="3" fillId="0" borderId="0" xfId="4" applyNumberFormat="1" applyFont="1"/>
    <xf numFmtId="0" fontId="13" fillId="0" borderId="0" xfId="4" applyNumberFormat="1" applyFont="1"/>
    <xf numFmtId="44" fontId="0" fillId="0" borderId="0" xfId="4" applyFont="1" applyBorder="1"/>
    <xf numFmtId="164" fontId="0" fillId="0" borderId="4" xfId="1" applyNumberFormat="1" applyFont="1" applyBorder="1"/>
    <xf numFmtId="164" fontId="0" fillId="0" borderId="0" xfId="1" applyNumberFormat="1" applyFont="1" applyBorder="1"/>
    <xf numFmtId="43" fontId="0" fillId="0" borderId="0" xfId="1" applyFont="1"/>
    <xf numFmtId="164" fontId="0" fillId="0" borderId="0" xfId="1" applyNumberFormat="1" applyFont="1" applyFill="1" applyBorder="1" applyAlignment="1">
      <alignment horizontal="center"/>
    </xf>
    <xf numFmtId="164" fontId="0" fillId="0" borderId="0" xfId="1" applyNumberFormat="1" applyFont="1" applyFill="1"/>
    <xf numFmtId="164" fontId="0" fillId="0" borderId="0" xfId="1" applyNumberFormat="1" applyFont="1" applyFill="1" applyBorder="1"/>
    <xf numFmtId="3" fontId="0" fillId="0" borderId="0" xfId="1" applyNumberFormat="1" applyFont="1" applyFill="1" applyBorder="1"/>
    <xf numFmtId="9" fontId="0" fillId="0" borderId="0" xfId="2" applyFont="1" applyFill="1" applyBorder="1"/>
    <xf numFmtId="0" fontId="0" fillId="6" borderId="0" xfId="0" applyFill="1"/>
    <xf numFmtId="3" fontId="0" fillId="6" borderId="0" xfId="0" applyNumberFormat="1" applyFill="1" applyAlignment="1">
      <alignment horizontal="right"/>
    </xf>
    <xf numFmtId="0" fontId="0" fillId="6" borderId="0" xfId="0" quotePrefix="1" applyFill="1"/>
    <xf numFmtId="3" fontId="0" fillId="6" borderId="0" xfId="0" applyNumberFormat="1" applyFill="1"/>
    <xf numFmtId="0" fontId="14" fillId="0" borderId="0" xfId="0" applyFont="1"/>
    <xf numFmtId="0" fontId="16" fillId="3" borderId="0" xfId="0" applyFont="1" applyFill="1"/>
    <xf numFmtId="166" fontId="0" fillId="0" borderId="0" xfId="2" applyNumberFormat="1" applyFont="1" applyFill="1" applyBorder="1"/>
    <xf numFmtId="0" fontId="17" fillId="5" borderId="0" xfId="0" applyFont="1" applyFill="1"/>
    <xf numFmtId="2" fontId="0" fillId="0" borderId="0" xfId="0" applyNumberFormat="1"/>
    <xf numFmtId="0" fontId="0" fillId="0" borderId="0" xfId="0" applyAlignment="1">
      <alignment horizontal="right"/>
    </xf>
    <xf numFmtId="169" fontId="0" fillId="0" borderId="0" xfId="0" applyNumberFormat="1"/>
    <xf numFmtId="164" fontId="3" fillId="0" borderId="0" xfId="1" applyNumberFormat="1" applyFont="1"/>
    <xf numFmtId="164" fontId="3" fillId="0" borderId="0" xfId="1" applyNumberFormat="1" applyFont="1" applyFill="1" applyBorder="1"/>
    <xf numFmtId="3" fontId="3" fillId="0" borderId="0" xfId="0" applyNumberFormat="1" applyFont="1" applyAlignment="1">
      <alignment horizontal="right"/>
    </xf>
    <xf numFmtId="166" fontId="3" fillId="0" borderId="0" xfId="2" applyNumberFormat="1" applyFont="1" applyFill="1" applyBorder="1"/>
    <xf numFmtId="0" fontId="3" fillId="0" borderId="0" xfId="0" applyFont="1" applyAlignment="1">
      <alignment wrapText="1"/>
    </xf>
    <xf numFmtId="2" fontId="2" fillId="2" borderId="0" xfId="3" applyNumberFormat="1" applyBorder="1"/>
    <xf numFmtId="9" fontId="0" fillId="0" borderId="18" xfId="2" applyFont="1" applyBorder="1"/>
    <xf numFmtId="0" fontId="0" fillId="0" borderId="19" xfId="0" applyBorder="1"/>
    <xf numFmtId="0" fontId="3" fillId="3" borderId="8" xfId="0" applyFont="1" applyFill="1" applyBorder="1"/>
    <xf numFmtId="0" fontId="3" fillId="3" borderId="4" xfId="0" applyFont="1" applyFill="1" applyBorder="1"/>
    <xf numFmtId="0" fontId="0" fillId="0" borderId="0" xfId="0" applyAlignment="1">
      <alignment vertical="center" wrapText="1"/>
    </xf>
    <xf numFmtId="0" fontId="3" fillId="0" borderId="5" xfId="0" applyFont="1" applyBorder="1" applyAlignment="1">
      <alignment vertical="center" wrapText="1"/>
    </xf>
    <xf numFmtId="0" fontId="3" fillId="0" borderId="20" xfId="0" applyFont="1" applyBorder="1" applyAlignment="1">
      <alignment vertical="center" wrapText="1"/>
    </xf>
    <xf numFmtId="0" fontId="3" fillId="0" borderId="6" xfId="0" applyFont="1" applyBorder="1" applyAlignment="1">
      <alignment vertical="center" wrapText="1"/>
    </xf>
    <xf numFmtId="0" fontId="3" fillId="0" borderId="0" xfId="0" applyFont="1" applyAlignment="1">
      <alignment vertical="center" wrapText="1"/>
    </xf>
    <xf numFmtId="3" fontId="0" fillId="0" borderId="4" xfId="0" applyNumberFormat="1" applyBorder="1"/>
    <xf numFmtId="167" fontId="0" fillId="0" borderId="0" xfId="4" applyNumberFormat="1" applyFont="1" applyBorder="1"/>
    <xf numFmtId="167" fontId="0" fillId="0" borderId="4" xfId="4" applyNumberFormat="1" applyFont="1" applyBorder="1"/>
    <xf numFmtId="9" fontId="16" fillId="3" borderId="0" xfId="0" applyNumberFormat="1" applyFont="1" applyFill="1"/>
    <xf numFmtId="0" fontId="2" fillId="2" borderId="1" xfId="3"/>
    <xf numFmtId="171" fontId="2" fillId="2" borderId="1" xfId="3" applyNumberFormat="1"/>
    <xf numFmtId="172" fontId="0" fillId="0" borderId="0" xfId="0" applyNumberFormat="1"/>
    <xf numFmtId="1" fontId="0" fillId="0" borderId="0" xfId="0" applyNumberFormat="1"/>
    <xf numFmtId="3" fontId="0" fillId="0" borderId="0" xfId="2" applyNumberFormat="1" applyFont="1"/>
    <xf numFmtId="172" fontId="2" fillId="2" borderId="1" xfId="3" applyNumberFormat="1"/>
    <xf numFmtId="173" fontId="2" fillId="2" borderId="1" xfId="3" applyNumberFormat="1"/>
    <xf numFmtId="171" fontId="0" fillId="0" borderId="0" xfId="0" applyNumberFormat="1"/>
    <xf numFmtId="3" fontId="2" fillId="2" borderId="1" xfId="3" applyNumberFormat="1"/>
    <xf numFmtId="8" fontId="0" fillId="0" borderId="0" xfId="0" applyNumberFormat="1"/>
    <xf numFmtId="0" fontId="0" fillId="0" borderId="17" xfId="0" applyBorder="1"/>
    <xf numFmtId="6" fontId="0" fillId="0" borderId="0" xfId="0" applyNumberFormat="1"/>
    <xf numFmtId="44" fontId="0" fillId="0" borderId="0" xfId="4" applyFont="1" applyFill="1" applyBorder="1"/>
    <xf numFmtId="1" fontId="6" fillId="0" borderId="0" xfId="0" applyNumberFormat="1" applyFont="1"/>
    <xf numFmtId="1" fontId="19" fillId="3" borderId="21" xfId="3" applyNumberFormat="1" applyFont="1" applyFill="1" applyBorder="1"/>
    <xf numFmtId="168" fontId="20" fillId="0" borderId="0" xfId="4" applyNumberFormat="1" applyFont="1" applyFill="1" applyBorder="1"/>
    <xf numFmtId="168" fontId="0" fillId="0" borderId="0" xfId="4" applyNumberFormat="1" applyFont="1" applyFill="1" applyBorder="1"/>
    <xf numFmtId="0" fontId="21" fillId="5" borderId="0" xfId="0" applyFont="1" applyFill="1"/>
    <xf numFmtId="0" fontId="0" fillId="0" borderId="0" xfId="4" applyNumberFormat="1" applyFont="1" applyBorder="1" applyAlignment="1">
      <alignment horizontal="left"/>
    </xf>
    <xf numFmtId="165" fontId="0" fillId="0" borderId="0" xfId="0" applyNumberFormat="1"/>
    <xf numFmtId="0" fontId="15" fillId="0" borderId="0" xfId="0" applyFont="1"/>
    <xf numFmtId="171" fontId="15" fillId="0" borderId="0" xfId="0" applyNumberFormat="1" applyFont="1"/>
    <xf numFmtId="8" fontId="15" fillId="0" borderId="0" xfId="0" applyNumberFormat="1" applyFont="1"/>
    <xf numFmtId="0" fontId="23" fillId="5" borderId="0" xfId="0" applyFont="1" applyFill="1"/>
    <xf numFmtId="171" fontId="14" fillId="0" borderId="0" xfId="0" applyNumberFormat="1" applyFont="1"/>
    <xf numFmtId="8" fontId="14" fillId="0" borderId="0" xfId="0" applyNumberFormat="1" applyFont="1"/>
    <xf numFmtId="0" fontId="14" fillId="0" borderId="0" xfId="4" applyNumberFormat="1" applyFont="1" applyBorder="1" applyAlignment="1">
      <alignment horizontal="left"/>
    </xf>
    <xf numFmtId="167" fontId="14" fillId="0" borderId="0" xfId="4" applyNumberFormat="1" applyFont="1" applyBorder="1"/>
    <xf numFmtId="165" fontId="14" fillId="0" borderId="0" xfId="0" applyNumberFormat="1" applyFont="1"/>
    <xf numFmtId="175" fontId="0" fillId="0" borderId="0" xfId="0" applyNumberFormat="1"/>
    <xf numFmtId="174" fontId="0" fillId="0" borderId="0" xfId="0" applyNumberFormat="1"/>
    <xf numFmtId="176" fontId="0" fillId="0" borderId="0" xfId="0" applyNumberFormat="1"/>
    <xf numFmtId="1" fontId="2" fillId="2" borderId="1" xfId="3" applyNumberFormat="1"/>
    <xf numFmtId="0" fontId="18" fillId="0" borderId="0" xfId="0" applyFont="1"/>
    <xf numFmtId="171" fontId="18" fillId="0" borderId="0" xfId="0" applyNumberFormat="1" applyFont="1"/>
    <xf numFmtId="8" fontId="18" fillId="0" borderId="0" xfId="0" applyNumberFormat="1" applyFont="1"/>
    <xf numFmtId="164" fontId="2" fillId="2" borderId="1" xfId="1" applyNumberFormat="1" applyFont="1" applyFill="1" applyBorder="1"/>
    <xf numFmtId="167" fontId="2" fillId="2" borderId="1" xfId="4" applyNumberFormat="1" applyFont="1" applyFill="1" applyBorder="1"/>
    <xf numFmtId="10" fontId="0" fillId="0" borderId="0" xfId="2" applyNumberFormat="1" applyFont="1" applyAlignment="1">
      <alignment horizontal="center"/>
    </xf>
    <xf numFmtId="0" fontId="18" fillId="0" borderId="0" xfId="4" applyNumberFormat="1" applyFont="1" applyBorder="1" applyAlignment="1">
      <alignment horizontal="left"/>
    </xf>
    <xf numFmtId="167" fontId="18" fillId="0" borderId="0" xfId="4" applyNumberFormat="1" applyFont="1" applyBorder="1"/>
    <xf numFmtId="165" fontId="18" fillId="0" borderId="0" xfId="0" applyNumberFormat="1" applyFont="1"/>
    <xf numFmtId="167" fontId="0" fillId="0" borderId="17" xfId="4" applyNumberFormat="1" applyFont="1" applyBorder="1"/>
    <xf numFmtId="0" fontId="0" fillId="0" borderId="0" xfId="0" applyAlignment="1">
      <alignment horizontal="left"/>
    </xf>
    <xf numFmtId="0" fontId="0" fillId="0" borderId="0" xfId="4" applyNumberFormat="1" applyFont="1" applyAlignment="1">
      <alignment horizontal="left"/>
    </xf>
    <xf numFmtId="0" fontId="22" fillId="0" borderId="0" xfId="0" applyFont="1"/>
    <xf numFmtId="44" fontId="0" fillId="0" borderId="0" xfId="4" applyFont="1" applyFill="1"/>
    <xf numFmtId="6" fontId="0" fillId="0" borderId="4" xfId="0" applyNumberFormat="1" applyBorder="1"/>
    <xf numFmtId="0" fontId="3" fillId="0" borderId="4" xfId="4" applyNumberFormat="1" applyFont="1" applyBorder="1"/>
    <xf numFmtId="0" fontId="13" fillId="0" borderId="4" xfId="4" applyNumberFormat="1" applyFont="1" applyBorder="1"/>
    <xf numFmtId="0" fontId="0" fillId="4" borderId="10" xfId="0" applyFill="1" applyBorder="1"/>
    <xf numFmtId="0" fontId="0" fillId="4" borderId="12" xfId="0" applyFill="1" applyBorder="1"/>
    <xf numFmtId="0" fontId="0" fillId="4" borderId="0" xfId="0" applyFill="1"/>
    <xf numFmtId="0" fontId="0" fillId="4" borderId="13" xfId="0" applyFill="1" applyBorder="1"/>
    <xf numFmtId="0" fontId="13" fillId="4" borderId="0" xfId="0" applyFont="1" applyFill="1"/>
    <xf numFmtId="44" fontId="0" fillId="4" borderId="0" xfId="0" applyNumberFormat="1" applyFill="1"/>
    <xf numFmtId="44" fontId="0" fillId="4" borderId="13" xfId="0" applyNumberFormat="1" applyFill="1" applyBorder="1"/>
    <xf numFmtId="43" fontId="0" fillId="4" borderId="0" xfId="1" applyFont="1" applyFill="1" applyBorder="1"/>
    <xf numFmtId="43" fontId="0" fillId="4" borderId="13" xfId="1" applyFont="1" applyFill="1" applyBorder="1"/>
    <xf numFmtId="0" fontId="3" fillId="4" borderId="0" xfId="4" applyNumberFormat="1" applyFont="1" applyFill="1" applyBorder="1"/>
    <xf numFmtId="0" fontId="13" fillId="4" borderId="0" xfId="4" applyNumberFormat="1" applyFont="1" applyFill="1" applyBorder="1"/>
    <xf numFmtId="44" fontId="0" fillId="4" borderId="0" xfId="4" applyFont="1" applyFill="1" applyBorder="1"/>
    <xf numFmtId="44" fontId="0" fillId="4" borderId="13" xfId="4" applyFont="1" applyFill="1" applyBorder="1"/>
    <xf numFmtId="0" fontId="3" fillId="4" borderId="0" xfId="0" applyFont="1" applyFill="1"/>
    <xf numFmtId="0" fontId="0" fillId="4" borderId="14" xfId="0" applyFill="1" applyBorder="1"/>
    <xf numFmtId="0" fontId="3" fillId="4" borderId="15" xfId="0" applyFont="1" applyFill="1" applyBorder="1"/>
    <xf numFmtId="0" fontId="0" fillId="4" borderId="15" xfId="0" applyFill="1" applyBorder="1"/>
    <xf numFmtId="44" fontId="0" fillId="4" borderId="15" xfId="4" applyFont="1" applyFill="1" applyBorder="1"/>
    <xf numFmtId="44" fontId="0" fillId="4" borderId="22" xfId="4" applyFont="1" applyFill="1" applyBorder="1"/>
    <xf numFmtId="0" fontId="3" fillId="4" borderId="9" xfId="0" applyFont="1" applyFill="1" applyBorder="1"/>
    <xf numFmtId="0" fontId="0" fillId="0" borderId="12" xfId="0" applyBorder="1" applyAlignment="1">
      <alignment horizontal="right"/>
    </xf>
    <xf numFmtId="0" fontId="0" fillId="0" borderId="14" xfId="0" applyBorder="1" applyAlignment="1">
      <alignment horizontal="right"/>
    </xf>
    <xf numFmtId="0" fontId="3" fillId="0" borderId="24" xfId="0" applyFont="1" applyBorder="1"/>
    <xf numFmtId="0" fontId="0" fillId="0" borderId="25" xfId="0" applyBorder="1"/>
    <xf numFmtId="0" fontId="0" fillId="0" borderId="4" xfId="0" quotePrefix="1" applyBorder="1"/>
    <xf numFmtId="9" fontId="0" fillId="0" borderId="0" xfId="0" applyNumberFormat="1" applyAlignment="1">
      <alignment horizontal="center"/>
    </xf>
    <xf numFmtId="9" fontId="0" fillId="0" borderId="0" xfId="2" applyFont="1" applyFill="1" applyAlignment="1">
      <alignment horizontal="center"/>
    </xf>
    <xf numFmtId="166" fontId="0" fillId="0" borderId="0" xfId="2" applyNumberFormat="1" applyFont="1" applyFill="1" applyAlignment="1">
      <alignment horizontal="center"/>
    </xf>
    <xf numFmtId="9" fontId="0" fillId="0" borderId="0" xfId="2" applyFont="1" applyAlignment="1">
      <alignment horizontal="center"/>
    </xf>
    <xf numFmtId="0" fontId="24" fillId="0" borderId="0" xfId="0" applyFont="1"/>
    <xf numFmtId="177" fontId="0" fillId="0" borderId="0" xfId="4" applyNumberFormat="1" applyFont="1" applyFill="1"/>
    <xf numFmtId="0" fontId="0" fillId="3" borderId="9" xfId="0" applyFill="1" applyBorder="1"/>
    <xf numFmtId="0" fontId="0" fillId="3" borderId="11" xfId="0" applyFill="1" applyBorder="1"/>
    <xf numFmtId="0" fontId="0" fillId="3" borderId="12" xfId="0" applyFill="1" applyBorder="1"/>
    <xf numFmtId="0" fontId="0" fillId="3" borderId="13" xfId="0" applyFill="1" applyBorder="1"/>
    <xf numFmtId="0" fontId="0" fillId="3" borderId="14" xfId="0" applyFill="1" applyBorder="1"/>
    <xf numFmtId="0" fontId="0" fillId="3" borderId="22" xfId="0" applyFill="1" applyBorder="1"/>
    <xf numFmtId="9" fontId="0" fillId="3" borderId="0" xfId="2" applyFont="1" applyFill="1" applyBorder="1"/>
    <xf numFmtId="164" fontId="0" fillId="3" borderId="0" xfId="0" applyNumberFormat="1" applyFill="1"/>
    <xf numFmtId="0" fontId="0" fillId="0" borderId="12" xfId="0" applyBorder="1"/>
    <xf numFmtId="9" fontId="0" fillId="0" borderId="15" xfId="0" applyNumberFormat="1" applyBorder="1"/>
    <xf numFmtId="0" fontId="0" fillId="0" borderId="15" xfId="0" applyBorder="1"/>
    <xf numFmtId="164" fontId="0" fillId="0" borderId="15" xfId="1" applyNumberFormat="1" applyFont="1" applyBorder="1"/>
    <xf numFmtId="2" fontId="3" fillId="0" borderId="0" xfId="0" applyNumberFormat="1" applyFont="1"/>
    <xf numFmtId="44" fontId="3" fillId="0" borderId="0" xfId="4" applyFont="1"/>
    <xf numFmtId="0" fontId="25" fillId="7" borderId="16" xfId="0" applyFont="1" applyFill="1" applyBorder="1" applyAlignment="1">
      <alignment horizontal="center" vertical="center" wrapText="1"/>
    </xf>
    <xf numFmtId="0" fontId="25" fillId="8" borderId="16" xfId="0" applyFont="1" applyFill="1" applyBorder="1" applyAlignment="1">
      <alignment horizontal="center" vertical="center" wrapText="1"/>
    </xf>
    <xf numFmtId="164" fontId="25" fillId="9" borderId="16" xfId="1" applyNumberFormat="1" applyFont="1" applyFill="1" applyBorder="1" applyAlignment="1">
      <alignment horizontal="center" vertical="center" wrapText="1"/>
    </xf>
    <xf numFmtId="0" fontId="12" fillId="0" borderId="0" xfId="0" applyFont="1" applyAlignment="1">
      <alignment horizontal="center" vertical="center" wrapText="1"/>
    </xf>
    <xf numFmtId="0" fontId="3" fillId="0" borderId="9" xfId="0" applyFont="1" applyBorder="1" applyAlignment="1">
      <alignment horizontal="center" wrapText="1"/>
    </xf>
    <xf numFmtId="0" fontId="3" fillId="0" borderId="10" xfId="0" applyFont="1" applyBorder="1" applyAlignment="1">
      <alignment horizontal="center" wrapText="1"/>
    </xf>
    <xf numFmtId="0" fontId="3" fillId="0" borderId="0" xfId="0" applyFont="1" applyAlignment="1">
      <alignment horizontal="center" wrapText="1"/>
    </xf>
    <xf numFmtId="0" fontId="18" fillId="0" borderId="4" xfId="0" applyFont="1" applyBorder="1"/>
    <xf numFmtId="167" fontId="18" fillId="0" borderId="4" xfId="4" applyNumberFormat="1" applyFont="1" applyBorder="1"/>
    <xf numFmtId="164" fontId="18" fillId="0" borderId="0" xfId="1" applyNumberFormat="1" applyFont="1" applyBorder="1"/>
    <xf numFmtId="164" fontId="18" fillId="0" borderId="17" xfId="1" applyNumberFormat="1" applyFont="1" applyBorder="1"/>
    <xf numFmtId="164" fontId="18" fillId="0" borderId="0" xfId="1" applyNumberFormat="1" applyFont="1"/>
    <xf numFmtId="164" fontId="0" fillId="0" borderId="15" xfId="1" applyNumberFormat="1" applyFont="1" applyFill="1" applyBorder="1"/>
    <xf numFmtId="0" fontId="16" fillId="0" borderId="0" xfId="0" applyFont="1"/>
    <xf numFmtId="0" fontId="16" fillId="0" borderId="0" xfId="4" applyNumberFormat="1" applyFont="1"/>
    <xf numFmtId="0" fontId="26" fillId="0" borderId="0" xfId="4" applyNumberFormat="1" applyFont="1"/>
    <xf numFmtId="44" fontId="14" fillId="0" borderId="0" xfId="0" applyNumberFormat="1" applyFont="1"/>
    <xf numFmtId="10" fontId="14" fillId="0" borderId="0" xfId="2" applyNumberFormat="1" applyFont="1"/>
    <xf numFmtId="0" fontId="0" fillId="10" borderId="0" xfId="0" applyFill="1"/>
    <xf numFmtId="44" fontId="14" fillId="0" borderId="0" xfId="4" applyFont="1"/>
    <xf numFmtId="2" fontId="14" fillId="0" borderId="0" xfId="0" applyNumberFormat="1" applyFont="1"/>
    <xf numFmtId="164" fontId="18" fillId="0" borderId="4" xfId="1" applyNumberFormat="1" applyFont="1" applyBorder="1"/>
    <xf numFmtId="0" fontId="27" fillId="0" borderId="0" xfId="0" applyFont="1" applyAlignment="1">
      <alignment vertical="center"/>
    </xf>
    <xf numFmtId="1" fontId="0" fillId="4" borderId="0" xfId="0" applyNumberFormat="1" applyFill="1"/>
    <xf numFmtId="164" fontId="0" fillId="4" borderId="13" xfId="1" applyNumberFormat="1" applyFont="1" applyFill="1" applyBorder="1"/>
    <xf numFmtId="1" fontId="0" fillId="4" borderId="0" xfId="1" applyNumberFormat="1" applyFont="1" applyFill="1" applyBorder="1"/>
    <xf numFmtId="164" fontId="0" fillId="4" borderId="15" xfId="1" applyNumberFormat="1" applyFont="1" applyFill="1" applyBorder="1"/>
    <xf numFmtId="0" fontId="3" fillId="4" borderId="10" xfId="0" applyFont="1" applyFill="1" applyBorder="1"/>
    <xf numFmtId="0" fontId="3" fillId="4" borderId="11" xfId="0" applyFont="1" applyFill="1" applyBorder="1"/>
    <xf numFmtId="2" fontId="3" fillId="4" borderId="12" xfId="0" applyNumberFormat="1" applyFont="1" applyFill="1" applyBorder="1"/>
    <xf numFmtId="0" fontId="3" fillId="4" borderId="12" xfId="0" applyFont="1" applyFill="1" applyBorder="1"/>
    <xf numFmtId="0" fontId="28" fillId="0" borderId="0" xfId="0" applyFont="1"/>
    <xf numFmtId="0" fontId="18" fillId="0" borderId="17" xfId="0" applyFont="1" applyBorder="1"/>
    <xf numFmtId="3" fontId="0" fillId="0" borderId="0" xfId="0" applyNumberFormat="1" applyAlignment="1">
      <alignment horizontal="center"/>
    </xf>
    <xf numFmtId="164" fontId="28" fillId="0" borderId="0" xfId="1" applyNumberFormat="1" applyFont="1"/>
    <xf numFmtId="164" fontId="7" fillId="0" borderId="0" xfId="1" applyNumberFormat="1" applyFont="1" applyFill="1" applyBorder="1"/>
    <xf numFmtId="164" fontId="0" fillId="11" borderId="11" xfId="1" applyNumberFormat="1" applyFont="1" applyFill="1" applyBorder="1"/>
    <xf numFmtId="0" fontId="0" fillId="11" borderId="12" xfId="0" applyFill="1" applyBorder="1"/>
    <xf numFmtId="164" fontId="7" fillId="11" borderId="13" xfId="1" applyNumberFormat="1" applyFont="1" applyFill="1" applyBorder="1"/>
    <xf numFmtId="164" fontId="0" fillId="11" borderId="13" xfId="1" applyNumberFormat="1" applyFont="1" applyFill="1" applyBorder="1"/>
    <xf numFmtId="0" fontId="12" fillId="11" borderId="14" xfId="0" applyFont="1" applyFill="1" applyBorder="1" applyAlignment="1">
      <alignment horizontal="right"/>
    </xf>
    <xf numFmtId="164" fontId="12" fillId="11" borderId="22" xfId="0" applyNumberFormat="1" applyFont="1" applyFill="1" applyBorder="1"/>
    <xf numFmtId="0" fontId="3" fillId="11" borderId="9" xfId="0" applyFont="1" applyFill="1" applyBorder="1"/>
    <xf numFmtId="0" fontId="0" fillId="11" borderId="27" xfId="0" applyFill="1" applyBorder="1"/>
    <xf numFmtId="164" fontId="0" fillId="11" borderId="28" xfId="1" applyNumberFormat="1" applyFont="1" applyFill="1" applyBorder="1"/>
    <xf numFmtId="164" fontId="0" fillId="4" borderId="0" xfId="1" applyNumberFormat="1" applyFont="1" applyFill="1" applyBorder="1"/>
    <xf numFmtId="10" fontId="0" fillId="4" borderId="0" xfId="2" applyNumberFormat="1" applyFont="1" applyFill="1" applyBorder="1"/>
    <xf numFmtId="164" fontId="0" fillId="4" borderId="15" xfId="0" applyNumberFormat="1" applyFill="1" applyBorder="1"/>
    <xf numFmtId="9" fontId="0" fillId="0" borderId="4" xfId="2" applyFont="1" applyBorder="1" applyAlignment="1">
      <alignment horizontal="center"/>
    </xf>
    <xf numFmtId="0" fontId="0" fillId="0" borderId="12" xfId="0" quotePrefix="1" applyBorder="1" applyAlignment="1">
      <alignment horizontal="right"/>
    </xf>
    <xf numFmtId="0" fontId="0" fillId="0" borderId="13" xfId="0" applyBorder="1"/>
    <xf numFmtId="14" fontId="0" fillId="0" borderId="12" xfId="0" applyNumberFormat="1" applyBorder="1"/>
    <xf numFmtId="14" fontId="0" fillId="0" borderId="14" xfId="0" applyNumberFormat="1" applyBorder="1"/>
    <xf numFmtId="0" fontId="0" fillId="0" borderId="22" xfId="0" applyBorder="1"/>
    <xf numFmtId="0" fontId="0" fillId="0" borderId="3" xfId="0" applyBorder="1" applyAlignment="1">
      <alignment vertical="center" wrapText="1"/>
    </xf>
    <xf numFmtId="0" fontId="0" fillId="0" borderId="18" xfId="0" quotePrefix="1" applyBorder="1" applyAlignment="1">
      <alignment horizontal="right"/>
    </xf>
    <xf numFmtId="14" fontId="0" fillId="0" borderId="18" xfId="0" applyNumberFormat="1" applyBorder="1"/>
    <xf numFmtId="14" fontId="0" fillId="0" borderId="18" xfId="0" quotePrefix="1" applyNumberFormat="1" applyBorder="1" applyAlignment="1">
      <alignment horizontal="right"/>
    </xf>
    <xf numFmtId="0" fontId="0" fillId="0" borderId="30" xfId="0" quotePrefix="1" applyBorder="1" applyAlignment="1">
      <alignment horizontal="right"/>
    </xf>
    <xf numFmtId="0" fontId="0" fillId="0" borderId="13" xfId="0" applyBorder="1" applyAlignment="1">
      <alignment horizontal="center"/>
    </xf>
    <xf numFmtId="3" fontId="18" fillId="0" borderId="0" xfId="0" applyNumberFormat="1" applyFont="1" applyAlignment="1">
      <alignment horizontal="right"/>
    </xf>
    <xf numFmtId="0" fontId="18" fillId="0" borderId="0" xfId="0" quotePrefix="1" applyFont="1"/>
    <xf numFmtId="164" fontId="18" fillId="0" borderId="0" xfId="1" applyNumberFormat="1" applyFont="1" applyFill="1" applyBorder="1" applyAlignment="1">
      <alignment horizontal="right"/>
    </xf>
    <xf numFmtId="164" fontId="18" fillId="0" borderId="0" xfId="0" applyNumberFormat="1" applyFont="1"/>
    <xf numFmtId="44" fontId="18" fillId="0" borderId="0" xfId="4" applyFont="1"/>
    <xf numFmtId="167" fontId="18" fillId="0" borderId="0" xfId="4" applyNumberFormat="1" applyFont="1"/>
    <xf numFmtId="0" fontId="18" fillId="0" borderId="4" xfId="0" quotePrefix="1" applyFont="1" applyBorder="1"/>
    <xf numFmtId="0" fontId="31" fillId="0" borderId="0" xfId="0" applyFont="1"/>
    <xf numFmtId="167" fontId="31" fillId="0" borderId="0" xfId="0" applyNumberFormat="1" applyFont="1"/>
    <xf numFmtId="0" fontId="0" fillId="4" borderId="9" xfId="0" quotePrefix="1" applyFill="1" applyBorder="1"/>
    <xf numFmtId="0" fontId="0" fillId="4" borderId="10" xfId="0" applyFill="1" applyBorder="1" applyAlignment="1">
      <alignment horizontal="center"/>
    </xf>
    <xf numFmtId="167" fontId="9" fillId="4" borderId="10" xfId="0" applyNumberFormat="1" applyFont="1" applyFill="1" applyBorder="1" applyAlignment="1">
      <alignment horizontal="center"/>
    </xf>
    <xf numFmtId="10" fontId="9" fillId="4" borderId="0" xfId="2" applyNumberFormat="1" applyFont="1" applyFill="1" applyBorder="1"/>
    <xf numFmtId="164" fontId="9" fillId="4" borderId="0" xfId="1" applyNumberFormat="1" applyFont="1" applyFill="1" applyBorder="1"/>
    <xf numFmtId="164" fontId="9" fillId="4" borderId="15" xfId="0" applyNumberFormat="1" applyFont="1" applyFill="1" applyBorder="1"/>
    <xf numFmtId="0" fontId="33" fillId="0" borderId="0" xfId="0" applyFont="1" applyAlignment="1">
      <alignment horizontal="center" wrapText="1"/>
    </xf>
    <xf numFmtId="0" fontId="33" fillId="0" borderId="0" xfId="0" applyFont="1" applyAlignment="1">
      <alignment horizontal="center"/>
    </xf>
    <xf numFmtId="166" fontId="0" fillId="0" borderId="0" xfId="2" applyNumberFormat="1" applyFont="1"/>
    <xf numFmtId="43" fontId="0" fillId="0" borderId="0" xfId="0" applyNumberFormat="1"/>
    <xf numFmtId="164" fontId="0" fillId="4" borderId="22" xfId="1" applyNumberFormat="1" applyFont="1" applyFill="1" applyBorder="1"/>
    <xf numFmtId="164" fontId="0" fillId="13" borderId="0" xfId="1" applyNumberFormat="1" applyFont="1" applyFill="1" applyBorder="1"/>
    <xf numFmtId="164" fontId="0" fillId="13" borderId="13" xfId="1" applyNumberFormat="1" applyFont="1" applyFill="1" applyBorder="1"/>
    <xf numFmtId="0" fontId="0" fillId="13" borderId="12" xfId="0" applyFill="1" applyBorder="1"/>
    <xf numFmtId="164" fontId="14" fillId="0" borderId="4" xfId="0" applyNumberFormat="1" applyFont="1" applyBorder="1"/>
    <xf numFmtId="0" fontId="3" fillId="0" borderId="31" xfId="0" applyFont="1" applyBorder="1"/>
    <xf numFmtId="0" fontId="0" fillId="0" borderId="17" xfId="0" applyBorder="1" applyAlignment="1">
      <alignment wrapText="1"/>
    </xf>
    <xf numFmtId="0" fontId="0" fillId="6" borderId="7" xfId="0" applyFill="1" applyBorder="1"/>
    <xf numFmtId="0" fontId="0" fillId="0" borderId="8" xfId="0" applyBorder="1"/>
    <xf numFmtId="0" fontId="3" fillId="0" borderId="8" xfId="0" applyFont="1" applyBorder="1"/>
    <xf numFmtId="0" fontId="3" fillId="0" borderId="4" xfId="0" applyFont="1" applyBorder="1"/>
    <xf numFmtId="43" fontId="3" fillId="0" borderId="4" xfId="0" applyNumberFormat="1" applyFont="1" applyBorder="1"/>
    <xf numFmtId="0" fontId="6" fillId="0" borderId="17" xfId="0" applyFont="1" applyBorder="1" applyAlignment="1">
      <alignment horizontal="center"/>
    </xf>
    <xf numFmtId="0" fontId="6" fillId="0" borderId="32" xfId="0" applyFont="1" applyBorder="1" applyAlignment="1">
      <alignment horizontal="center"/>
    </xf>
    <xf numFmtId="168" fontId="0" fillId="0" borderId="0" xfId="4" applyNumberFormat="1" applyFont="1" applyAlignment="1">
      <alignment horizontal="center"/>
    </xf>
    <xf numFmtId="167" fontId="0" fillId="0" borderId="15" xfId="4" applyNumberFormat="1" applyFont="1" applyFill="1" applyBorder="1"/>
    <xf numFmtId="0" fontId="0" fillId="11" borderId="11" xfId="0" applyFill="1" applyBorder="1"/>
    <xf numFmtId="0" fontId="0" fillId="11" borderId="12" xfId="0" applyFill="1" applyBorder="1" applyAlignment="1">
      <alignment horizontal="right" wrapText="1"/>
    </xf>
    <xf numFmtId="0" fontId="0" fillId="11" borderId="13" xfId="0" applyFill="1" applyBorder="1"/>
    <xf numFmtId="0" fontId="0" fillId="11" borderId="12" xfId="0" applyFill="1" applyBorder="1" applyAlignment="1">
      <alignment wrapText="1"/>
    </xf>
    <xf numFmtId="0" fontId="0" fillId="11" borderId="14" xfId="0" applyFill="1" applyBorder="1" applyAlignment="1">
      <alignment horizontal="right" wrapText="1"/>
    </xf>
    <xf numFmtId="0" fontId="6" fillId="11" borderId="9" xfId="0" applyFont="1" applyFill="1" applyBorder="1" applyAlignment="1">
      <alignment horizontal="right" wrapText="1"/>
    </xf>
    <xf numFmtId="0" fontId="0" fillId="14" borderId="24" xfId="0" applyFill="1" applyBorder="1" applyAlignment="1">
      <alignment wrapText="1"/>
    </xf>
    <xf numFmtId="0" fontId="0" fillId="14" borderId="12" xfId="0" applyFill="1" applyBorder="1"/>
    <xf numFmtId="0" fontId="3" fillId="14" borderId="12" xfId="0" quotePrefix="1" applyFont="1" applyFill="1" applyBorder="1"/>
    <xf numFmtId="0" fontId="0" fillId="14" borderId="14" xfId="0" applyFill="1" applyBorder="1"/>
    <xf numFmtId="9" fontId="0" fillId="3" borderId="0" xfId="2" applyFont="1" applyFill="1" applyAlignment="1">
      <alignment horizontal="center"/>
    </xf>
    <xf numFmtId="0" fontId="0" fillId="3" borderId="0" xfId="0" applyFill="1" applyAlignment="1">
      <alignment horizontal="center"/>
    </xf>
    <xf numFmtId="166" fontId="18" fillId="0" borderId="0" xfId="2" applyNumberFormat="1" applyFont="1"/>
    <xf numFmtId="164" fontId="18" fillId="0" borderId="15" xfId="1" applyNumberFormat="1" applyFont="1" applyBorder="1"/>
    <xf numFmtId="0" fontId="3" fillId="0" borderId="0" xfId="0" applyFont="1" applyAlignment="1">
      <alignment horizontal="left" wrapText="1"/>
    </xf>
    <xf numFmtId="9" fontId="0" fillId="0" borderId="0" xfId="0" applyNumberFormat="1" applyAlignment="1">
      <alignment horizontal="left"/>
    </xf>
    <xf numFmtId="9" fontId="0" fillId="0" borderId="0" xfId="2" applyFont="1" applyFill="1" applyAlignment="1">
      <alignment horizontal="left"/>
    </xf>
    <xf numFmtId="166" fontId="0" fillId="0" borderId="0" xfId="2" applyNumberFormat="1" applyFont="1" applyFill="1" applyAlignment="1">
      <alignment horizontal="left"/>
    </xf>
    <xf numFmtId="9" fontId="0" fillId="0" borderId="0" xfId="2" applyFont="1" applyAlignment="1">
      <alignment horizontal="left"/>
    </xf>
    <xf numFmtId="9" fontId="0" fillId="0" borderId="4" xfId="2" applyFont="1" applyBorder="1" applyAlignment="1">
      <alignment horizontal="left"/>
    </xf>
    <xf numFmtId="168" fontId="0" fillId="0" borderId="0" xfId="4" applyNumberFormat="1" applyFont="1" applyAlignment="1">
      <alignment horizontal="left"/>
    </xf>
    <xf numFmtId="167" fontId="0" fillId="0" borderId="0" xfId="4" applyNumberFormat="1" applyFont="1" applyAlignment="1">
      <alignment horizontal="left"/>
    </xf>
    <xf numFmtId="166" fontId="18" fillId="0" borderId="0" xfId="0" applyNumberFormat="1" applyFont="1" applyAlignment="1">
      <alignment horizontal="center"/>
    </xf>
    <xf numFmtId="166" fontId="18" fillId="0" borderId="0" xfId="0" applyNumberFormat="1" applyFont="1" applyAlignment="1">
      <alignment horizontal="left"/>
    </xf>
    <xf numFmtId="164" fontId="14" fillId="0" borderId="0" xfId="0" applyNumberFormat="1" applyFont="1"/>
    <xf numFmtId="43" fontId="3" fillId="0" borderId="0" xfId="0" applyNumberFormat="1" applyFont="1"/>
    <xf numFmtId="0" fontId="6" fillId="0" borderId="0" xfId="0" applyFont="1" applyAlignment="1">
      <alignment wrapText="1"/>
    </xf>
    <xf numFmtId="166" fontId="0" fillId="0" borderId="0" xfId="2" applyNumberFormat="1" applyFont="1" applyBorder="1"/>
    <xf numFmtId="3" fontId="14" fillId="0" borderId="0" xfId="0" applyNumberFormat="1" applyFont="1"/>
    <xf numFmtId="0" fontId="0" fillId="3" borderId="0" xfId="0" applyFill="1"/>
    <xf numFmtId="0" fontId="0" fillId="3" borderId="0" xfId="0" applyFill="1" applyAlignment="1">
      <alignment horizontal="right"/>
    </xf>
    <xf numFmtId="167" fontId="31" fillId="3" borderId="3" xfId="4" applyNumberFormat="1" applyFont="1" applyFill="1" applyBorder="1"/>
    <xf numFmtId="0" fontId="6" fillId="0" borderId="7" xfId="0" applyFont="1" applyBorder="1" applyAlignment="1">
      <alignment horizontal="center"/>
    </xf>
    <xf numFmtId="167" fontId="0" fillId="0" borderId="7" xfId="4" applyNumberFormat="1" applyFont="1" applyBorder="1"/>
    <xf numFmtId="167" fontId="0" fillId="0" borderId="8" xfId="4" applyNumberFormat="1" applyFont="1" applyBorder="1"/>
    <xf numFmtId="167" fontId="0" fillId="0" borderId="7" xfId="0" applyNumberFormat="1" applyBorder="1"/>
    <xf numFmtId="3" fontId="0" fillId="0" borderId="7" xfId="0" applyNumberFormat="1" applyBorder="1"/>
    <xf numFmtId="44" fontId="0" fillId="0" borderId="7" xfId="4" applyFont="1" applyFill="1" applyBorder="1"/>
    <xf numFmtId="44" fontId="0" fillId="0" borderId="7" xfId="0" applyNumberFormat="1" applyBorder="1"/>
    <xf numFmtId="0" fontId="32" fillId="0" borderId="7" xfId="0" applyFont="1" applyBorder="1" applyAlignment="1">
      <alignment horizontal="center"/>
    </xf>
    <xf numFmtId="167" fontId="9" fillId="4" borderId="38" xfId="0" applyNumberFormat="1" applyFont="1" applyFill="1" applyBorder="1" applyAlignment="1">
      <alignment horizontal="center"/>
    </xf>
    <xf numFmtId="10" fontId="9" fillId="4" borderId="7" xfId="2" applyNumberFormat="1" applyFont="1" applyFill="1" applyBorder="1"/>
    <xf numFmtId="164" fontId="9" fillId="4" borderId="7" xfId="1" applyNumberFormat="1" applyFont="1" applyFill="1" applyBorder="1"/>
    <xf numFmtId="164" fontId="9" fillId="4" borderId="37" xfId="0" applyNumberFormat="1" applyFont="1" applyFill="1" applyBorder="1"/>
    <xf numFmtId="0" fontId="0" fillId="0" borderId="14" xfId="0" applyBorder="1"/>
    <xf numFmtId="166" fontId="0" fillId="0" borderId="0" xfId="2" applyNumberFormat="1" applyFont="1" applyBorder="1" applyAlignment="1"/>
    <xf numFmtId="9" fontId="0" fillId="0" borderId="0" xfId="2" applyFont="1" applyBorder="1" applyAlignment="1"/>
    <xf numFmtId="0" fontId="0" fillId="0" borderId="31" xfId="0" applyBorder="1"/>
    <xf numFmtId="166" fontId="0" fillId="0" borderId="32" xfId="2" applyNumberFormat="1" applyFont="1" applyBorder="1" applyAlignment="1"/>
    <xf numFmtId="166" fontId="0" fillId="0" borderId="18" xfId="0" applyNumberFormat="1" applyBorder="1"/>
    <xf numFmtId="166" fontId="0" fillId="0" borderId="19" xfId="0" applyNumberFormat="1" applyBorder="1"/>
    <xf numFmtId="164" fontId="0" fillId="0" borderId="32" xfId="1" applyNumberFormat="1" applyFont="1" applyBorder="1"/>
    <xf numFmtId="164" fontId="0" fillId="0" borderId="18" xfId="1" applyNumberFormat="1" applyFont="1" applyBorder="1"/>
    <xf numFmtId="164" fontId="0" fillId="0" borderId="19" xfId="1" applyNumberFormat="1" applyFont="1" applyBorder="1"/>
    <xf numFmtId="164" fontId="3" fillId="0" borderId="0" xfId="0" applyNumberFormat="1" applyFont="1"/>
    <xf numFmtId="0" fontId="0" fillId="0" borderId="0" xfId="0" applyAlignment="1">
      <alignment horizontal="left" indent="2"/>
    </xf>
    <xf numFmtId="0" fontId="3" fillId="0" borderId="0" xfId="0" applyFont="1" applyAlignment="1">
      <alignment horizontal="left"/>
    </xf>
    <xf numFmtId="9" fontId="0" fillId="3" borderId="0" xfId="2" applyFont="1" applyFill="1"/>
    <xf numFmtId="0" fontId="35" fillId="0" borderId="0" xfId="6"/>
    <xf numFmtId="0" fontId="25" fillId="7" borderId="16" xfId="6" applyFont="1" applyFill="1" applyBorder="1" applyAlignment="1">
      <alignment horizontal="center" vertical="center" wrapText="1"/>
    </xf>
    <xf numFmtId="0" fontId="25" fillId="0" borderId="0" xfId="6" applyFont="1" applyAlignment="1">
      <alignment horizontal="center"/>
    </xf>
    <xf numFmtId="0" fontId="25" fillId="0" borderId="16" xfId="6" applyFont="1" applyBorder="1"/>
    <xf numFmtId="0" fontId="25" fillId="8" borderId="16" xfId="6" applyFont="1" applyFill="1" applyBorder="1" applyAlignment="1">
      <alignment horizontal="center" vertical="center" wrapText="1"/>
    </xf>
    <xf numFmtId="0" fontId="25" fillId="9" borderId="16" xfId="6" applyFont="1" applyFill="1" applyBorder="1" applyAlignment="1">
      <alignment horizontal="center" vertical="center" wrapText="1"/>
    </xf>
    <xf numFmtId="0" fontId="25" fillId="17" borderId="40" xfId="6" applyFont="1" applyFill="1" applyBorder="1" applyAlignment="1">
      <alignment horizontal="center" vertical="center" wrapText="1"/>
    </xf>
    <xf numFmtId="0" fontId="25" fillId="17" borderId="18" xfId="6" applyFont="1" applyFill="1" applyBorder="1" applyAlignment="1">
      <alignment horizontal="center" vertical="center" wrapText="1"/>
    </xf>
    <xf numFmtId="0" fontId="25" fillId="17" borderId="41" xfId="6" applyFont="1" applyFill="1" applyBorder="1" applyAlignment="1">
      <alignment horizontal="center" vertical="center" wrapText="1"/>
    </xf>
    <xf numFmtId="0" fontId="25" fillId="17" borderId="0" xfId="6" applyFont="1" applyFill="1" applyAlignment="1">
      <alignment horizontal="center" vertical="center" wrapText="1"/>
    </xf>
    <xf numFmtId="0" fontId="25" fillId="17" borderId="13" xfId="6" applyFont="1" applyFill="1" applyBorder="1" applyAlignment="1">
      <alignment horizontal="center" vertical="center" wrapText="1"/>
    </xf>
    <xf numFmtId="0" fontId="25" fillId="0" borderId="0" xfId="6" applyFont="1" applyAlignment="1">
      <alignment horizontal="center" vertical="center" wrapText="1"/>
    </xf>
    <xf numFmtId="0" fontId="35" fillId="0" borderId="16" xfId="6" applyBorder="1"/>
    <xf numFmtId="0" fontId="35" fillId="18" borderId="16" xfId="6" applyFill="1" applyBorder="1"/>
    <xf numFmtId="169" fontId="35" fillId="18" borderId="16" xfId="6" applyNumberFormat="1" applyFill="1" applyBorder="1"/>
    <xf numFmtId="44" fontId="0" fillId="18" borderId="16" xfId="7" applyFont="1" applyFill="1" applyBorder="1"/>
    <xf numFmtId="169" fontId="35" fillId="0" borderId="16" xfId="6" applyNumberFormat="1" applyBorder="1"/>
    <xf numFmtId="9" fontId="0" fillId="0" borderId="16" xfId="8" applyFont="1" applyBorder="1"/>
    <xf numFmtId="43" fontId="0" fillId="18" borderId="16" xfId="9" applyFont="1" applyFill="1" applyBorder="1"/>
    <xf numFmtId="2" fontId="35" fillId="0" borderId="16" xfId="6" applyNumberFormat="1" applyBorder="1"/>
    <xf numFmtId="44" fontId="0" fillId="0" borderId="16" xfId="7" applyFont="1" applyBorder="1"/>
    <xf numFmtId="43" fontId="0" fillId="0" borderId="16" xfId="9" applyFont="1" applyFill="1" applyBorder="1"/>
    <xf numFmtId="0" fontId="37" fillId="0" borderId="0" xfId="6" applyFont="1"/>
    <xf numFmtId="2" fontId="35" fillId="0" borderId="0" xfId="6" applyNumberFormat="1"/>
    <xf numFmtId="43" fontId="0" fillId="0" borderId="0" xfId="9" applyFont="1" applyFill="1" applyBorder="1"/>
    <xf numFmtId="44" fontId="0" fillId="0" borderId="0" xfId="7" applyFont="1" applyFill="1" applyBorder="1"/>
    <xf numFmtId="43" fontId="0" fillId="0" borderId="16" xfId="9" quotePrefix="1" applyFont="1" applyFill="1" applyBorder="1"/>
    <xf numFmtId="1" fontId="35" fillId="0" borderId="0" xfId="6" applyNumberFormat="1"/>
    <xf numFmtId="44" fontId="0" fillId="0" borderId="0" xfId="7" applyFont="1" applyFill="1"/>
    <xf numFmtId="44" fontId="35" fillId="0" borderId="0" xfId="6" applyNumberFormat="1"/>
    <xf numFmtId="2" fontId="38" fillId="18" borderId="16" xfId="6" applyNumberFormat="1" applyFont="1" applyFill="1" applyBorder="1"/>
    <xf numFmtId="44" fontId="38" fillId="18" borderId="16" xfId="7" applyFont="1" applyFill="1" applyBorder="1"/>
    <xf numFmtId="43" fontId="38" fillId="18" borderId="16" xfId="9" applyFont="1" applyFill="1" applyBorder="1"/>
    <xf numFmtId="0" fontId="38" fillId="0" borderId="42" xfId="6" applyFont="1" applyBorder="1"/>
    <xf numFmtId="169" fontId="38" fillId="18" borderId="42" xfId="6" applyNumberFormat="1" applyFont="1" applyFill="1" applyBorder="1"/>
    <xf numFmtId="2" fontId="38" fillId="18" borderId="42" xfId="6" applyNumberFormat="1" applyFont="1" applyFill="1" applyBorder="1"/>
    <xf numFmtId="44" fontId="38" fillId="18" borderId="42" xfId="7" applyFont="1" applyFill="1" applyBorder="1"/>
    <xf numFmtId="169" fontId="38" fillId="0" borderId="16" xfId="6" applyNumberFormat="1" applyFont="1" applyBorder="1"/>
    <xf numFmtId="2" fontId="38" fillId="0" borderId="16" xfId="6" applyNumberFormat="1" applyFont="1" applyBorder="1"/>
    <xf numFmtId="0" fontId="35" fillId="0" borderId="42" xfId="6" applyBorder="1"/>
    <xf numFmtId="169" fontId="35" fillId="18" borderId="42" xfId="6" applyNumberFormat="1" applyFill="1" applyBorder="1"/>
    <xf numFmtId="0" fontId="35" fillId="18" borderId="42" xfId="6" applyFill="1" applyBorder="1"/>
    <xf numFmtId="44" fontId="0" fillId="18" borderId="42" xfId="7" applyFont="1" applyFill="1" applyBorder="1"/>
    <xf numFmtId="0" fontId="38" fillId="0" borderId="16" xfId="6" applyFont="1" applyBorder="1"/>
    <xf numFmtId="169" fontId="38" fillId="18" borderId="16" xfId="6" applyNumberFormat="1" applyFont="1" applyFill="1" applyBorder="1"/>
    <xf numFmtId="0" fontId="38" fillId="18" borderId="16" xfId="6" applyFont="1" applyFill="1" applyBorder="1"/>
    <xf numFmtId="9" fontId="38" fillId="0" borderId="16" xfId="8" applyFont="1" applyBorder="1"/>
    <xf numFmtId="44" fontId="37" fillId="0" borderId="0" xfId="7" applyFont="1" applyFill="1" applyBorder="1"/>
    <xf numFmtId="169" fontId="40" fillId="0" borderId="16" xfId="6" applyNumberFormat="1" applyFont="1" applyBorder="1"/>
    <xf numFmtId="43" fontId="38" fillId="5" borderId="16" xfId="9" applyFont="1" applyFill="1" applyBorder="1"/>
    <xf numFmtId="2" fontId="35" fillId="5" borderId="16" xfId="6" applyNumberFormat="1" applyFill="1" applyBorder="1"/>
    <xf numFmtId="2" fontId="40" fillId="0" borderId="16" xfId="6" applyNumberFormat="1" applyFont="1" applyBorder="1"/>
    <xf numFmtId="0" fontId="35" fillId="0" borderId="0" xfId="6" applyAlignment="1">
      <alignment horizontal="center" vertical="center"/>
    </xf>
    <xf numFmtId="169" fontId="38" fillId="0" borderId="0" xfId="6" applyNumberFormat="1" applyFont="1"/>
    <xf numFmtId="9" fontId="0" fillId="0" borderId="0" xfId="8" applyFont="1" applyFill="1" applyBorder="1"/>
    <xf numFmtId="164" fontId="0" fillId="0" borderId="0" xfId="9" applyNumberFormat="1" applyFont="1" applyFill="1" applyBorder="1"/>
    <xf numFmtId="44" fontId="0" fillId="0" borderId="0" xfId="7" applyFont="1" applyBorder="1"/>
    <xf numFmtId="0" fontId="41" fillId="0" borderId="0" xfId="6" applyFont="1" applyAlignment="1">
      <alignment horizontal="justify" vertical="center" wrapText="1"/>
    </xf>
    <xf numFmtId="0" fontId="42" fillId="0" borderId="0" xfId="6" applyFont="1" applyAlignment="1">
      <alignment horizontal="justify" vertical="center" wrapText="1"/>
    </xf>
    <xf numFmtId="0" fontId="42" fillId="0" borderId="0" xfId="6" applyFont="1" applyAlignment="1">
      <alignment horizontal="right" vertical="center" wrapText="1"/>
    </xf>
    <xf numFmtId="3" fontId="42" fillId="0" borderId="0" xfId="6" applyNumberFormat="1" applyFont="1" applyAlignment="1">
      <alignment horizontal="right" vertical="center" wrapText="1"/>
    </xf>
    <xf numFmtId="0" fontId="35" fillId="16" borderId="16" xfId="6" applyFill="1" applyBorder="1"/>
    <xf numFmtId="170" fontId="0" fillId="0" borderId="16" xfId="9" applyNumberFormat="1" applyFont="1" applyBorder="1"/>
    <xf numFmtId="0" fontId="35" fillId="15" borderId="16" xfId="6" applyFill="1" applyBorder="1"/>
    <xf numFmtId="0" fontId="43" fillId="0" borderId="0" xfId="6" applyFont="1" applyAlignment="1">
      <alignment horizontal="justify" vertical="center"/>
    </xf>
    <xf numFmtId="0" fontId="42" fillId="0" borderId="0" xfId="6" applyFont="1" applyAlignment="1">
      <alignment horizontal="justify" vertical="center"/>
    </xf>
    <xf numFmtId="0" fontId="44" fillId="0" borderId="0" xfId="10" applyBorder="1" applyAlignment="1">
      <alignment horizontal="justify" vertical="center"/>
    </xf>
    <xf numFmtId="0" fontId="44" fillId="0" borderId="0" xfId="10" applyAlignment="1">
      <alignment horizontal="justify" vertical="center"/>
    </xf>
    <xf numFmtId="0" fontId="42" fillId="0" borderId="0" xfId="6" applyFont="1" applyAlignment="1">
      <alignment horizontal="left" vertical="center" indent="4"/>
    </xf>
    <xf numFmtId="0" fontId="43" fillId="0" borderId="0" xfId="6" applyFont="1" applyAlignment="1">
      <alignment horizontal="left" vertical="center" indent="4"/>
    </xf>
    <xf numFmtId="0" fontId="42" fillId="0" borderId="0" xfId="6" applyFont="1"/>
    <xf numFmtId="0" fontId="44" fillId="0" borderId="0" xfId="10"/>
    <xf numFmtId="0" fontId="44" fillId="0" borderId="0" xfId="10" applyAlignment="1">
      <alignment vertical="center"/>
    </xf>
    <xf numFmtId="0" fontId="45" fillId="0" borderId="0" xfId="6" applyFont="1" applyAlignment="1">
      <alignment vertical="center"/>
    </xf>
    <xf numFmtId="1" fontId="46" fillId="0" borderId="0" xfId="0" applyNumberFormat="1" applyFont="1"/>
    <xf numFmtId="43" fontId="0" fillId="11" borderId="13" xfId="0" applyNumberFormat="1" applyFill="1" applyBorder="1"/>
    <xf numFmtId="1" fontId="0" fillId="13" borderId="0" xfId="0" applyNumberFormat="1" applyFill="1"/>
    <xf numFmtId="170" fontId="0" fillId="0" borderId="0" xfId="0" applyNumberFormat="1"/>
    <xf numFmtId="164" fontId="0" fillId="0" borderId="0" xfId="1" applyNumberFormat="1" applyFont="1" applyAlignment="1"/>
    <xf numFmtId="10" fontId="0" fillId="0" borderId="0" xfId="2" applyNumberFormat="1" applyFont="1" applyAlignment="1"/>
    <xf numFmtId="3" fontId="14" fillId="19" borderId="0" xfId="0" applyNumberFormat="1" applyFont="1" applyFill="1" applyAlignment="1">
      <alignment horizontal="right"/>
    </xf>
    <xf numFmtId="164" fontId="0" fillId="6" borderId="0" xfId="1" applyNumberFormat="1" applyFont="1" applyFill="1"/>
    <xf numFmtId="0" fontId="25" fillId="0" borderId="0" xfId="0" applyFont="1" applyAlignment="1">
      <alignment horizontal="center"/>
    </xf>
    <xf numFmtId="164" fontId="0" fillId="0" borderId="0" xfId="9" applyNumberFormat="1" applyFont="1" applyFill="1"/>
    <xf numFmtId="0" fontId="25" fillId="0" borderId="16" xfId="0" applyFont="1" applyBorder="1" applyAlignment="1">
      <alignment wrapText="1"/>
    </xf>
    <xf numFmtId="0" fontId="25" fillId="0" borderId="16" xfId="0" applyFont="1" applyBorder="1"/>
    <xf numFmtId="0" fontId="25" fillId="9" borderId="16" xfId="0" applyFont="1" applyFill="1" applyBorder="1" applyAlignment="1">
      <alignment horizontal="center" vertical="center" wrapText="1"/>
    </xf>
    <xf numFmtId="0" fontId="25" fillId="17" borderId="40" xfId="0" applyFont="1" applyFill="1" applyBorder="1" applyAlignment="1">
      <alignment horizontal="center" vertical="center" wrapText="1"/>
    </xf>
    <xf numFmtId="0" fontId="25" fillId="17" borderId="18" xfId="0" applyFont="1" applyFill="1" applyBorder="1" applyAlignment="1">
      <alignment horizontal="center" vertical="center" wrapText="1"/>
    </xf>
    <xf numFmtId="0" fontId="25" fillId="17" borderId="41" xfId="0" applyFont="1" applyFill="1" applyBorder="1" applyAlignment="1">
      <alignment horizontal="center" vertical="center" wrapText="1"/>
    </xf>
    <xf numFmtId="0" fontId="25" fillId="17" borderId="0" xfId="0" applyFont="1" applyFill="1" applyAlignment="1">
      <alignment horizontal="center" vertical="center" wrapText="1"/>
    </xf>
    <xf numFmtId="0" fontId="25" fillId="17" borderId="13" xfId="0" applyFont="1" applyFill="1" applyBorder="1" applyAlignment="1">
      <alignment horizontal="center" vertical="center" wrapText="1"/>
    </xf>
    <xf numFmtId="164" fontId="25" fillId="17" borderId="0" xfId="9" applyNumberFormat="1" applyFont="1" applyFill="1" applyBorder="1" applyAlignment="1">
      <alignment horizontal="center" vertical="center" wrapText="1"/>
    </xf>
    <xf numFmtId="0" fontId="0" fillId="0" borderId="16" xfId="0" applyBorder="1"/>
    <xf numFmtId="0" fontId="0" fillId="18" borderId="16" xfId="0" applyFill="1" applyBorder="1"/>
    <xf numFmtId="169" fontId="0" fillId="18" borderId="16" xfId="0" applyNumberFormat="1" applyFill="1" applyBorder="1"/>
    <xf numFmtId="169" fontId="0" fillId="0" borderId="16" xfId="0" applyNumberFormat="1" applyBorder="1"/>
    <xf numFmtId="2" fontId="0" fillId="0" borderId="16" xfId="0" applyNumberFormat="1" applyBorder="1"/>
    <xf numFmtId="8" fontId="0" fillId="0" borderId="16" xfId="7" applyNumberFormat="1" applyFont="1" applyBorder="1"/>
    <xf numFmtId="8" fontId="0" fillId="0" borderId="16" xfId="9" applyNumberFormat="1" applyFont="1" applyFill="1" applyBorder="1"/>
    <xf numFmtId="8" fontId="0" fillId="0" borderId="16" xfId="9" quotePrefix="1" applyNumberFormat="1" applyFont="1" applyFill="1" applyBorder="1"/>
    <xf numFmtId="2" fontId="38" fillId="18" borderId="16" xfId="0" applyNumberFormat="1" applyFont="1" applyFill="1" applyBorder="1"/>
    <xf numFmtId="0" fontId="38" fillId="0" borderId="42" xfId="0" applyFont="1" applyBorder="1"/>
    <xf numFmtId="169" fontId="38" fillId="18" borderId="42" xfId="0" applyNumberFormat="1" applyFont="1" applyFill="1" applyBorder="1"/>
    <xf numFmtId="2" fontId="38" fillId="18" borderId="42" xfId="0" applyNumberFormat="1" applyFont="1" applyFill="1" applyBorder="1"/>
    <xf numFmtId="169" fontId="38" fillId="0" borderId="16" xfId="0" applyNumberFormat="1" applyFont="1" applyBorder="1"/>
    <xf numFmtId="2" fontId="38" fillId="0" borderId="16" xfId="0" applyNumberFormat="1" applyFont="1" applyBorder="1"/>
    <xf numFmtId="0" fontId="37" fillId="0" borderId="0" xfId="0" applyFont="1"/>
    <xf numFmtId="0" fontId="0" fillId="0" borderId="16" xfId="0" applyBorder="1" applyAlignment="1">
      <alignment horizontal="center" vertical="center"/>
    </xf>
    <xf numFmtId="0" fontId="0" fillId="0" borderId="42" xfId="0" applyBorder="1"/>
    <xf numFmtId="169" fontId="0" fillId="18" borderId="42" xfId="0" applyNumberFormat="1" applyFill="1" applyBorder="1"/>
    <xf numFmtId="0" fontId="0" fillId="18" borderId="42" xfId="0" applyFill="1" applyBorder="1"/>
    <xf numFmtId="0" fontId="38" fillId="0" borderId="16" xfId="0" applyFont="1" applyBorder="1"/>
    <xf numFmtId="169" fontId="38" fillId="18" borderId="16" xfId="0" applyNumberFormat="1" applyFont="1" applyFill="1" applyBorder="1"/>
    <xf numFmtId="0" fontId="38" fillId="18" borderId="16" xfId="0" applyFont="1" applyFill="1" applyBorder="1"/>
    <xf numFmtId="169" fontId="40" fillId="0" borderId="16" xfId="0" applyNumberFormat="1" applyFont="1" applyBorder="1"/>
    <xf numFmtId="2" fontId="0" fillId="5" borderId="16" xfId="0" applyNumberFormat="1" applyFill="1" applyBorder="1"/>
    <xf numFmtId="2" fontId="40" fillId="0" borderId="16" xfId="0" applyNumberFormat="1" applyFont="1" applyBorder="1"/>
    <xf numFmtId="0" fontId="0" fillId="0" borderId="16" xfId="9" quotePrefix="1" applyNumberFormat="1" applyFont="1" applyFill="1" applyBorder="1"/>
    <xf numFmtId="44" fontId="35" fillId="0" borderId="16" xfId="7" applyFont="1" applyFill="1" applyBorder="1"/>
    <xf numFmtId="43" fontId="38" fillId="18" borderId="42" xfId="9" applyFont="1" applyFill="1" applyBorder="1"/>
    <xf numFmtId="0" fontId="0" fillId="0" borderId="16" xfId="7" applyNumberFormat="1" applyFont="1" applyBorder="1"/>
    <xf numFmtId="164" fontId="0" fillId="0" borderId="16" xfId="9" applyNumberFormat="1" applyFont="1" applyFill="1" applyBorder="1"/>
    <xf numFmtId="0" fontId="0" fillId="0" borderId="0" xfId="0" applyAlignment="1">
      <alignment horizontal="center" vertical="center"/>
    </xf>
    <xf numFmtId="169" fontId="38" fillId="0" borderId="0" xfId="0" applyNumberFormat="1" applyFont="1"/>
    <xf numFmtId="0" fontId="41" fillId="0" borderId="0" xfId="0" applyFont="1" applyAlignment="1">
      <alignment horizontal="justify" vertical="center" wrapText="1"/>
    </xf>
    <xf numFmtId="0" fontId="42" fillId="0" borderId="0" xfId="0" applyFont="1" applyAlignment="1">
      <alignment horizontal="justify" vertical="center" wrapText="1"/>
    </xf>
    <xf numFmtId="0" fontId="42" fillId="0" borderId="0" xfId="0" applyFont="1" applyAlignment="1">
      <alignment horizontal="right" vertical="center" wrapText="1"/>
    </xf>
    <xf numFmtId="3" fontId="42" fillId="0" borderId="0" xfId="0" applyNumberFormat="1" applyFont="1" applyAlignment="1">
      <alignment horizontal="right" vertical="center" wrapText="1"/>
    </xf>
    <xf numFmtId="0" fontId="0" fillId="16" borderId="16" xfId="0" applyFill="1" applyBorder="1"/>
    <xf numFmtId="8" fontId="0" fillId="0" borderId="16" xfId="0" applyNumberFormat="1" applyBorder="1"/>
    <xf numFmtId="0" fontId="0" fillId="15" borderId="16" xfId="0" applyFill="1" applyBorder="1"/>
    <xf numFmtId="0" fontId="43" fillId="0" borderId="0" xfId="0" applyFont="1" applyAlignment="1">
      <alignment horizontal="justify" vertical="center"/>
    </xf>
    <xf numFmtId="0" fontId="42" fillId="0" borderId="0" xfId="0" applyFont="1" applyAlignment="1">
      <alignment horizontal="justify" vertical="center"/>
    </xf>
    <xf numFmtId="0" fontId="42" fillId="0" borderId="0" xfId="0" applyFont="1" applyAlignment="1">
      <alignment horizontal="left" vertical="center" indent="4"/>
    </xf>
    <xf numFmtId="0" fontId="43" fillId="0" borderId="0" xfId="0" applyFont="1" applyAlignment="1">
      <alignment horizontal="left" vertical="center" indent="4"/>
    </xf>
    <xf numFmtId="0" fontId="42" fillId="0" borderId="0" xfId="0" applyFont="1"/>
    <xf numFmtId="0" fontId="45" fillId="0" borderId="0" xfId="0" applyFont="1" applyAlignment="1">
      <alignment vertical="center"/>
    </xf>
    <xf numFmtId="169" fontId="0" fillId="11" borderId="13" xfId="0" applyNumberFormat="1" applyFill="1" applyBorder="1"/>
    <xf numFmtId="169" fontId="0" fillId="11" borderId="22" xfId="0" applyNumberFormat="1" applyFill="1" applyBorder="1"/>
    <xf numFmtId="0" fontId="0" fillId="0" borderId="32" xfId="0" applyBorder="1"/>
    <xf numFmtId="172" fontId="0" fillId="0" borderId="18" xfId="0" applyNumberFormat="1" applyBorder="1"/>
    <xf numFmtId="0" fontId="49" fillId="0" borderId="0" xfId="0" applyFont="1"/>
    <xf numFmtId="0" fontId="49" fillId="0" borderId="18" xfId="0" applyFont="1" applyBorder="1"/>
    <xf numFmtId="0" fontId="6" fillId="20" borderId="0" xfId="0" applyFont="1" applyFill="1" applyAlignment="1">
      <alignment horizontal="center"/>
    </xf>
    <xf numFmtId="164" fontId="0" fillId="20" borderId="0" xfId="1" applyNumberFormat="1" applyFont="1" applyFill="1"/>
    <xf numFmtId="3" fontId="0" fillId="20" borderId="0" xfId="0" applyNumberFormat="1" applyFill="1" applyAlignment="1">
      <alignment horizontal="right"/>
    </xf>
    <xf numFmtId="0" fontId="0" fillId="20" borderId="0" xfId="0" applyFill="1"/>
    <xf numFmtId="44" fontId="0" fillId="20" borderId="0" xfId="4" applyFont="1" applyFill="1"/>
    <xf numFmtId="167" fontId="0" fillId="20" borderId="0" xfId="4" applyNumberFormat="1" applyFont="1" applyFill="1"/>
    <xf numFmtId="3" fontId="4" fillId="20" borderId="0" xfId="0" applyNumberFormat="1" applyFont="1" applyFill="1"/>
    <xf numFmtId="164" fontId="0" fillId="20" borderId="0" xfId="1" applyNumberFormat="1" applyFont="1" applyFill="1" applyBorder="1" applyAlignment="1">
      <alignment horizontal="center"/>
    </xf>
    <xf numFmtId="3" fontId="4" fillId="20" borderId="0" xfId="1" applyNumberFormat="1" applyFont="1" applyFill="1"/>
    <xf numFmtId="3" fontId="14" fillId="21" borderId="0" xfId="0" applyNumberFormat="1" applyFont="1" applyFill="1" applyAlignment="1">
      <alignment horizontal="right"/>
    </xf>
    <xf numFmtId="164" fontId="0" fillId="22" borderId="0" xfId="1" applyNumberFormat="1" applyFont="1" applyFill="1"/>
    <xf numFmtId="44" fontId="0" fillId="8" borderId="0" xfId="0" applyNumberFormat="1" applyFill="1"/>
    <xf numFmtId="0" fontId="6" fillId="23" borderId="0" xfId="0" applyFont="1" applyFill="1"/>
    <xf numFmtId="44" fontId="0" fillId="23" borderId="0" xfId="0" applyNumberFormat="1" applyFill="1"/>
    <xf numFmtId="44" fontId="0" fillId="23" borderId="0" xfId="4" applyFont="1" applyFill="1"/>
    <xf numFmtId="44" fontId="0" fillId="23" borderId="4" xfId="4" applyFont="1" applyFill="1" applyBorder="1"/>
    <xf numFmtId="44" fontId="0" fillId="8" borderId="0" xfId="4" applyFont="1" applyFill="1"/>
    <xf numFmtId="44" fontId="0" fillId="8" borderId="4" xfId="4" applyFont="1" applyFill="1" applyBorder="1"/>
    <xf numFmtId="164" fontId="0" fillId="0" borderId="4" xfId="1" applyNumberFormat="1" applyFont="1" applyFill="1" applyBorder="1"/>
    <xf numFmtId="164" fontId="14" fillId="19" borderId="0" xfId="1" applyNumberFormat="1" applyFont="1" applyFill="1"/>
    <xf numFmtId="3" fontId="14" fillId="19" borderId="0" xfId="0" applyNumberFormat="1" applyFont="1" applyFill="1"/>
    <xf numFmtId="164" fontId="14" fillId="19" borderId="4" xfId="1" applyNumberFormat="1" applyFont="1" applyFill="1" applyBorder="1"/>
    <xf numFmtId="3" fontId="14" fillId="19" borderId="4" xfId="0" applyNumberFormat="1" applyFont="1" applyFill="1" applyBorder="1"/>
    <xf numFmtId="164" fontId="14" fillId="19" borderId="0" xfId="0" applyNumberFormat="1" applyFont="1" applyFill="1"/>
    <xf numFmtId="164" fontId="14" fillId="19" borderId="4" xfId="0" applyNumberFormat="1" applyFont="1" applyFill="1" applyBorder="1"/>
    <xf numFmtId="0" fontId="50" fillId="19" borderId="17" xfId="0" applyFont="1" applyFill="1" applyBorder="1" applyAlignment="1">
      <alignment horizontal="center"/>
    </xf>
    <xf numFmtId="43" fontId="16" fillId="19" borderId="4" xfId="0" applyNumberFormat="1" applyFont="1" applyFill="1" applyBorder="1"/>
    <xf numFmtId="164" fontId="14" fillId="19" borderId="0" xfId="1" applyNumberFormat="1" applyFont="1" applyFill="1" applyBorder="1"/>
    <xf numFmtId="164" fontId="14" fillId="19" borderId="0" xfId="1" applyNumberFormat="1" applyFont="1" applyFill="1" applyBorder="1" applyAlignment="1">
      <alignment horizontal="right"/>
    </xf>
    <xf numFmtId="44" fontId="14" fillId="19" borderId="0" xfId="4" applyFont="1" applyFill="1"/>
    <xf numFmtId="167" fontId="14" fillId="19" borderId="0" xfId="4" applyNumberFormat="1" applyFont="1" applyFill="1"/>
    <xf numFmtId="167" fontId="14" fillId="19" borderId="0" xfId="4" applyNumberFormat="1" applyFont="1" applyFill="1" applyBorder="1"/>
    <xf numFmtId="167" fontId="14" fillId="19" borderId="4" xfId="4" applyNumberFormat="1" applyFont="1" applyFill="1" applyBorder="1"/>
    <xf numFmtId="167" fontId="16" fillId="19" borderId="0" xfId="0" applyNumberFormat="1" applyFont="1" applyFill="1"/>
    <xf numFmtId="164" fontId="0" fillId="22" borderId="0" xfId="1" applyNumberFormat="1" applyFont="1" applyFill="1" applyBorder="1"/>
    <xf numFmtId="10" fontId="0" fillId="3" borderId="0" xfId="0" applyNumberFormat="1" applyFill="1"/>
    <xf numFmtId="44" fontId="0" fillId="24" borderId="0" xfId="4" applyFont="1" applyFill="1"/>
    <xf numFmtId="43" fontId="0" fillId="0" borderId="18" xfId="1" applyFont="1" applyFill="1" applyBorder="1"/>
    <xf numFmtId="178" fontId="0" fillId="0" borderId="19" xfId="1" applyNumberFormat="1" applyFont="1" applyFill="1" applyBorder="1"/>
    <xf numFmtId="0" fontId="6" fillId="23" borderId="0" xfId="0" applyFont="1" applyFill="1" applyAlignment="1">
      <alignment horizontal="center"/>
    </xf>
    <xf numFmtId="3" fontId="0" fillId="23" borderId="0" xfId="0" applyNumberFormat="1" applyFill="1" applyAlignment="1">
      <alignment horizontal="center"/>
    </xf>
    <xf numFmtId="0" fontId="0" fillId="23" borderId="0" xfId="0" applyFill="1"/>
    <xf numFmtId="9" fontId="0" fillId="23" borderId="0" xfId="2" applyFont="1" applyFill="1"/>
    <xf numFmtId="10" fontId="0" fillId="23" borderId="0" xfId="0" applyNumberFormat="1" applyFill="1"/>
    <xf numFmtId="164" fontId="0" fillId="23" borderId="0" xfId="1" applyNumberFormat="1" applyFont="1" applyFill="1"/>
    <xf numFmtId="164" fontId="0" fillId="23" borderId="0" xfId="0" applyNumberFormat="1" applyFill="1"/>
    <xf numFmtId="164" fontId="14" fillId="23" borderId="0" xfId="0" applyNumberFormat="1" applyFont="1" applyFill="1"/>
    <xf numFmtId="164" fontId="3" fillId="23" borderId="0" xfId="0" applyNumberFormat="1" applyFont="1" applyFill="1"/>
    <xf numFmtId="44" fontId="14" fillId="0" borderId="0" xfId="4" applyFont="1" applyFill="1"/>
    <xf numFmtId="9" fontId="31" fillId="0" borderId="2" xfId="0" applyNumberFormat="1" applyFont="1" applyBorder="1" applyAlignment="1">
      <alignment horizontal="right"/>
    </xf>
    <xf numFmtId="167" fontId="0" fillId="0" borderId="0" xfId="4" applyNumberFormat="1" applyFont="1" applyFill="1"/>
    <xf numFmtId="2" fontId="0" fillId="4" borderId="0" xfId="0" applyNumberFormat="1" applyFill="1"/>
    <xf numFmtId="164" fontId="0" fillId="0" borderId="0" xfId="2" applyNumberFormat="1" applyFont="1"/>
    <xf numFmtId="0" fontId="0" fillId="0" borderId="0" xfId="2" applyNumberFormat="1" applyFont="1"/>
    <xf numFmtId="164" fontId="0" fillId="0" borderId="0" xfId="0" applyNumberFormat="1" applyAlignment="1">
      <alignment horizontal="center"/>
    </xf>
    <xf numFmtId="9" fontId="0" fillId="3" borderId="0" xfId="0" applyNumberFormat="1" applyFill="1" applyAlignment="1">
      <alignment horizontal="center"/>
    </xf>
    <xf numFmtId="0" fontId="75" fillId="0" borderId="0" xfId="0" applyFont="1" applyAlignment="1">
      <alignment horizontal="left" vertical="center" wrapText="1"/>
    </xf>
    <xf numFmtId="0" fontId="76" fillId="0" borderId="0" xfId="0" applyFont="1" applyAlignment="1">
      <alignment horizontal="left" vertical="center" wrapText="1"/>
    </xf>
    <xf numFmtId="164" fontId="0" fillId="4" borderId="51" xfId="0" applyNumberFormat="1" applyFill="1" applyBorder="1"/>
    <xf numFmtId="164" fontId="0" fillId="4" borderId="52" xfId="0" applyNumberFormat="1" applyFill="1" applyBorder="1"/>
    <xf numFmtId="164" fontId="0" fillId="4" borderId="53" xfId="0" applyNumberFormat="1" applyFill="1" applyBorder="1"/>
    <xf numFmtId="167" fontId="9" fillId="4" borderId="9" xfId="0" applyNumberFormat="1" applyFont="1" applyFill="1" applyBorder="1" applyAlignment="1">
      <alignment horizontal="center"/>
    </xf>
    <xf numFmtId="10" fontId="9" fillId="4" borderId="12" xfId="2" applyNumberFormat="1" applyFont="1" applyFill="1" applyBorder="1"/>
    <xf numFmtId="164" fontId="9" fillId="4" borderId="12" xfId="1" applyNumberFormat="1" applyFont="1" applyFill="1" applyBorder="1"/>
    <xf numFmtId="43" fontId="9" fillId="4" borderId="14" xfId="0" applyNumberFormat="1" applyFont="1" applyFill="1" applyBorder="1"/>
    <xf numFmtId="3" fontId="0" fillId="20" borderId="0" xfId="0" applyNumberFormat="1" applyFill="1" applyAlignment="1">
      <alignment horizontal="center"/>
    </xf>
    <xf numFmtId="0" fontId="31" fillId="14" borderId="39" xfId="0" applyFont="1" applyFill="1" applyBorder="1" applyAlignment="1">
      <alignment horizontal="center" wrapText="1"/>
    </xf>
    <xf numFmtId="0" fontId="18" fillId="14" borderId="34" xfId="0" applyFont="1" applyFill="1" applyBorder="1" applyAlignment="1">
      <alignment horizontal="center"/>
    </xf>
    <xf numFmtId="171" fontId="18" fillId="14" borderId="34" xfId="4" applyNumberFormat="1" applyFont="1" applyFill="1" applyBorder="1" applyAlignment="1">
      <alignment horizontal="center"/>
    </xf>
    <xf numFmtId="171" fontId="31" fillId="14" borderId="34" xfId="0" applyNumberFormat="1" applyFont="1" applyFill="1" applyBorder="1" applyAlignment="1">
      <alignment horizontal="center"/>
    </xf>
    <xf numFmtId="10" fontId="18" fillId="14" borderId="36" xfId="2" applyNumberFormat="1" applyFont="1" applyFill="1" applyBorder="1" applyAlignment="1">
      <alignment horizontal="center"/>
    </xf>
    <xf numFmtId="0" fontId="0" fillId="20" borderId="12" xfId="0" applyFill="1" applyBorder="1"/>
    <xf numFmtId="6" fontId="18" fillId="20" borderId="34" xfId="0" applyNumberFormat="1" applyFont="1" applyFill="1" applyBorder="1" applyAlignment="1">
      <alignment horizontal="center"/>
    </xf>
    <xf numFmtId="10" fontId="18" fillId="20" borderId="34" xfId="0" applyNumberFormat="1" applyFont="1" applyFill="1" applyBorder="1" applyAlignment="1">
      <alignment horizontal="center"/>
    </xf>
    <xf numFmtId="9" fontId="18" fillId="20" borderId="34" xfId="2" applyFont="1" applyFill="1" applyBorder="1" applyAlignment="1">
      <alignment horizontal="center"/>
    </xf>
    <xf numFmtId="0" fontId="3" fillId="14" borderId="12" xfId="0" applyFont="1" applyFill="1" applyBorder="1" applyAlignment="1">
      <alignment horizontal="left" indent="2"/>
    </xf>
    <xf numFmtId="0" fontId="0" fillId="4" borderId="11" xfId="0" applyFill="1" applyBorder="1"/>
    <xf numFmtId="171" fontId="78" fillId="14" borderId="34" xfId="4" applyNumberFormat="1" applyFont="1" applyFill="1" applyBorder="1" applyAlignment="1">
      <alignment horizontal="center"/>
    </xf>
    <xf numFmtId="0" fontId="79" fillId="14" borderId="12" xfId="0" quotePrefix="1" applyFont="1" applyFill="1" applyBorder="1" applyAlignment="1">
      <alignment horizontal="left" indent="2"/>
    </xf>
    <xf numFmtId="171" fontId="31" fillId="14" borderId="34" xfId="4" applyNumberFormat="1" applyFont="1" applyFill="1" applyBorder="1" applyAlignment="1">
      <alignment horizontal="center"/>
    </xf>
    <xf numFmtId="0" fontId="0" fillId="20" borderId="27" xfId="0" applyFill="1" applyBorder="1"/>
    <xf numFmtId="0" fontId="18" fillId="20" borderId="35" xfId="0" applyFont="1" applyFill="1" applyBorder="1" applyAlignment="1">
      <alignment horizontal="center"/>
    </xf>
    <xf numFmtId="0" fontId="0" fillId="14" borderId="7" xfId="0" applyFill="1" applyBorder="1"/>
    <xf numFmtId="171" fontId="31" fillId="14" borderId="13" xfId="4" applyNumberFormat="1" applyFont="1" applyFill="1" applyBorder="1" applyAlignment="1">
      <alignment horizontal="center"/>
    </xf>
    <xf numFmtId="171" fontId="31" fillId="14" borderId="57" xfId="4" applyNumberFormat="1" applyFont="1" applyFill="1" applyBorder="1" applyAlignment="1">
      <alignment horizontal="center"/>
    </xf>
    <xf numFmtId="0" fontId="3" fillId="14" borderId="40" xfId="0" applyFont="1" applyFill="1" applyBorder="1" applyAlignment="1">
      <alignment horizontal="left" indent="2"/>
    </xf>
    <xf numFmtId="0" fontId="3" fillId="14" borderId="58" xfId="0" applyFont="1" applyFill="1" applyBorder="1" applyAlignment="1">
      <alignment horizontal="left" indent="2"/>
    </xf>
    <xf numFmtId="0" fontId="3" fillId="14" borderId="55" xfId="0" quotePrefix="1" applyFont="1" applyFill="1" applyBorder="1"/>
    <xf numFmtId="171" fontId="31" fillId="14" borderId="56" xfId="0" applyNumberFormat="1" applyFont="1" applyFill="1" applyBorder="1" applyAlignment="1">
      <alignment horizontal="center"/>
    </xf>
    <xf numFmtId="0" fontId="6" fillId="38" borderId="0" xfId="0" applyFont="1" applyFill="1" applyAlignment="1">
      <alignment horizontal="center"/>
    </xf>
    <xf numFmtId="0" fontId="0" fillId="38" borderId="0" xfId="0" applyFill="1"/>
    <xf numFmtId="164" fontId="0" fillId="38" borderId="0" xfId="1" applyNumberFormat="1" applyFont="1" applyFill="1"/>
    <xf numFmtId="164" fontId="0" fillId="38" borderId="0" xfId="0" applyNumberFormat="1" applyFill="1"/>
    <xf numFmtId="167" fontId="0" fillId="38" borderId="0" xfId="4" applyNumberFormat="1" applyFont="1" applyFill="1"/>
    <xf numFmtId="167" fontId="0" fillId="38" borderId="4" xfId="4" applyNumberFormat="1" applyFont="1" applyFill="1" applyBorder="1"/>
    <xf numFmtId="164" fontId="18" fillId="38" borderId="0" xfId="1" applyNumberFormat="1" applyFont="1" applyFill="1"/>
    <xf numFmtId="164" fontId="18" fillId="38" borderId="0" xfId="1" applyNumberFormat="1" applyFont="1" applyFill="1" applyBorder="1"/>
    <xf numFmtId="164" fontId="18" fillId="38" borderId="4" xfId="1" applyNumberFormat="1" applyFont="1" applyFill="1" applyBorder="1"/>
    <xf numFmtId="167" fontId="0" fillId="38" borderId="17" xfId="4" applyNumberFormat="1" applyFont="1" applyFill="1" applyBorder="1"/>
    <xf numFmtId="167" fontId="0" fillId="38" borderId="0" xfId="4" applyNumberFormat="1" applyFont="1" applyFill="1" applyBorder="1"/>
    <xf numFmtId="0" fontId="18" fillId="38" borderId="0" xfId="0" applyFont="1" applyFill="1"/>
    <xf numFmtId="167" fontId="18" fillId="38" borderId="0" xfId="4" applyNumberFormat="1" applyFont="1" applyFill="1" applyBorder="1"/>
    <xf numFmtId="167" fontId="18" fillId="38" borderId="4" xfId="4" applyNumberFormat="1" applyFont="1" applyFill="1" applyBorder="1"/>
    <xf numFmtId="164" fontId="18" fillId="38" borderId="15" xfId="1" applyNumberFormat="1" applyFont="1" applyFill="1" applyBorder="1"/>
    <xf numFmtId="164" fontId="18" fillId="38" borderId="17" xfId="1" applyNumberFormat="1" applyFont="1" applyFill="1" applyBorder="1"/>
    <xf numFmtId="167" fontId="18" fillId="38" borderId="17" xfId="4" applyNumberFormat="1" applyFont="1" applyFill="1" applyBorder="1"/>
    <xf numFmtId="0" fontId="14" fillId="38" borderId="0" xfId="0" applyFont="1" applyFill="1"/>
    <xf numFmtId="164" fontId="28" fillId="38" borderId="0" xfId="1" applyNumberFormat="1" applyFont="1" applyFill="1"/>
    <xf numFmtId="167" fontId="0" fillId="3" borderId="0" xfId="4" applyNumberFormat="1" applyFont="1" applyFill="1" applyBorder="1"/>
    <xf numFmtId="1" fontId="0" fillId="0" borderId="44" xfId="2" applyNumberFormat="1" applyFont="1" applyFill="1" applyBorder="1"/>
    <xf numFmtId="167" fontId="0" fillId="0" borderId="0" xfId="4" applyNumberFormat="1" applyFont="1" applyFill="1" applyAlignment="1">
      <alignment horizontal="center"/>
    </xf>
    <xf numFmtId="0" fontId="0" fillId="0" borderId="66" xfId="0" applyBorder="1" applyAlignment="1">
      <alignment wrapText="1"/>
    </xf>
    <xf numFmtId="170" fontId="0" fillId="0" borderId="65" xfId="1" applyNumberFormat="1" applyFont="1" applyBorder="1"/>
    <xf numFmtId="43" fontId="0" fillId="0" borderId="65" xfId="1" applyFont="1" applyBorder="1"/>
    <xf numFmtId="9" fontId="0" fillId="3" borderId="65" xfId="2" applyFont="1" applyFill="1" applyBorder="1"/>
    <xf numFmtId="0" fontId="0" fillId="0" borderId="67" xfId="0" applyBorder="1" applyAlignment="1">
      <alignment wrapText="1"/>
    </xf>
    <xf numFmtId="43" fontId="0" fillId="0" borderId="39" xfId="1" applyFont="1" applyBorder="1"/>
    <xf numFmtId="0" fontId="0" fillId="3" borderId="66" xfId="0" applyFill="1" applyBorder="1" applyAlignment="1">
      <alignment wrapText="1"/>
    </xf>
    <xf numFmtId="0" fontId="0" fillId="0" borderId="68" xfId="0" applyBorder="1" applyAlignment="1">
      <alignment wrapText="1"/>
    </xf>
    <xf numFmtId="43" fontId="0" fillId="0" borderId="64" xfId="1" applyFont="1" applyBorder="1"/>
    <xf numFmtId="10" fontId="18" fillId="0" borderId="0" xfId="1" applyNumberFormat="1" applyFont="1"/>
    <xf numFmtId="43" fontId="18" fillId="0" borderId="0" xfId="0" applyNumberFormat="1" applyFont="1"/>
    <xf numFmtId="9" fontId="18" fillId="0" borderId="0" xfId="2" applyFont="1"/>
    <xf numFmtId="10" fontId="18" fillId="0" borderId="0" xfId="2" applyNumberFormat="1" applyFont="1"/>
    <xf numFmtId="3" fontId="18" fillId="0" borderId="0" xfId="0" applyNumberFormat="1" applyFont="1"/>
    <xf numFmtId="0" fontId="77" fillId="5" borderId="54" xfId="0" applyFont="1" applyFill="1" applyBorder="1"/>
    <xf numFmtId="0" fontId="80" fillId="14" borderId="12" xfId="0" quotePrefix="1" applyFont="1" applyFill="1" applyBorder="1" applyAlignment="1">
      <alignment horizontal="left" indent="2"/>
    </xf>
    <xf numFmtId="171" fontId="3" fillId="14" borderId="7" xfId="0" applyNumberFormat="1" applyFont="1" applyFill="1" applyBorder="1"/>
    <xf numFmtId="10" fontId="0" fillId="14" borderId="37" xfId="2" applyNumberFormat="1" applyFont="1" applyFill="1" applyBorder="1"/>
    <xf numFmtId="10" fontId="0" fillId="14" borderId="30" xfId="2" applyNumberFormat="1" applyFont="1" applyFill="1" applyBorder="1"/>
    <xf numFmtId="171" fontId="3" fillId="14" borderId="71" xfId="0" applyNumberFormat="1" applyFont="1" applyFill="1" applyBorder="1"/>
    <xf numFmtId="183" fontId="0" fillId="0" borderId="0" xfId="1" applyNumberFormat="1" applyFont="1"/>
    <xf numFmtId="3" fontId="14" fillId="20" borderId="0" xfId="0" applyNumberFormat="1" applyFont="1" applyFill="1"/>
    <xf numFmtId="3" fontId="0" fillId="20" borderId="0" xfId="0" applyNumberFormat="1" applyFill="1"/>
    <xf numFmtId="166" fontId="0" fillId="20" borderId="0" xfId="2" applyNumberFormat="1" applyFont="1" applyFill="1"/>
    <xf numFmtId="166" fontId="0" fillId="20" borderId="0" xfId="0" applyNumberFormat="1" applyFill="1"/>
    <xf numFmtId="164" fontId="0" fillId="20" borderId="0" xfId="0" applyNumberFormat="1" applyFill="1"/>
    <xf numFmtId="166" fontId="6" fillId="0" borderId="0" xfId="0" applyNumberFormat="1" applyFont="1"/>
    <xf numFmtId="43" fontId="14" fillId="0" borderId="0" xfId="0" applyNumberFormat="1" applyFont="1"/>
    <xf numFmtId="9" fontId="28" fillId="0" borderId="0" xfId="2" applyFont="1"/>
    <xf numFmtId="164" fontId="14" fillId="3" borderId="0" xfId="0" applyNumberFormat="1" applyFont="1" applyFill="1"/>
    <xf numFmtId="3" fontId="14" fillId="3" borderId="0" xfId="0" applyNumberFormat="1" applyFont="1" applyFill="1"/>
    <xf numFmtId="3" fontId="14" fillId="3" borderId="4" xfId="0" applyNumberFormat="1" applyFont="1" applyFill="1" applyBorder="1"/>
    <xf numFmtId="0" fontId="0" fillId="4" borderId="24" xfId="0" applyFill="1" applyBorder="1" applyAlignment="1">
      <alignment wrapText="1"/>
    </xf>
    <xf numFmtId="0" fontId="31" fillId="4" borderId="33" xfId="0" applyFont="1" applyFill="1" applyBorder="1" applyAlignment="1">
      <alignment horizontal="center" wrapText="1"/>
    </xf>
    <xf numFmtId="0" fontId="31" fillId="4" borderId="25" xfId="0" applyFont="1" applyFill="1" applyBorder="1" applyAlignment="1">
      <alignment horizontal="center" wrapText="1"/>
    </xf>
    <xf numFmtId="0" fontId="3" fillId="4" borderId="3" xfId="0" applyFont="1" applyFill="1" applyBorder="1" applyAlignment="1">
      <alignment wrapText="1"/>
    </xf>
    <xf numFmtId="0" fontId="18" fillId="4" borderId="61" xfId="0" applyFont="1" applyFill="1" applyBorder="1" applyAlignment="1">
      <alignment horizontal="center"/>
    </xf>
    <xf numFmtId="6" fontId="18" fillId="4" borderId="63" xfId="0" applyNumberFormat="1" applyFont="1" applyFill="1" applyBorder="1" applyAlignment="1">
      <alignment horizontal="center"/>
    </xf>
    <xf numFmtId="6" fontId="0" fillId="4" borderId="52" xfId="0" applyNumberFormat="1" applyFill="1" applyBorder="1" applyAlignment="1">
      <alignment horizontal="center"/>
    </xf>
    <xf numFmtId="0" fontId="18" fillId="4" borderId="62" xfId="0" applyFont="1" applyFill="1" applyBorder="1" applyAlignment="1">
      <alignment horizontal="center"/>
    </xf>
    <xf numFmtId="10" fontId="18" fillId="4" borderId="63" xfId="0" applyNumberFormat="1" applyFont="1" applyFill="1" applyBorder="1" applyAlignment="1">
      <alignment horizontal="center"/>
    </xf>
    <xf numFmtId="10" fontId="0" fillId="4" borderId="52" xfId="0" applyNumberFormat="1" applyFill="1" applyBorder="1" applyAlignment="1">
      <alignment horizontal="center"/>
    </xf>
    <xf numFmtId="9" fontId="18" fillId="4" borderId="62" xfId="0" applyNumberFormat="1" applyFont="1" applyFill="1" applyBorder="1" applyAlignment="1">
      <alignment horizontal="center"/>
    </xf>
    <xf numFmtId="9" fontId="18" fillId="4" borderId="63" xfId="2" applyFont="1" applyFill="1" applyBorder="1" applyAlignment="1">
      <alignment horizontal="center"/>
    </xf>
    <xf numFmtId="9" fontId="0" fillId="4" borderId="52" xfId="2" applyFont="1" applyFill="1" applyBorder="1" applyAlignment="1">
      <alignment horizontal="center"/>
    </xf>
    <xf numFmtId="0" fontId="0" fillId="4" borderId="59" xfId="0" applyFill="1" applyBorder="1"/>
    <xf numFmtId="0" fontId="18" fillId="4" borderId="63" xfId="0" applyFont="1" applyFill="1" applyBorder="1" applyAlignment="1">
      <alignment horizontal="center"/>
    </xf>
    <xf numFmtId="0" fontId="0" fillId="4" borderId="52" xfId="0" applyFill="1" applyBorder="1" applyAlignment="1">
      <alignment horizontal="center"/>
    </xf>
    <xf numFmtId="0" fontId="18" fillId="4" borderId="34" xfId="0" applyFont="1" applyFill="1" applyBorder="1" applyAlignment="1">
      <alignment horizontal="center"/>
    </xf>
    <xf numFmtId="0" fontId="3" fillId="4" borderId="12" xfId="0" applyFont="1" applyFill="1" applyBorder="1" applyAlignment="1">
      <alignment horizontal="left" indent="2"/>
    </xf>
    <xf numFmtId="171" fontId="31" fillId="4" borderId="34" xfId="4" applyNumberFormat="1" applyFont="1" applyFill="1" applyBorder="1" applyAlignment="1">
      <alignment horizontal="center"/>
    </xf>
    <xf numFmtId="171" fontId="18" fillId="4" borderId="34" xfId="4" applyNumberFormat="1" applyFont="1" applyFill="1" applyBorder="1" applyAlignment="1">
      <alignment horizontal="center"/>
    </xf>
    <xf numFmtId="0" fontId="79" fillId="4" borderId="12" xfId="0" quotePrefix="1" applyFont="1" applyFill="1" applyBorder="1" applyAlignment="1">
      <alignment horizontal="left" indent="2"/>
    </xf>
    <xf numFmtId="171" fontId="78" fillId="4" borderId="34" xfId="4" applyNumberFormat="1" applyFont="1" applyFill="1" applyBorder="1" applyAlignment="1">
      <alignment horizontal="center"/>
    </xf>
    <xf numFmtId="171" fontId="31" fillId="4" borderId="13" xfId="4" applyNumberFormat="1" applyFont="1" applyFill="1" applyBorder="1" applyAlignment="1">
      <alignment horizontal="center"/>
    </xf>
    <xf numFmtId="0" fontId="3" fillId="4" borderId="55" xfId="0" applyFont="1" applyFill="1" applyBorder="1" applyAlignment="1">
      <alignment horizontal="left" indent="2"/>
    </xf>
    <xf numFmtId="171" fontId="31" fillId="4" borderId="57" xfId="4" applyNumberFormat="1" applyFont="1" applyFill="1" applyBorder="1" applyAlignment="1">
      <alignment horizontal="center"/>
    </xf>
    <xf numFmtId="0" fontId="3" fillId="4" borderId="12" xfId="0" quotePrefix="1" applyFont="1" applyFill="1" applyBorder="1"/>
    <xf numFmtId="171" fontId="31" fillId="4" borderId="34" xfId="0" applyNumberFormat="1" applyFont="1" applyFill="1" applyBorder="1" applyAlignment="1">
      <alignment horizontal="center"/>
    </xf>
    <xf numFmtId="10" fontId="18" fillId="4" borderId="36" xfId="2" applyNumberFormat="1" applyFont="1" applyFill="1" applyBorder="1" applyAlignment="1">
      <alignment horizontal="center"/>
    </xf>
    <xf numFmtId="171" fontId="31" fillId="4" borderId="56" xfId="4" applyNumberFormat="1" applyFont="1" applyFill="1" applyBorder="1" applyAlignment="1">
      <alignment horizontal="center"/>
    </xf>
    <xf numFmtId="164" fontId="18" fillId="0" borderId="0" xfId="2" applyNumberFormat="1" applyFont="1"/>
    <xf numFmtId="10" fontId="0" fillId="14" borderId="72" xfId="2" applyNumberFormat="1" applyFont="1" applyFill="1" applyBorder="1"/>
    <xf numFmtId="10" fontId="0" fillId="14" borderId="73" xfId="2" applyNumberFormat="1" applyFont="1" applyFill="1" applyBorder="1"/>
    <xf numFmtId="184" fontId="0" fillId="0" borderId="0" xfId="0" applyNumberFormat="1"/>
    <xf numFmtId="185" fontId="3" fillId="0" borderId="0" xfId="0" applyNumberFormat="1" applyFont="1"/>
    <xf numFmtId="0" fontId="0" fillId="0" borderId="0" xfId="2" applyNumberFormat="1" applyFont="1" applyFill="1" applyBorder="1"/>
    <xf numFmtId="0" fontId="0" fillId="3" borderId="4" xfId="0" quotePrefix="1" applyFill="1" applyBorder="1"/>
    <xf numFmtId="6" fontId="0" fillId="3" borderId="4" xfId="0" applyNumberFormat="1" applyFill="1" applyBorder="1"/>
    <xf numFmtId="167" fontId="0" fillId="3" borderId="4" xfId="4" applyNumberFormat="1" applyFont="1" applyFill="1" applyBorder="1"/>
    <xf numFmtId="167" fontId="0" fillId="3" borderId="8" xfId="4" applyNumberFormat="1" applyFont="1" applyFill="1" applyBorder="1"/>
    <xf numFmtId="0" fontId="0" fillId="0" borderId="51" xfId="0" applyBorder="1"/>
    <xf numFmtId="0" fontId="6" fillId="0" borderId="52" xfId="0" applyFont="1" applyBorder="1" applyAlignment="1">
      <alignment horizontal="center"/>
    </xf>
    <xf numFmtId="164" fontId="0" fillId="0" borderId="52" xfId="1" applyNumberFormat="1" applyFont="1" applyFill="1" applyBorder="1" applyAlignment="1">
      <alignment horizontal="center"/>
    </xf>
    <xf numFmtId="3" fontId="0" fillId="0" borderId="52" xfId="0" applyNumberFormat="1" applyBorder="1" applyAlignment="1">
      <alignment horizontal="center"/>
    </xf>
    <xf numFmtId="164" fontId="0" fillId="0" borderId="52" xfId="0" applyNumberFormat="1" applyBorder="1" applyAlignment="1">
      <alignment horizontal="center"/>
    </xf>
    <xf numFmtId="3" fontId="0" fillId="0" borderId="52" xfId="0" applyNumberFormat="1" applyBorder="1"/>
    <xf numFmtId="3" fontId="0" fillId="0" borderId="52" xfId="1" applyNumberFormat="1" applyFont="1" applyBorder="1"/>
    <xf numFmtId="0" fontId="0" fillId="0" borderId="52" xfId="0" applyBorder="1" applyAlignment="1">
      <alignment horizontal="center"/>
    </xf>
    <xf numFmtId="3" fontId="0" fillId="6" borderId="52" xfId="0" applyNumberFormat="1" applyFill="1" applyBorder="1" applyAlignment="1">
      <alignment horizontal="right"/>
    </xf>
    <xf numFmtId="0" fontId="0" fillId="6" borderId="52" xfId="0" applyFill="1" applyBorder="1"/>
    <xf numFmtId="164" fontId="0" fillId="6" borderId="52" xfId="1" applyNumberFormat="1" applyFont="1" applyFill="1" applyBorder="1"/>
    <xf numFmtId="164" fontId="0" fillId="0" borderId="52" xfId="1" applyNumberFormat="1" applyFont="1" applyBorder="1"/>
    <xf numFmtId="3" fontId="0" fillId="6" borderId="52" xfId="0" applyNumberFormat="1" applyFill="1" applyBorder="1"/>
    <xf numFmtId="9" fontId="0" fillId="0" borderId="52" xfId="2" applyFont="1" applyBorder="1"/>
    <xf numFmtId="164" fontId="0" fillId="0" borderId="74" xfId="1" applyNumberFormat="1" applyFont="1" applyBorder="1"/>
    <xf numFmtId="3" fontId="0" fillId="0" borderId="74" xfId="0" applyNumberFormat="1" applyBorder="1"/>
    <xf numFmtId="164" fontId="0" fillId="0" borderId="52" xfId="0" applyNumberFormat="1" applyBorder="1"/>
    <xf numFmtId="164" fontId="0" fillId="0" borderId="52" xfId="2" applyNumberFormat="1" applyFont="1" applyBorder="1"/>
    <xf numFmtId="164" fontId="0" fillId="0" borderId="52" xfId="1" applyNumberFormat="1" applyFont="1" applyFill="1" applyBorder="1"/>
    <xf numFmtId="1" fontId="0" fillId="0" borderId="75" xfId="2" applyNumberFormat="1" applyFont="1" applyFill="1" applyBorder="1"/>
    <xf numFmtId="183" fontId="0" fillId="0" borderId="52" xfId="1" applyNumberFormat="1" applyFont="1" applyBorder="1"/>
    <xf numFmtId="43" fontId="0" fillId="0" borderId="52" xfId="1" applyFont="1" applyBorder="1"/>
    <xf numFmtId="0" fontId="6" fillId="0" borderId="76" xfId="0" applyFont="1" applyBorder="1" applyAlignment="1">
      <alignment horizontal="center"/>
    </xf>
    <xf numFmtId="164" fontId="14" fillId="0" borderId="74" xfId="0" applyNumberFormat="1" applyFont="1" applyBorder="1"/>
    <xf numFmtId="43" fontId="3" fillId="0" borderId="74" xfId="0" applyNumberFormat="1" applyFont="1" applyBorder="1"/>
    <xf numFmtId="0" fontId="0" fillId="0" borderId="52" xfId="0" applyBorder="1"/>
    <xf numFmtId="43" fontId="0" fillId="0" borderId="52" xfId="0" applyNumberFormat="1" applyBorder="1"/>
    <xf numFmtId="0" fontId="84" fillId="0" borderId="0" xfId="56"/>
    <xf numFmtId="0" fontId="82" fillId="0" borderId="0" xfId="0" applyFont="1"/>
    <xf numFmtId="0" fontId="83" fillId="3" borderId="0" xfId="0" applyFont="1" applyFill="1"/>
    <xf numFmtId="0" fontId="26" fillId="38" borderId="0" xfId="0" applyFont="1" applyFill="1"/>
    <xf numFmtId="44" fontId="26" fillId="38" borderId="0" xfId="4" applyFont="1" applyFill="1"/>
    <xf numFmtId="0" fontId="85" fillId="38" borderId="0" xfId="0" applyFont="1" applyFill="1"/>
    <xf numFmtId="9" fontId="16" fillId="3" borderId="0" xfId="2" applyFont="1" applyFill="1"/>
    <xf numFmtId="164" fontId="86" fillId="22" borderId="0" xfId="1" applyNumberFormat="1" applyFont="1" applyFill="1"/>
    <xf numFmtId="0" fontId="86" fillId="22" borderId="0" xfId="0" applyFont="1" applyFill="1"/>
    <xf numFmtId="44" fontId="14" fillId="3" borderId="0" xfId="4" applyFont="1" applyFill="1"/>
    <xf numFmtId="0" fontId="6" fillId="3" borderId="52" xfId="0" applyFont="1" applyFill="1" applyBorder="1" applyAlignment="1">
      <alignment horizontal="center"/>
    </xf>
    <xf numFmtId="164" fontId="0" fillId="0" borderId="74" xfId="1" applyNumberFormat="1" applyFont="1" applyFill="1" applyBorder="1"/>
    <xf numFmtId="0" fontId="6" fillId="3" borderId="76" xfId="0" applyFont="1" applyFill="1" applyBorder="1" applyAlignment="1">
      <alignment horizontal="center"/>
    </xf>
    <xf numFmtId="167" fontId="0" fillId="0" borderId="52" xfId="4" applyNumberFormat="1" applyFont="1" applyBorder="1"/>
    <xf numFmtId="167" fontId="0" fillId="0" borderId="74" xfId="4" applyNumberFormat="1" applyFont="1" applyBorder="1"/>
    <xf numFmtId="167" fontId="0" fillId="0" borderId="52" xfId="0" applyNumberFormat="1" applyBorder="1"/>
    <xf numFmtId="44" fontId="0" fillId="0" borderId="52" xfId="4" applyFont="1" applyFill="1" applyBorder="1"/>
    <xf numFmtId="167" fontId="0" fillId="3" borderId="74" xfId="4" applyNumberFormat="1" applyFont="1" applyFill="1" applyBorder="1"/>
    <xf numFmtId="44" fontId="0" fillId="0" borderId="52" xfId="0" applyNumberFormat="1" applyBorder="1"/>
    <xf numFmtId="0" fontId="32" fillId="0" borderId="52" xfId="0" applyFont="1" applyBorder="1" applyAlignment="1">
      <alignment horizontal="center"/>
    </xf>
    <xf numFmtId="167" fontId="9" fillId="4" borderId="51" xfId="0" applyNumberFormat="1" applyFont="1" applyFill="1" applyBorder="1" applyAlignment="1">
      <alignment horizontal="center"/>
    </xf>
    <xf numFmtId="10" fontId="9" fillId="4" borderId="52" xfId="2" applyNumberFormat="1" applyFont="1" applyFill="1" applyBorder="1"/>
    <xf numFmtId="164" fontId="9" fillId="4" borderId="52" xfId="1" applyNumberFormat="1" applyFont="1" applyFill="1" applyBorder="1"/>
    <xf numFmtId="164" fontId="9" fillId="4" borderId="53" xfId="0" applyNumberFormat="1" applyFont="1" applyFill="1" applyBorder="1"/>
    <xf numFmtId="3" fontId="14" fillId="0" borderId="52" xfId="0" applyNumberFormat="1" applyFont="1" applyBorder="1"/>
    <xf numFmtId="166" fontId="0" fillId="0" borderId="52" xfId="2" applyNumberFormat="1" applyFont="1" applyBorder="1"/>
    <xf numFmtId="166" fontId="0" fillId="0" borderId="52" xfId="0" applyNumberFormat="1" applyBorder="1"/>
    <xf numFmtId="44" fontId="0" fillId="0" borderId="52" xfId="4" applyFont="1" applyBorder="1"/>
    <xf numFmtId="167" fontId="0" fillId="0" borderId="52" xfId="4" applyNumberFormat="1" applyFont="1" applyFill="1" applyBorder="1"/>
    <xf numFmtId="3" fontId="0" fillId="0" borderId="52" xfId="0" applyNumberFormat="1" applyBorder="1" applyAlignment="1">
      <alignment horizontal="right"/>
    </xf>
    <xf numFmtId="164" fontId="18" fillId="0" borderId="52" xfId="1" applyNumberFormat="1" applyFont="1" applyBorder="1"/>
    <xf numFmtId="3" fontId="18" fillId="0" borderId="52" xfId="0" applyNumberFormat="1" applyFont="1" applyBorder="1" applyAlignment="1">
      <alignment horizontal="right"/>
    </xf>
    <xf numFmtId="164" fontId="18" fillId="0" borderId="52" xfId="1" applyNumberFormat="1" applyFont="1" applyFill="1" applyBorder="1" applyAlignment="1">
      <alignment horizontal="right"/>
    </xf>
    <xf numFmtId="164" fontId="18" fillId="0" borderId="52" xfId="0" applyNumberFormat="1" applyFont="1" applyBorder="1"/>
    <xf numFmtId="44" fontId="18" fillId="0" borderId="52" xfId="4" applyFont="1" applyBorder="1"/>
    <xf numFmtId="167" fontId="18" fillId="0" borderId="52" xfId="4" applyNumberFormat="1" applyFont="1" applyBorder="1"/>
    <xf numFmtId="167" fontId="18" fillId="0" borderId="74" xfId="4" applyNumberFormat="1" applyFont="1" applyBorder="1"/>
    <xf numFmtId="167" fontId="31" fillId="0" borderId="52" xfId="0" applyNumberFormat="1" applyFont="1" applyBorder="1"/>
    <xf numFmtId="0" fontId="18" fillId="0" borderId="52" xfId="0" applyFont="1" applyBorder="1"/>
    <xf numFmtId="1" fontId="0" fillId="0" borderId="52" xfId="0" applyNumberFormat="1" applyBorder="1"/>
    <xf numFmtId="169" fontId="0" fillId="0" borderId="52" xfId="0" applyNumberFormat="1" applyBorder="1"/>
    <xf numFmtId="0" fontId="0" fillId="0" borderId="52" xfId="0" applyBorder="1" applyAlignment="1">
      <alignment vertical="center" wrapText="1"/>
    </xf>
    <xf numFmtId="0" fontId="3" fillId="0" borderId="51" xfId="0" applyFont="1" applyBorder="1" applyAlignment="1">
      <alignment horizontal="center" wrapText="1"/>
    </xf>
    <xf numFmtId="169" fontId="0" fillId="0" borderId="53" xfId="0" applyNumberFormat="1" applyBorder="1"/>
    <xf numFmtId="164" fontId="18" fillId="0" borderId="74" xfId="1" applyNumberFormat="1" applyFont="1" applyBorder="1"/>
    <xf numFmtId="167" fontId="0" fillId="0" borderId="76" xfId="4" applyNumberFormat="1" applyFont="1" applyBorder="1"/>
    <xf numFmtId="164" fontId="18" fillId="0" borderId="53" xfId="1" applyNumberFormat="1" applyFont="1" applyBorder="1"/>
    <xf numFmtId="164" fontId="18" fillId="0" borderId="76" xfId="1" applyNumberFormat="1" applyFont="1" applyBorder="1"/>
    <xf numFmtId="43" fontId="14" fillId="0" borderId="52" xfId="0" applyNumberFormat="1" applyFont="1" applyBorder="1"/>
    <xf numFmtId="164" fontId="28" fillId="0" borderId="52" xfId="1" applyNumberFormat="1" applyFont="1" applyBorder="1"/>
    <xf numFmtId="164" fontId="3" fillId="0" borderId="52" xfId="0" applyNumberFormat="1" applyFont="1" applyBorder="1"/>
    <xf numFmtId="0" fontId="0" fillId="0" borderId="52" xfId="2" applyNumberFormat="1" applyFont="1" applyBorder="1"/>
    <xf numFmtId="164" fontId="18" fillId="14" borderId="74" xfId="0" applyNumberFormat="1" applyFont="1" applyFill="1" applyBorder="1"/>
    <xf numFmtId="164" fontId="87" fillId="22" borderId="0" xfId="1" applyNumberFormat="1" applyFont="1" applyFill="1" applyBorder="1"/>
    <xf numFmtId="164" fontId="0" fillId="0" borderId="16" xfId="0" applyNumberFormat="1" applyBorder="1"/>
    <xf numFmtId="0" fontId="3" fillId="22" borderId="16" xfId="0" applyFont="1" applyFill="1" applyBorder="1"/>
    <xf numFmtId="1" fontId="3" fillId="22" borderId="16" xfId="0" applyNumberFormat="1" applyFont="1" applyFill="1" applyBorder="1"/>
    <xf numFmtId="164" fontId="3" fillId="22" borderId="16" xfId="0" applyNumberFormat="1" applyFont="1" applyFill="1" applyBorder="1" applyAlignment="1">
      <alignment horizontal="left"/>
    </xf>
    <xf numFmtId="164" fontId="3" fillId="22" borderId="16" xfId="0" applyNumberFormat="1" applyFont="1" applyFill="1" applyBorder="1"/>
    <xf numFmtId="44" fontId="18" fillId="0" borderId="0" xfId="4" applyFont="1" applyAlignment="1">
      <alignment vertical="center" wrapText="1"/>
    </xf>
    <xf numFmtId="44" fontId="18" fillId="0" borderId="0" xfId="4" applyFont="1" applyFill="1"/>
    <xf numFmtId="44" fontId="18" fillId="39" borderId="0" xfId="4" applyFont="1" applyFill="1"/>
    <xf numFmtId="0" fontId="0" fillId="4" borderId="2" xfId="0" applyFill="1" applyBorder="1" applyAlignment="1">
      <alignment wrapText="1"/>
    </xf>
    <xf numFmtId="0" fontId="31" fillId="4" borderId="77" xfId="0" applyFont="1" applyFill="1" applyBorder="1" applyAlignment="1">
      <alignment horizontal="center" wrapText="1"/>
    </xf>
    <xf numFmtId="0" fontId="31" fillId="4" borderId="3" xfId="0" applyFont="1" applyFill="1" applyBorder="1" applyAlignment="1">
      <alignment horizontal="center" wrapText="1"/>
    </xf>
    <xf numFmtId="10" fontId="0" fillId="3" borderId="52" xfId="2" applyNumberFormat="1" applyFont="1" applyFill="1" applyBorder="1"/>
    <xf numFmtId="3" fontId="31" fillId="3" borderId="18" xfId="0" applyNumberFormat="1" applyFont="1" applyFill="1" applyBorder="1"/>
    <xf numFmtId="0" fontId="0" fillId="3" borderId="7" xfId="0" applyFill="1" applyBorder="1"/>
    <xf numFmtId="0" fontId="18" fillId="3" borderId="7" xfId="0" applyFont="1" applyFill="1" applyBorder="1"/>
    <xf numFmtId="0" fontId="0" fillId="0" borderId="7" xfId="0" applyBorder="1" applyAlignment="1">
      <alignment horizontal="left"/>
    </xf>
    <xf numFmtId="0" fontId="0" fillId="0" borderId="8" xfId="0" applyBorder="1" applyAlignment="1">
      <alignment horizontal="left"/>
    </xf>
    <xf numFmtId="172" fontId="31" fillId="3" borderId="0" xfId="0" applyNumberFormat="1" applyFont="1" applyFill="1"/>
    <xf numFmtId="172" fontId="31" fillId="3" borderId="18" xfId="0" applyNumberFormat="1" applyFont="1" applyFill="1" applyBorder="1"/>
    <xf numFmtId="0" fontId="18" fillId="3" borderId="31" xfId="0" applyFont="1" applyFill="1" applyBorder="1"/>
    <xf numFmtId="170" fontId="31" fillId="3" borderId="32" xfId="1" applyNumberFormat="1" applyFont="1" applyFill="1" applyBorder="1"/>
    <xf numFmtId="9" fontId="14" fillId="0" borderId="0" xfId="2" applyFont="1"/>
    <xf numFmtId="9" fontId="14" fillId="0" borderId="52" xfId="2" applyFont="1" applyBorder="1"/>
    <xf numFmtId="9" fontId="14" fillId="3" borderId="0" xfId="2" applyFont="1" applyFill="1"/>
    <xf numFmtId="9" fontId="14" fillId="3" borderId="52" xfId="2" applyFont="1" applyFill="1" applyBorder="1"/>
    <xf numFmtId="9" fontId="14" fillId="0" borderId="0" xfId="0" applyNumberFormat="1" applyFont="1"/>
    <xf numFmtId="9" fontId="14" fillId="0" borderId="52" xfId="0" applyNumberFormat="1" applyFont="1" applyBorder="1"/>
    <xf numFmtId="164" fontId="14" fillId="23" borderId="0" xfId="1" applyNumberFormat="1" applyFont="1" applyFill="1"/>
    <xf numFmtId="164" fontId="14" fillId="0" borderId="0" xfId="1" applyNumberFormat="1" applyFont="1"/>
    <xf numFmtId="164" fontId="14" fillId="0" borderId="52" xfId="1" applyNumberFormat="1" applyFont="1" applyBorder="1"/>
    <xf numFmtId="0" fontId="89" fillId="0" borderId="0" xfId="0" quotePrefix="1" applyFont="1"/>
    <xf numFmtId="0" fontId="83" fillId="0" borderId="0" xfId="0" applyFont="1"/>
    <xf numFmtId="164" fontId="31" fillId="0" borderId="52" xfId="1" applyNumberFormat="1" applyFont="1" applyFill="1" applyBorder="1" applyAlignment="1">
      <alignment horizontal="center"/>
    </xf>
    <xf numFmtId="164" fontId="18" fillId="19" borderId="4" xfId="1" applyNumberFormat="1" applyFont="1" applyFill="1" applyBorder="1"/>
    <xf numFmtId="9" fontId="0" fillId="0" borderId="15" xfId="2" applyFont="1" applyFill="1" applyBorder="1"/>
    <xf numFmtId="164" fontId="0" fillId="0" borderId="15" xfId="0" applyNumberFormat="1" applyBorder="1"/>
    <xf numFmtId="43" fontId="0" fillId="3" borderId="0" xfId="0" applyNumberFormat="1" applyFill="1"/>
    <xf numFmtId="164" fontId="0" fillId="3" borderId="0" xfId="1" applyNumberFormat="1" applyFont="1" applyFill="1" applyBorder="1"/>
    <xf numFmtId="170" fontId="0" fillId="3" borderId="0" xfId="1" applyNumberFormat="1" applyFont="1" applyFill="1" applyBorder="1"/>
    <xf numFmtId="164" fontId="1" fillId="3" borderId="0" xfId="1" applyNumberFormat="1" applyFont="1" applyFill="1" applyBorder="1"/>
    <xf numFmtId="44" fontId="90" fillId="24" borderId="0" xfId="4" applyFont="1" applyFill="1"/>
    <xf numFmtId="44" fontId="90" fillId="24" borderId="0" xfId="4" applyFont="1" applyFill="1" applyBorder="1"/>
    <xf numFmtId="44" fontId="90" fillId="0" borderId="0" xfId="4" applyFont="1" applyFill="1" applyBorder="1"/>
    <xf numFmtId="9" fontId="0" fillId="4" borderId="52" xfId="2" applyFont="1" applyFill="1" applyBorder="1"/>
    <xf numFmtId="164" fontId="0" fillId="0" borderId="13" xfId="1" applyNumberFormat="1" applyFont="1" applyBorder="1"/>
    <xf numFmtId="164" fontId="3" fillId="3" borderId="0" xfId="1" applyNumberFormat="1" applyFont="1" applyFill="1"/>
    <xf numFmtId="2" fontId="3" fillId="3" borderId="0" xfId="0" applyNumberFormat="1" applyFont="1" applyFill="1"/>
    <xf numFmtId="0" fontId="35" fillId="0" borderId="16" xfId="6" applyBorder="1" applyAlignment="1">
      <alignment wrapText="1"/>
    </xf>
    <xf numFmtId="0" fontId="25" fillId="0" borderId="16" xfId="6" applyFont="1" applyBorder="1" applyAlignment="1">
      <alignment horizontal="center"/>
    </xf>
    <xf numFmtId="0" fontId="25" fillId="0" borderId="16" xfId="6" applyFont="1" applyBorder="1" applyAlignment="1">
      <alignment wrapText="1"/>
    </xf>
    <xf numFmtId="0" fontId="25" fillId="17" borderId="16" xfId="6" applyFont="1" applyFill="1" applyBorder="1" applyAlignment="1">
      <alignment horizontal="center" vertical="center" wrapText="1"/>
    </xf>
    <xf numFmtId="43" fontId="35" fillId="0" borderId="16" xfId="6" applyNumberFormat="1" applyBorder="1"/>
    <xf numFmtId="0" fontId="35" fillId="0" borderId="0" xfId="6" applyAlignment="1">
      <alignment wrapText="1"/>
    </xf>
    <xf numFmtId="8" fontId="35" fillId="0" borderId="16" xfId="6" applyNumberFormat="1" applyBorder="1"/>
    <xf numFmtId="9" fontId="13" fillId="0" borderId="0" xfId="2" applyFont="1" applyAlignment="1">
      <alignment horizontal="center"/>
    </xf>
    <xf numFmtId="9" fontId="13" fillId="0" borderId="4" xfId="2" applyFont="1" applyBorder="1" applyAlignment="1">
      <alignment horizontal="center"/>
    </xf>
    <xf numFmtId="0" fontId="13" fillId="38" borderId="0" xfId="0" applyFont="1" applyFill="1"/>
    <xf numFmtId="167" fontId="13" fillId="38" borderId="0" xfId="4" applyNumberFormat="1" applyFont="1" applyFill="1"/>
    <xf numFmtId="167" fontId="13" fillId="38" borderId="4" xfId="4" applyNumberFormat="1" applyFont="1" applyFill="1" applyBorder="1"/>
    <xf numFmtId="167" fontId="13" fillId="38" borderId="0" xfId="0" applyNumberFormat="1" applyFont="1" applyFill="1"/>
    <xf numFmtId="3" fontId="13" fillId="38" borderId="0" xfId="0" applyNumberFormat="1" applyFont="1" applyFill="1"/>
    <xf numFmtId="44" fontId="13" fillId="38" borderId="0" xfId="4" applyFont="1" applyFill="1"/>
    <xf numFmtId="9" fontId="13" fillId="38" borderId="0" xfId="2" applyFont="1" applyFill="1"/>
    <xf numFmtId="167" fontId="13" fillId="38" borderId="0" xfId="4" applyNumberFormat="1" applyFont="1" applyFill="1" applyBorder="1"/>
    <xf numFmtId="44" fontId="13" fillId="38" borderId="0" xfId="0" applyNumberFormat="1" applyFont="1" applyFill="1"/>
    <xf numFmtId="0" fontId="92" fillId="38" borderId="7" xfId="0" applyFont="1" applyFill="1" applyBorder="1" applyAlignment="1">
      <alignment horizontal="center"/>
    </xf>
    <xf numFmtId="167" fontId="80" fillId="38" borderId="9" xfId="0" applyNumberFormat="1" applyFont="1" applyFill="1" applyBorder="1" applyAlignment="1">
      <alignment horizontal="center"/>
    </xf>
    <xf numFmtId="10" fontId="80" fillId="38" borderId="12" xfId="2" applyNumberFormat="1" applyFont="1" applyFill="1" applyBorder="1"/>
    <xf numFmtId="164" fontId="80" fillId="38" borderId="12" xfId="1" applyNumberFormat="1" applyFont="1" applyFill="1" applyBorder="1"/>
    <xf numFmtId="164" fontId="80" fillId="38" borderId="14" xfId="0" applyNumberFormat="1" applyFont="1" applyFill="1" applyBorder="1"/>
    <xf numFmtId="164" fontId="13" fillId="38" borderId="0" xfId="0" applyNumberFormat="1" applyFont="1" applyFill="1"/>
    <xf numFmtId="10" fontId="14" fillId="3" borderId="0" xfId="2" applyNumberFormat="1" applyFont="1" applyFill="1"/>
    <xf numFmtId="10" fontId="18" fillId="0" borderId="0" xfId="0" applyNumberFormat="1" applyFont="1" applyAlignment="1">
      <alignment horizontal="center"/>
    </xf>
    <xf numFmtId="44" fontId="0" fillId="3" borderId="0" xfId="0" applyNumberFormat="1" applyFill="1"/>
    <xf numFmtId="44" fontId="18" fillId="3" borderId="0" xfId="0" applyNumberFormat="1" applyFont="1" applyFill="1"/>
    <xf numFmtId="44" fontId="18" fillId="8" borderId="0" xfId="0" applyNumberFormat="1" applyFont="1" applyFill="1"/>
    <xf numFmtId="44" fontId="18" fillId="8" borderId="4" xfId="0" applyNumberFormat="1" applyFont="1" applyFill="1" applyBorder="1"/>
    <xf numFmtId="44" fontId="18" fillId="0" borderId="0" xfId="0" applyNumberFormat="1" applyFont="1"/>
    <xf numFmtId="10" fontId="13" fillId="0" borderId="0" xfId="2" applyNumberFormat="1" applyFont="1" applyFill="1"/>
    <xf numFmtId="0" fontId="91" fillId="0" borderId="0" xfId="0" applyFont="1" applyAlignment="1">
      <alignment horizontal="center"/>
    </xf>
    <xf numFmtId="167" fontId="13" fillId="0" borderId="0" xfId="4" applyNumberFormat="1" applyFont="1" applyFill="1"/>
    <xf numFmtId="167" fontId="13" fillId="0" borderId="4" xfId="4" applyNumberFormat="1" applyFont="1" applyFill="1" applyBorder="1"/>
    <xf numFmtId="167" fontId="13" fillId="0" borderId="0" xfId="0" applyNumberFormat="1" applyFont="1"/>
    <xf numFmtId="2" fontId="18" fillId="4" borderId="0" xfId="0" applyNumberFormat="1" applyFont="1" applyFill="1"/>
    <xf numFmtId="44" fontId="18" fillId="4" borderId="0" xfId="0" applyNumberFormat="1" applyFont="1" applyFill="1"/>
    <xf numFmtId="43" fontId="18" fillId="4" borderId="0" xfId="1" applyFont="1" applyFill="1" applyBorder="1"/>
    <xf numFmtId="44" fontId="18" fillId="4" borderId="0" xfId="4" applyFont="1" applyFill="1" applyBorder="1"/>
    <xf numFmtId="44" fontId="18" fillId="4" borderId="15" xfId="4" applyFont="1" applyFill="1" applyBorder="1"/>
    <xf numFmtId="9" fontId="18" fillId="2" borderId="23" xfId="3" applyNumberFormat="1" applyFont="1" applyBorder="1"/>
    <xf numFmtId="9" fontId="18" fillId="2" borderId="26" xfId="3" applyNumberFormat="1" applyFont="1" applyBorder="1"/>
    <xf numFmtId="3" fontId="3" fillId="20" borderId="0" xfId="0" applyNumberFormat="1" applyFont="1" applyFill="1" applyAlignment="1">
      <alignment horizontal="center"/>
    </xf>
    <xf numFmtId="164" fontId="3" fillId="0" borderId="52" xfId="0" applyNumberFormat="1" applyFont="1" applyBorder="1" applyAlignment="1">
      <alignment horizontal="center"/>
    </xf>
    <xf numFmtId="164" fontId="3" fillId="0" borderId="0" xfId="0" applyNumberFormat="1" applyFont="1" applyAlignment="1">
      <alignment horizontal="center"/>
    </xf>
    <xf numFmtId="171" fontId="18" fillId="4" borderId="13" xfId="4" applyNumberFormat="1" applyFont="1" applyFill="1" applyBorder="1" applyAlignment="1">
      <alignment horizontal="center"/>
    </xf>
    <xf numFmtId="171" fontId="78" fillId="4" borderId="13" xfId="4" applyNumberFormat="1" applyFont="1" applyFill="1" applyBorder="1" applyAlignment="1">
      <alignment horizontal="center"/>
    </xf>
    <xf numFmtId="0" fontId="3" fillId="4" borderId="40" xfId="0" applyFont="1" applyFill="1" applyBorder="1" applyAlignment="1">
      <alignment horizontal="left" indent="2"/>
    </xf>
    <xf numFmtId="0" fontId="79" fillId="4" borderId="40" xfId="0" quotePrefix="1" applyFont="1" applyFill="1" applyBorder="1" applyAlignment="1">
      <alignment horizontal="left" indent="2"/>
    </xf>
    <xf numFmtId="0" fontId="3" fillId="4" borderId="58" xfId="0" applyFont="1" applyFill="1" applyBorder="1" applyAlignment="1">
      <alignment horizontal="left" indent="2"/>
    </xf>
    <xf numFmtId="171" fontId="3" fillId="14" borderId="70" xfId="0" applyNumberFormat="1" applyFont="1" applyFill="1" applyBorder="1"/>
    <xf numFmtId="171" fontId="3" fillId="14" borderId="34" xfId="0" applyNumberFormat="1" applyFont="1" applyFill="1" applyBorder="1"/>
    <xf numFmtId="171" fontId="80" fillId="14" borderId="7" xfId="0" applyNumberFormat="1" applyFont="1" applyFill="1" applyBorder="1"/>
    <xf numFmtId="0" fontId="0" fillId="14" borderId="8" xfId="0" applyFill="1" applyBorder="1"/>
    <xf numFmtId="0" fontId="0" fillId="14" borderId="42" xfId="0" applyFill="1" applyBorder="1"/>
    <xf numFmtId="171" fontId="3" fillId="14" borderId="41" xfId="0" applyNumberFormat="1" applyFont="1" applyFill="1" applyBorder="1"/>
    <xf numFmtId="171" fontId="80" fillId="14" borderId="41" xfId="0" applyNumberFormat="1" applyFont="1" applyFill="1" applyBorder="1"/>
    <xf numFmtId="0" fontId="0" fillId="14" borderId="43" xfId="0" applyFill="1" applyBorder="1"/>
    <xf numFmtId="0" fontId="0" fillId="14" borderId="41" xfId="0" applyFill="1" applyBorder="1"/>
    <xf numFmtId="9" fontId="0" fillId="14" borderId="6" xfId="0" applyNumberFormat="1" applyFill="1" applyBorder="1" applyAlignment="1">
      <alignment horizontal="center"/>
    </xf>
    <xf numFmtId="9" fontId="0" fillId="14" borderId="16" xfId="0" applyNumberFormat="1" applyFill="1" applyBorder="1" applyAlignment="1">
      <alignment horizontal="center"/>
    </xf>
    <xf numFmtId="171" fontId="80" fillId="14" borderId="41" xfId="1" applyNumberFormat="1" applyFont="1" applyFill="1" applyBorder="1"/>
    <xf numFmtId="0" fontId="0" fillId="14" borderId="78" xfId="0" applyFill="1" applyBorder="1"/>
    <xf numFmtId="9" fontId="0" fillId="14" borderId="79" xfId="0" applyNumberFormat="1" applyFill="1" applyBorder="1" applyAlignment="1">
      <alignment horizontal="center"/>
    </xf>
    <xf numFmtId="0" fontId="0" fillId="14" borderId="80" xfId="0" applyFill="1" applyBorder="1"/>
    <xf numFmtId="0" fontId="0" fillId="14" borderId="34" xfId="0" applyFill="1" applyBorder="1"/>
    <xf numFmtId="171" fontId="80" fillId="14" borderId="34" xfId="1" applyNumberFormat="1" applyFont="1" applyFill="1" applyBorder="1"/>
    <xf numFmtId="0" fontId="0" fillId="14" borderId="35" xfId="0" applyFill="1" applyBorder="1"/>
    <xf numFmtId="164" fontId="13" fillId="0" borderId="0" xfId="0" applyNumberFormat="1" applyFont="1"/>
    <xf numFmtId="0" fontId="0" fillId="0" borderId="0" xfId="0" pivotButton="1"/>
    <xf numFmtId="0" fontId="81" fillId="20" borderId="2" xfId="0" applyFont="1" applyFill="1" applyBorder="1"/>
    <xf numFmtId="0" fontId="81" fillId="20" borderId="60" xfId="0" applyFont="1" applyFill="1" applyBorder="1"/>
    <xf numFmtId="0" fontId="81" fillId="20" borderId="3" xfId="0" applyFont="1" applyFill="1" applyBorder="1"/>
    <xf numFmtId="0" fontId="77" fillId="5" borderId="10" xfId="0" applyFont="1" applyFill="1" applyBorder="1"/>
    <xf numFmtId="0" fontId="77" fillId="5" borderId="11" xfId="0" applyFont="1" applyFill="1" applyBorder="1"/>
    <xf numFmtId="10" fontId="6" fillId="0" borderId="52" xfId="2" applyNumberFormat="1" applyFont="1" applyFill="1" applyBorder="1" applyAlignment="1">
      <alignment horizontal="center"/>
    </xf>
    <xf numFmtId="5" fontId="0" fillId="0" borderId="4" xfId="0" applyNumberFormat="1" applyBorder="1"/>
    <xf numFmtId="10" fontId="6" fillId="20" borderId="0" xfId="2" applyNumberFormat="1" applyFont="1" applyFill="1" applyBorder="1" applyAlignment="1">
      <alignment horizontal="center"/>
    </xf>
    <xf numFmtId="186" fontId="0" fillId="0" borderId="0" xfId="2" applyNumberFormat="1" applyFont="1"/>
    <xf numFmtId="43" fontId="0" fillId="38" borderId="0" xfId="0" applyNumberFormat="1" applyFill="1"/>
    <xf numFmtId="0" fontId="0" fillId="0" borderId="5" xfId="0" applyBorder="1"/>
    <xf numFmtId="0" fontId="0" fillId="38" borderId="20" xfId="0" applyFill="1" applyBorder="1"/>
    <xf numFmtId="0" fontId="13" fillId="14" borderId="81" xfId="0" applyFont="1" applyFill="1" applyBorder="1"/>
    <xf numFmtId="0" fontId="13" fillId="14" borderId="20" xfId="0" applyFont="1" applyFill="1" applyBorder="1"/>
    <xf numFmtId="0" fontId="13" fillId="14" borderId="6" xfId="0" applyFont="1" applyFill="1" applyBorder="1"/>
    <xf numFmtId="43" fontId="13" fillId="14" borderId="52" xfId="0" applyNumberFormat="1" applyFont="1" applyFill="1" applyBorder="1"/>
    <xf numFmtId="186" fontId="13" fillId="0" borderId="0" xfId="2" applyNumberFormat="1" applyFont="1" applyFill="1"/>
    <xf numFmtId="2" fontId="0" fillId="0" borderId="0" xfId="2" applyNumberFormat="1" applyFont="1" applyFill="1" applyBorder="1"/>
    <xf numFmtId="10" fontId="6" fillId="0" borderId="52" xfId="2" applyNumberFormat="1" applyFont="1" applyBorder="1" applyAlignment="1">
      <alignment horizontal="center"/>
    </xf>
    <xf numFmtId="0" fontId="3" fillId="0" borderId="82" xfId="0" applyFont="1" applyBorder="1"/>
    <xf numFmtId="10" fontId="18" fillId="3" borderId="52" xfId="2" applyNumberFormat="1" applyFont="1" applyFill="1" applyBorder="1" applyAlignment="1"/>
    <xf numFmtId="166" fontId="3" fillId="0" borderId="82" xfId="2" applyNumberFormat="1" applyFont="1" applyBorder="1" applyAlignment="1"/>
    <xf numFmtId="166" fontId="0" fillId="0" borderId="52" xfId="2" applyNumberFormat="1" applyFont="1" applyBorder="1" applyAlignment="1"/>
    <xf numFmtId="0" fontId="0" fillId="0" borderId="2" xfId="0" applyBorder="1"/>
    <xf numFmtId="166" fontId="0" fillId="0" borderId="54" xfId="2" applyNumberFormat="1" applyFont="1" applyBorder="1" applyAlignment="1"/>
    <xf numFmtId="10" fontId="0" fillId="0" borderId="54" xfId="2" applyNumberFormat="1" applyFont="1" applyBorder="1" applyAlignment="1"/>
    <xf numFmtId="0" fontId="82" fillId="0" borderId="4" xfId="0" applyFont="1" applyBorder="1"/>
    <xf numFmtId="0" fontId="3" fillId="0" borderId="54" xfId="0" applyFont="1" applyBorder="1" applyAlignment="1">
      <alignment horizontal="center" wrapText="1"/>
    </xf>
    <xf numFmtId="44" fontId="0" fillId="3" borderId="52" xfId="4" applyFont="1" applyFill="1" applyBorder="1"/>
    <xf numFmtId="44" fontId="0" fillId="3" borderId="53" xfId="4" applyFont="1" applyFill="1" applyBorder="1"/>
    <xf numFmtId="9" fontId="3" fillId="0" borderId="0" xfId="2" applyFont="1"/>
    <xf numFmtId="43" fontId="13" fillId="14" borderId="13" xfId="0" applyNumberFormat="1" applyFont="1" applyFill="1" applyBorder="1"/>
    <xf numFmtId="164" fontId="3" fillId="22" borderId="16" xfId="0" applyNumberFormat="1" applyFont="1" applyFill="1" applyBorder="1" applyAlignment="1">
      <alignment wrapText="1"/>
    </xf>
    <xf numFmtId="164" fontId="0" fillId="0" borderId="16" xfId="0" applyNumberFormat="1" applyBorder="1" applyAlignment="1">
      <alignment wrapText="1"/>
    </xf>
    <xf numFmtId="0" fontId="0" fillId="0" borderId="52" xfId="0" applyBorder="1" applyAlignment="1">
      <alignment wrapText="1"/>
    </xf>
    <xf numFmtId="10" fontId="0" fillId="0" borderId="0" xfId="2" applyNumberFormat="1" applyFont="1" applyBorder="1" applyAlignment="1"/>
    <xf numFmtId="187" fontId="0" fillId="0" borderId="74" xfId="1" applyNumberFormat="1" applyFont="1" applyBorder="1" applyAlignment="1">
      <alignment horizontal="center"/>
    </xf>
    <xf numFmtId="187" fontId="0" fillId="0" borderId="4" xfId="1" applyNumberFormat="1" applyFont="1" applyBorder="1" applyAlignment="1">
      <alignment horizontal="center"/>
    </xf>
    <xf numFmtId="164" fontId="13" fillId="0" borderId="52" xfId="1" applyNumberFormat="1" applyFont="1" applyFill="1" applyBorder="1"/>
    <xf numFmtId="1" fontId="0" fillId="0" borderId="55" xfId="2" applyNumberFormat="1" applyFont="1" applyFill="1" applyBorder="1"/>
    <xf numFmtId="164" fontId="14" fillId="0" borderId="27" xfId="0" applyNumberFormat="1" applyFont="1" applyBorder="1"/>
    <xf numFmtId="3" fontId="0" fillId="0" borderId="0" xfId="1" applyNumberFormat="1" applyFont="1" applyBorder="1"/>
    <xf numFmtId="164" fontId="0" fillId="6" borderId="0" xfId="1" applyNumberFormat="1" applyFont="1" applyFill="1" applyBorder="1"/>
    <xf numFmtId="9" fontId="0" fillId="0" borderId="0" xfId="2" applyFont="1" applyBorder="1"/>
    <xf numFmtId="164" fontId="0" fillId="0" borderId="0" xfId="2" applyNumberFormat="1" applyFont="1" applyBorder="1"/>
    <xf numFmtId="2" fontId="0" fillId="0" borderId="0" xfId="2" applyNumberFormat="1" applyFont="1" applyBorder="1"/>
    <xf numFmtId="0" fontId="0" fillId="0" borderId="0" xfId="2" applyNumberFormat="1" applyFont="1" applyBorder="1"/>
    <xf numFmtId="183" fontId="0" fillId="0" borderId="0" xfId="1" applyNumberFormat="1" applyFont="1" applyBorder="1"/>
    <xf numFmtId="43" fontId="0" fillId="0" borderId="0" xfId="1" applyFont="1" applyBorder="1"/>
    <xf numFmtId="0" fontId="6" fillId="3" borderId="0" xfId="0" applyFont="1" applyFill="1" applyAlignment="1">
      <alignment horizontal="center"/>
    </xf>
    <xf numFmtId="0" fontId="0" fillId="0" borderId="27" xfId="0" applyBorder="1"/>
    <xf numFmtId="43" fontId="3" fillId="0" borderId="78" xfId="0" applyNumberFormat="1" applyFont="1" applyBorder="1"/>
    <xf numFmtId="164" fontId="6" fillId="0" borderId="0" xfId="0" applyNumberFormat="1" applyFont="1" applyAlignment="1">
      <alignment horizontal="center"/>
    </xf>
    <xf numFmtId="3" fontId="14" fillId="0" borderId="13" xfId="0" applyNumberFormat="1" applyFont="1" applyBorder="1"/>
    <xf numFmtId="166" fontId="0" fillId="0" borderId="13" xfId="2" applyNumberFormat="1" applyFont="1" applyBorder="1"/>
    <xf numFmtId="166" fontId="0" fillId="0" borderId="13" xfId="0" applyNumberFormat="1" applyBorder="1"/>
    <xf numFmtId="167" fontId="0" fillId="20" borderId="52" xfId="4" applyNumberFormat="1" applyFont="1" applyFill="1" applyBorder="1"/>
    <xf numFmtId="0" fontId="96" fillId="0" borderId="0" xfId="0" applyFont="1"/>
    <xf numFmtId="0" fontId="96" fillId="42" borderId="24" xfId="0" applyFont="1" applyFill="1" applyBorder="1" applyAlignment="1">
      <alignment wrapText="1"/>
    </xf>
    <xf numFmtId="0" fontId="61" fillId="42" borderId="33" xfId="0" applyFont="1" applyFill="1" applyBorder="1" applyAlignment="1">
      <alignment horizontal="center" wrapText="1"/>
    </xf>
    <xf numFmtId="0" fontId="61" fillId="42" borderId="25" xfId="0" applyFont="1" applyFill="1" applyBorder="1" applyAlignment="1">
      <alignment horizontal="center" wrapText="1"/>
    </xf>
    <xf numFmtId="0" fontId="98" fillId="42" borderId="3" xfId="0" applyFont="1" applyFill="1" applyBorder="1" applyAlignment="1">
      <alignment wrapText="1"/>
    </xf>
    <xf numFmtId="0" fontId="96" fillId="42" borderId="12" xfId="0" applyFont="1" applyFill="1" applyBorder="1"/>
    <xf numFmtId="0" fontId="99" fillId="42" borderId="61" xfId="0" applyFont="1" applyFill="1" applyBorder="1" applyAlignment="1">
      <alignment horizontal="center"/>
    </xf>
    <xf numFmtId="6" fontId="99" fillId="42" borderId="63" xfId="0" applyNumberFormat="1" applyFont="1" applyFill="1" applyBorder="1" applyAlignment="1">
      <alignment horizontal="center"/>
    </xf>
    <xf numFmtId="6" fontId="96" fillId="42" borderId="52" xfId="0" applyNumberFormat="1" applyFont="1" applyFill="1" applyBorder="1" applyAlignment="1">
      <alignment horizontal="center"/>
    </xf>
    <xf numFmtId="0" fontId="99" fillId="42" borderId="62" xfId="0" applyFont="1" applyFill="1" applyBorder="1" applyAlignment="1">
      <alignment horizontal="center"/>
    </xf>
    <xf numFmtId="10" fontId="99" fillId="42" borderId="63" xfId="0" applyNumberFormat="1" applyFont="1" applyFill="1" applyBorder="1" applyAlignment="1">
      <alignment horizontal="center"/>
    </xf>
    <xf numFmtId="10" fontId="96" fillId="42" borderId="52" xfId="0" applyNumberFormat="1" applyFont="1" applyFill="1" applyBorder="1" applyAlignment="1">
      <alignment horizontal="center"/>
    </xf>
    <xf numFmtId="9" fontId="99" fillId="42" borderId="62" xfId="0" applyNumberFormat="1" applyFont="1" applyFill="1" applyBorder="1" applyAlignment="1">
      <alignment horizontal="center"/>
    </xf>
    <xf numFmtId="9" fontId="99" fillId="42" borderId="63" xfId="2" applyFont="1" applyFill="1" applyBorder="1" applyAlignment="1">
      <alignment horizontal="center"/>
    </xf>
    <xf numFmtId="9" fontId="96" fillId="42" borderId="52" xfId="2" applyFont="1" applyFill="1" applyBorder="1" applyAlignment="1">
      <alignment horizontal="center"/>
    </xf>
    <xf numFmtId="0" fontId="96" fillId="42" borderId="59" xfId="0" applyFont="1" applyFill="1" applyBorder="1"/>
    <xf numFmtId="0" fontId="99" fillId="42" borderId="63" xfId="0" applyFont="1" applyFill="1" applyBorder="1" applyAlignment="1">
      <alignment horizontal="center"/>
    </xf>
    <xf numFmtId="0" fontId="96" fillId="42" borderId="52" xfId="0" applyFont="1" applyFill="1" applyBorder="1" applyAlignment="1">
      <alignment horizontal="center"/>
    </xf>
    <xf numFmtId="0" fontId="99" fillId="42" borderId="34" xfId="0" applyFont="1" applyFill="1" applyBorder="1" applyAlignment="1">
      <alignment horizontal="center"/>
    </xf>
    <xf numFmtId="0" fontId="98" fillId="42" borderId="12" xfId="0" applyFont="1" applyFill="1" applyBorder="1" applyAlignment="1">
      <alignment horizontal="left" indent="2"/>
    </xf>
    <xf numFmtId="171" fontId="61" fillId="42" borderId="34" xfId="4" applyNumberFormat="1" applyFont="1" applyFill="1" applyBorder="1" applyAlignment="1">
      <alignment horizontal="center"/>
    </xf>
    <xf numFmtId="171" fontId="99" fillId="42" borderId="34" xfId="4" applyNumberFormat="1" applyFont="1" applyFill="1" applyBorder="1" applyAlignment="1">
      <alignment horizontal="center"/>
    </xf>
    <xf numFmtId="0" fontId="100" fillId="42" borderId="12" xfId="0" quotePrefix="1" applyFont="1" applyFill="1" applyBorder="1" applyAlignment="1">
      <alignment horizontal="left" indent="2"/>
    </xf>
    <xf numFmtId="171" fontId="101" fillId="42" borderId="34" xfId="4" applyNumberFormat="1" applyFont="1" applyFill="1" applyBorder="1" applyAlignment="1">
      <alignment horizontal="center"/>
    </xf>
    <xf numFmtId="171" fontId="61" fillId="42" borderId="13" xfId="4" applyNumberFormat="1" applyFont="1" applyFill="1" applyBorder="1" applyAlignment="1">
      <alignment horizontal="center"/>
    </xf>
    <xf numFmtId="0" fontId="98" fillId="42" borderId="55" xfId="0" applyFont="1" applyFill="1" applyBorder="1" applyAlignment="1">
      <alignment horizontal="left" indent="2"/>
    </xf>
    <xf numFmtId="171" fontId="61" fillId="42" borderId="56" xfId="4" applyNumberFormat="1" applyFont="1" applyFill="1" applyBorder="1" applyAlignment="1">
      <alignment horizontal="center"/>
    </xf>
    <xf numFmtId="171" fontId="61" fillId="42" borderId="57" xfId="4" applyNumberFormat="1" applyFont="1" applyFill="1" applyBorder="1" applyAlignment="1">
      <alignment horizontal="center"/>
    </xf>
    <xf numFmtId="0" fontId="98" fillId="42" borderId="12" xfId="0" quotePrefix="1" applyFont="1" applyFill="1" applyBorder="1"/>
    <xf numFmtId="171" fontId="61" fillId="42" borderId="34" xfId="0" applyNumberFormat="1" applyFont="1" applyFill="1" applyBorder="1" applyAlignment="1">
      <alignment horizontal="center"/>
    </xf>
    <xf numFmtId="0" fontId="96" fillId="42" borderId="14" xfId="0" applyFont="1" applyFill="1" applyBorder="1"/>
    <xf numFmtId="10" fontId="99" fillId="42" borderId="36" xfId="2" applyNumberFormat="1" applyFont="1" applyFill="1" applyBorder="1" applyAlignment="1">
      <alignment horizontal="center"/>
    </xf>
    <xf numFmtId="164" fontId="96" fillId="0" borderId="0" xfId="0" applyNumberFormat="1" applyFont="1"/>
    <xf numFmtId="0" fontId="31" fillId="4" borderId="82" xfId="0" applyFont="1" applyFill="1" applyBorder="1" applyAlignment="1">
      <alignment horizontal="center" wrapText="1"/>
    </xf>
    <xf numFmtId="6" fontId="18" fillId="4" borderId="52" xfId="0" applyNumberFormat="1" applyFont="1" applyFill="1" applyBorder="1" applyAlignment="1">
      <alignment horizontal="center"/>
    </xf>
    <xf numFmtId="10" fontId="18" fillId="4" borderId="52" xfId="0" applyNumberFormat="1" applyFont="1" applyFill="1" applyBorder="1" applyAlignment="1">
      <alignment horizontal="center"/>
    </xf>
    <xf numFmtId="9" fontId="18" fillId="4" borderId="52" xfId="2" applyFont="1" applyFill="1" applyBorder="1" applyAlignment="1">
      <alignment horizontal="center"/>
    </xf>
    <xf numFmtId="0" fontId="18" fillId="4" borderId="52" xfId="0" applyFont="1" applyFill="1" applyBorder="1" applyAlignment="1">
      <alignment horizontal="center"/>
    </xf>
    <xf numFmtId="171" fontId="31" fillId="4" borderId="52" xfId="4" applyNumberFormat="1" applyFont="1" applyFill="1" applyBorder="1" applyAlignment="1">
      <alignment horizontal="center"/>
    </xf>
    <xf numFmtId="171" fontId="18" fillId="4" borderId="52" xfId="4" applyNumberFormat="1" applyFont="1" applyFill="1" applyBorder="1" applyAlignment="1">
      <alignment horizontal="center"/>
    </xf>
    <xf numFmtId="171" fontId="78" fillId="4" borderId="52" xfId="4" applyNumberFormat="1" applyFont="1" applyFill="1" applyBorder="1" applyAlignment="1">
      <alignment horizontal="center"/>
    </xf>
    <xf numFmtId="171" fontId="31" fillId="4" borderId="75" xfId="4" applyNumberFormat="1" applyFont="1" applyFill="1" applyBorder="1" applyAlignment="1">
      <alignment horizontal="center"/>
    </xf>
    <xf numFmtId="171" fontId="31" fillId="4" borderId="52" xfId="0" applyNumberFormat="1" applyFont="1" applyFill="1" applyBorder="1" applyAlignment="1">
      <alignment horizontal="center"/>
    </xf>
    <xf numFmtId="10" fontId="18" fillId="4" borderId="53" xfId="2" applyNumberFormat="1" applyFont="1" applyFill="1" applyBorder="1" applyAlignment="1">
      <alignment horizontal="center"/>
    </xf>
    <xf numFmtId="0" fontId="18" fillId="4" borderId="51" xfId="0" applyFont="1" applyFill="1" applyBorder="1" applyAlignment="1">
      <alignment horizontal="center"/>
    </xf>
    <xf numFmtId="9" fontId="18" fillId="4" borderId="52" xfId="0" applyNumberFormat="1" applyFont="1" applyFill="1" applyBorder="1" applyAlignment="1">
      <alignment horizontal="center"/>
    </xf>
    <xf numFmtId="6" fontId="18" fillId="4" borderId="83" xfId="0" applyNumberFormat="1" applyFont="1" applyFill="1" applyBorder="1" applyAlignment="1">
      <alignment horizontal="center"/>
    </xf>
    <xf numFmtId="10" fontId="18" fillId="4" borderId="83" xfId="0" applyNumberFormat="1" applyFont="1" applyFill="1" applyBorder="1" applyAlignment="1">
      <alignment horizontal="center"/>
    </xf>
    <xf numFmtId="9" fontId="18" fillId="4" borderId="83" xfId="2" applyFont="1" applyFill="1" applyBorder="1" applyAlignment="1">
      <alignment horizontal="center"/>
    </xf>
    <xf numFmtId="0" fontId="18" fillId="4" borderId="83" xfId="0" applyFont="1" applyFill="1" applyBorder="1" applyAlignment="1">
      <alignment horizontal="center"/>
    </xf>
    <xf numFmtId="0" fontId="18" fillId="4" borderId="13" xfId="0" applyFont="1" applyFill="1" applyBorder="1" applyAlignment="1">
      <alignment horizontal="center"/>
    </xf>
    <xf numFmtId="171" fontId="31" fillId="4" borderId="13" xfId="0" applyNumberFormat="1" applyFont="1" applyFill="1" applyBorder="1" applyAlignment="1">
      <alignment horizontal="center"/>
    </xf>
    <xf numFmtId="10" fontId="18" fillId="4" borderId="22" xfId="2" applyNumberFormat="1" applyFont="1" applyFill="1" applyBorder="1" applyAlignment="1">
      <alignment horizontal="center"/>
    </xf>
    <xf numFmtId="0" fontId="31" fillId="4" borderId="54" xfId="0" applyFont="1" applyFill="1" applyBorder="1" applyAlignment="1">
      <alignment horizontal="center" wrapText="1"/>
    </xf>
    <xf numFmtId="44" fontId="0" fillId="0" borderId="12" xfId="4" applyFont="1" applyBorder="1"/>
    <xf numFmtId="3" fontId="0" fillId="0" borderId="12" xfId="0" applyNumberFormat="1" applyBorder="1" applyAlignment="1">
      <alignment horizontal="right"/>
    </xf>
    <xf numFmtId="2" fontId="0" fillId="0" borderId="0" xfId="0" applyNumberFormat="1" applyAlignment="1">
      <alignment horizontal="center"/>
    </xf>
    <xf numFmtId="44" fontId="88" fillId="0" borderId="0" xfId="4" applyFont="1" applyAlignment="1">
      <alignment horizontal="center"/>
    </xf>
    <xf numFmtId="0" fontId="103" fillId="0" borderId="0" xfId="0" applyFont="1" applyAlignment="1">
      <alignment horizontal="center" wrapText="1"/>
    </xf>
    <xf numFmtId="0" fontId="13" fillId="0" borderId="0" xfId="0" applyFont="1" applyAlignment="1">
      <alignment horizontal="center"/>
    </xf>
    <xf numFmtId="10" fontId="13" fillId="0" borderId="0" xfId="0" applyNumberFormat="1" applyFont="1" applyAlignment="1">
      <alignment horizontal="center"/>
    </xf>
    <xf numFmtId="9" fontId="13" fillId="0" borderId="0" xfId="0" applyNumberFormat="1" applyFont="1" applyAlignment="1">
      <alignment horizontal="center"/>
    </xf>
    <xf numFmtId="9" fontId="13" fillId="3" borderId="0" xfId="0" applyNumberFormat="1" applyFont="1" applyFill="1" applyAlignment="1">
      <alignment horizontal="center"/>
    </xf>
    <xf numFmtId="9" fontId="13" fillId="3" borderId="0" xfId="2" applyFont="1" applyFill="1" applyAlignment="1">
      <alignment horizontal="center"/>
    </xf>
    <xf numFmtId="167" fontId="90" fillId="0" borderId="0" xfId="4" applyNumberFormat="1" applyFont="1" applyAlignment="1">
      <alignment horizontal="center"/>
    </xf>
    <xf numFmtId="166" fontId="90" fillId="0" borderId="0" xfId="0" applyNumberFormat="1" applyFont="1" applyAlignment="1">
      <alignment horizontal="center"/>
    </xf>
    <xf numFmtId="9" fontId="13" fillId="0" borderId="0" xfId="2" applyFont="1" applyFill="1" applyAlignment="1">
      <alignment horizontal="center"/>
    </xf>
    <xf numFmtId="166" fontId="13" fillId="0" borderId="0" xfId="2" applyNumberFormat="1" applyFont="1" applyFill="1" applyAlignment="1">
      <alignment horizontal="center"/>
    </xf>
    <xf numFmtId="44" fontId="13" fillId="0" borderId="0" xfId="0" applyNumberFormat="1" applyFont="1" applyAlignment="1">
      <alignment horizontal="center"/>
    </xf>
    <xf numFmtId="168" fontId="13" fillId="0" borderId="0" xfId="4" applyNumberFormat="1" applyFont="1" applyAlignment="1">
      <alignment horizontal="center"/>
    </xf>
    <xf numFmtId="0" fontId="13" fillId="3" borderId="0" xfId="0" applyFont="1" applyFill="1" applyAlignment="1">
      <alignment horizontal="center"/>
    </xf>
    <xf numFmtId="167" fontId="13" fillId="0" borderId="0" xfId="4" applyNumberFormat="1" applyFont="1" applyFill="1" applyAlignment="1">
      <alignment horizontal="center"/>
    </xf>
    <xf numFmtId="171" fontId="96" fillId="0" borderId="0" xfId="0" applyNumberFormat="1" applyFont="1"/>
    <xf numFmtId="186" fontId="33" fillId="0" borderId="0" xfId="2" applyNumberFormat="1" applyFont="1" applyAlignment="1">
      <alignment horizontal="center"/>
    </xf>
    <xf numFmtId="171" fontId="104" fillId="4" borderId="52" xfId="4" applyNumberFormat="1" applyFont="1" applyFill="1" applyBorder="1" applyAlignment="1">
      <alignment horizontal="center"/>
    </xf>
    <xf numFmtId="171" fontId="104" fillId="4" borderId="13" xfId="4" applyNumberFormat="1" applyFont="1" applyFill="1" applyBorder="1" applyAlignment="1">
      <alignment horizontal="center"/>
    </xf>
    <xf numFmtId="171" fontId="104" fillId="4" borderId="34" xfId="4" applyNumberFormat="1" applyFont="1" applyFill="1" applyBorder="1" applyAlignment="1">
      <alignment horizontal="center"/>
    </xf>
    <xf numFmtId="3" fontId="0" fillId="0" borderId="16" xfId="0" applyNumberFormat="1" applyBorder="1"/>
    <xf numFmtId="3" fontId="0" fillId="0" borderId="39" xfId="0" applyNumberFormat="1" applyBorder="1"/>
    <xf numFmtId="3" fontId="0" fillId="0" borderId="65" xfId="0" applyNumberFormat="1" applyBorder="1"/>
    <xf numFmtId="3" fontId="0" fillId="0" borderId="64" xfId="0" applyNumberFormat="1" applyBorder="1"/>
    <xf numFmtId="3" fontId="0" fillId="0" borderId="85" xfId="0" applyNumberFormat="1" applyBorder="1"/>
    <xf numFmtId="3" fontId="0" fillId="0" borderId="86" xfId="0" applyNumberFormat="1" applyBorder="1"/>
    <xf numFmtId="0" fontId="0" fillId="0" borderId="24" xfId="0" applyBorder="1" applyAlignment="1">
      <alignment wrapText="1"/>
    </xf>
    <xf numFmtId="0" fontId="0" fillId="0" borderId="78" xfId="0" applyBorder="1" applyAlignment="1">
      <alignment wrapText="1"/>
    </xf>
    <xf numFmtId="0" fontId="0" fillId="3" borderId="78" xfId="0" applyFill="1" applyBorder="1" applyAlignment="1">
      <alignment wrapText="1"/>
    </xf>
    <xf numFmtId="0" fontId="0" fillId="0" borderId="84" xfId="0" applyBorder="1" applyAlignment="1">
      <alignment wrapText="1"/>
    </xf>
    <xf numFmtId="0" fontId="39" fillId="15" borderId="16" xfId="6" applyFont="1" applyFill="1" applyBorder="1" applyAlignment="1">
      <alignment horizontal="center" vertical="center" wrapText="1"/>
    </xf>
    <xf numFmtId="0" fontId="38" fillId="0" borderId="16" xfId="6" applyFont="1" applyBorder="1" applyAlignment="1">
      <alignment horizontal="center" vertical="center"/>
    </xf>
    <xf numFmtId="0" fontId="25" fillId="15" borderId="16" xfId="6" applyFont="1" applyFill="1" applyBorder="1" applyAlignment="1">
      <alignment horizontal="center" vertical="center" wrapText="1"/>
    </xf>
    <xf numFmtId="0" fontId="35" fillId="0" borderId="16" xfId="6" applyBorder="1" applyAlignment="1">
      <alignment horizontal="center" vertical="center"/>
    </xf>
    <xf numFmtId="0" fontId="39" fillId="15" borderId="16" xfId="0" applyFont="1" applyFill="1" applyBorder="1" applyAlignment="1">
      <alignment horizontal="center" vertical="center" wrapText="1"/>
    </xf>
    <xf numFmtId="0" fontId="38" fillId="0" borderId="16" xfId="0" applyFont="1" applyBorder="1" applyAlignment="1">
      <alignment horizontal="center" vertical="center"/>
    </xf>
    <xf numFmtId="0" fontId="25" fillId="15" borderId="16" xfId="0" applyFont="1" applyFill="1" applyBorder="1" applyAlignment="1">
      <alignment horizontal="center" vertical="center" wrapText="1"/>
    </xf>
    <xf numFmtId="0" fontId="25" fillId="15" borderId="42" xfId="0" applyFont="1" applyFill="1" applyBorder="1" applyAlignment="1">
      <alignment horizontal="center" vertical="center" wrapText="1"/>
    </xf>
    <xf numFmtId="0" fontId="25" fillId="15" borderId="16" xfId="6" applyFont="1" applyFill="1" applyBorder="1" applyAlignment="1">
      <alignment horizontal="center" vertical="center"/>
    </xf>
    <xf numFmtId="0" fontId="25" fillId="15" borderId="42" xfId="6" applyFont="1" applyFill="1" applyBorder="1" applyAlignment="1">
      <alignment horizontal="center" vertical="center"/>
    </xf>
    <xf numFmtId="0" fontId="39" fillId="15" borderId="16" xfId="6" applyFont="1" applyFill="1" applyBorder="1" applyAlignment="1">
      <alignment horizontal="center" vertical="center"/>
    </xf>
    <xf numFmtId="164" fontId="0" fillId="0" borderId="87" xfId="0" applyNumberFormat="1" applyBorder="1"/>
    <xf numFmtId="0" fontId="0" fillId="43" borderId="67" xfId="0" applyFill="1" applyBorder="1" applyAlignment="1">
      <alignment horizontal="center" wrapText="1"/>
    </xf>
    <xf numFmtId="0" fontId="0" fillId="43" borderId="85" xfId="0" applyFill="1" applyBorder="1" applyAlignment="1">
      <alignment horizontal="center" wrapText="1"/>
    </xf>
    <xf numFmtId="0" fontId="0" fillId="43" borderId="39" xfId="0" applyFill="1" applyBorder="1" applyAlignment="1">
      <alignment horizontal="center" wrapText="1"/>
    </xf>
    <xf numFmtId="0" fontId="0" fillId="0" borderId="66" xfId="0" applyBorder="1"/>
    <xf numFmtId="164" fontId="0" fillId="0" borderId="65" xfId="0" applyNumberFormat="1" applyBorder="1"/>
    <xf numFmtId="0" fontId="0" fillId="0" borderId="68" xfId="0" applyBorder="1"/>
    <xf numFmtId="0" fontId="0" fillId="0" borderId="86" xfId="0" applyBorder="1"/>
    <xf numFmtId="164" fontId="0" fillId="0" borderId="86" xfId="0" applyNumberFormat="1" applyBorder="1"/>
    <xf numFmtId="164" fontId="0" fillId="0" borderId="64" xfId="0" applyNumberFormat="1" applyBorder="1"/>
    <xf numFmtId="9" fontId="0" fillId="0" borderId="16" xfId="2" applyFont="1" applyBorder="1"/>
    <xf numFmtId="9" fontId="0" fillId="0" borderId="86" xfId="2" applyFont="1" applyBorder="1"/>
    <xf numFmtId="43" fontId="35" fillId="0" borderId="0" xfId="6" applyNumberFormat="1"/>
    <xf numFmtId="167" fontId="3" fillId="0" borderId="0" xfId="0" applyNumberFormat="1" applyFont="1"/>
    <xf numFmtId="0" fontId="0" fillId="0" borderId="0" xfId="0" applyAlignment="1">
      <alignment horizontal="left" indent="1"/>
    </xf>
    <xf numFmtId="0" fontId="29" fillId="20" borderId="2" xfId="0" applyFont="1" applyFill="1" applyBorder="1" applyAlignment="1">
      <alignment horizontal="center" vertical="center"/>
    </xf>
    <xf numFmtId="0" fontId="29" fillId="20" borderId="60" xfId="0" applyFont="1" applyFill="1" applyBorder="1" applyAlignment="1">
      <alignment horizontal="center" vertical="center"/>
    </xf>
    <xf numFmtId="0" fontId="29" fillId="20" borderId="3" xfId="0" applyFont="1" applyFill="1" applyBorder="1" applyAlignment="1">
      <alignment horizontal="center" vertical="center"/>
    </xf>
    <xf numFmtId="0" fontId="77" fillId="5" borderId="2" xfId="0" applyFont="1" applyFill="1" applyBorder="1" applyAlignment="1">
      <alignment horizontal="center"/>
    </xf>
    <xf numFmtId="0" fontId="77" fillId="5" borderId="60" xfId="0" applyFont="1" applyFill="1" applyBorder="1" applyAlignment="1">
      <alignment horizontal="center"/>
    </xf>
    <xf numFmtId="0" fontId="77" fillId="5" borderId="3" xfId="0" applyFont="1" applyFill="1" applyBorder="1" applyAlignment="1">
      <alignment horizontal="center"/>
    </xf>
    <xf numFmtId="0" fontId="93" fillId="3" borderId="0" xfId="0" applyFont="1" applyFill="1" applyAlignment="1">
      <alignment horizontal="center"/>
    </xf>
    <xf numFmtId="6" fontId="18" fillId="14" borderId="31" xfId="0" applyNumberFormat="1" applyFont="1" applyFill="1" applyBorder="1" applyAlignment="1">
      <alignment horizontal="center"/>
    </xf>
    <xf numFmtId="6" fontId="18" fillId="14" borderId="32" xfId="0" applyNumberFormat="1" applyFont="1" applyFill="1" applyBorder="1" applyAlignment="1">
      <alignment horizontal="center"/>
    </xf>
    <xf numFmtId="0" fontId="95" fillId="40" borderId="2" xfId="0" applyFont="1" applyFill="1" applyBorder="1" applyAlignment="1">
      <alignment horizontal="center" vertical="center"/>
    </xf>
    <xf numFmtId="0" fontId="95" fillId="40" borderId="60" xfId="0" applyFont="1" applyFill="1" applyBorder="1" applyAlignment="1">
      <alignment horizontal="center" vertical="center"/>
    </xf>
    <xf numFmtId="0" fontId="95" fillId="40" borderId="3" xfId="0" applyFont="1" applyFill="1" applyBorder="1" applyAlignment="1">
      <alignment horizontal="center" vertical="center"/>
    </xf>
    <xf numFmtId="0" fontId="97" fillId="41" borderId="2" xfId="0" applyFont="1" applyFill="1" applyBorder="1" applyAlignment="1">
      <alignment horizontal="center"/>
    </xf>
    <xf numFmtId="0" fontId="97" fillId="41" borderId="60" xfId="0" applyFont="1" applyFill="1" applyBorder="1" applyAlignment="1">
      <alignment horizontal="center"/>
    </xf>
    <xf numFmtId="0" fontId="97" fillId="41" borderId="3" xfId="0" applyFont="1" applyFill="1" applyBorder="1" applyAlignment="1">
      <alignment horizontal="center"/>
    </xf>
    <xf numFmtId="9" fontId="18" fillId="14" borderId="7" xfId="2" applyFont="1" applyFill="1" applyBorder="1" applyAlignment="1">
      <alignment horizontal="center"/>
    </xf>
    <xf numFmtId="9" fontId="18" fillId="14" borderId="18" xfId="2" applyFont="1" applyFill="1" applyBorder="1" applyAlignment="1">
      <alignment horizontal="center"/>
    </xf>
    <xf numFmtId="10" fontId="18" fillId="14" borderId="7" xfId="0" applyNumberFormat="1" applyFont="1" applyFill="1" applyBorder="1" applyAlignment="1">
      <alignment horizontal="center"/>
    </xf>
    <xf numFmtId="10" fontId="18" fillId="14" borderId="18" xfId="0" applyNumberFormat="1" applyFont="1" applyFill="1" applyBorder="1" applyAlignment="1">
      <alignment horizontal="center"/>
    </xf>
    <xf numFmtId="0" fontId="18" fillId="14" borderId="7" xfId="0" applyFont="1" applyFill="1" applyBorder="1" applyAlignment="1">
      <alignment horizontal="center"/>
    </xf>
    <xf numFmtId="0" fontId="18" fillId="14" borderId="18" xfId="0" applyFont="1" applyFill="1" applyBorder="1" applyAlignment="1">
      <alignment horizontal="center"/>
    </xf>
    <xf numFmtId="6" fontId="18" fillId="14" borderId="69" xfId="0" applyNumberFormat="1" applyFont="1" applyFill="1" applyBorder="1" applyAlignment="1">
      <alignment horizontal="center"/>
    </xf>
    <xf numFmtId="10" fontId="18" fillId="14" borderId="13" xfId="0" applyNumberFormat="1" applyFont="1" applyFill="1" applyBorder="1" applyAlignment="1">
      <alignment horizontal="center"/>
    </xf>
    <xf numFmtId="9" fontId="18" fillId="14" borderId="13" xfId="2" applyFont="1" applyFill="1" applyBorder="1" applyAlignment="1">
      <alignment horizontal="center"/>
    </xf>
    <xf numFmtId="0" fontId="18" fillId="14" borderId="13" xfId="0" applyFont="1" applyFill="1" applyBorder="1" applyAlignment="1">
      <alignment horizontal="center"/>
    </xf>
    <xf numFmtId="0" fontId="0" fillId="20" borderId="0" xfId="0" applyFill="1" applyAlignment="1">
      <alignment horizontal="center" vertical="center" textRotation="90"/>
    </xf>
    <xf numFmtId="0" fontId="8" fillId="6" borderId="0" xfId="0" applyFont="1" applyFill="1" applyAlignment="1">
      <alignment horizontal="center" vertical="center" textRotation="90" wrapText="1"/>
    </xf>
    <xf numFmtId="0" fontId="0" fillId="0" borderId="0" xfId="0" applyAlignment="1">
      <alignment horizontal="center" wrapText="1"/>
    </xf>
    <xf numFmtId="0" fontId="0" fillId="0" borderId="2" xfId="0" applyBorder="1" applyAlignment="1">
      <alignment horizontal="center" vertical="center" wrapText="1"/>
    </xf>
    <xf numFmtId="0" fontId="0" fillId="0" borderId="29" xfId="0" applyBorder="1" applyAlignment="1">
      <alignment horizontal="center" vertical="center" wrapText="1"/>
    </xf>
    <xf numFmtId="0" fontId="39" fillId="15" borderId="16" xfId="6" applyFont="1" applyFill="1" applyBorder="1" applyAlignment="1">
      <alignment horizontal="center" vertical="center" wrapText="1"/>
    </xf>
    <xf numFmtId="0" fontId="38" fillId="0" borderId="16" xfId="6" applyFont="1" applyBorder="1" applyAlignment="1">
      <alignment horizontal="center" vertical="center"/>
    </xf>
    <xf numFmtId="0" fontId="35" fillId="0" borderId="16" xfId="6" applyBorder="1" applyAlignment="1">
      <alignment horizontal="center"/>
    </xf>
    <xf numFmtId="0" fontId="25" fillId="15" borderId="16" xfId="6" applyFont="1" applyFill="1" applyBorder="1" applyAlignment="1">
      <alignment horizontal="center" vertical="center" wrapText="1"/>
    </xf>
    <xf numFmtId="0" fontId="35" fillId="0" borderId="16" xfId="6" applyBorder="1" applyAlignment="1">
      <alignment horizontal="center" vertical="center"/>
    </xf>
    <xf numFmtId="0" fontId="35" fillId="0" borderId="16" xfId="6" applyBorder="1" applyAlignment="1">
      <alignment horizontal="center" vertical="center" wrapText="1"/>
    </xf>
    <xf numFmtId="0" fontId="25" fillId="15" borderId="42" xfId="6" applyFont="1" applyFill="1" applyBorder="1" applyAlignment="1">
      <alignment horizontal="center" vertical="center" wrapText="1"/>
    </xf>
    <xf numFmtId="0" fontId="25" fillId="15" borderId="41" xfId="6" applyFont="1" applyFill="1" applyBorder="1" applyAlignment="1">
      <alignment horizontal="center" vertical="center" wrapText="1"/>
    </xf>
    <xf numFmtId="0" fontId="25" fillId="15" borderId="43" xfId="6" applyFont="1" applyFill="1" applyBorder="1" applyAlignment="1">
      <alignment horizontal="center" vertical="center" wrapText="1"/>
    </xf>
    <xf numFmtId="0" fontId="25" fillId="8" borderId="16" xfId="6" applyFont="1" applyFill="1" applyBorder="1" applyAlignment="1">
      <alignment horizontal="center"/>
    </xf>
    <xf numFmtId="0" fontId="25" fillId="9" borderId="16" xfId="6" applyFont="1" applyFill="1" applyBorder="1" applyAlignment="1">
      <alignment horizontal="center" wrapText="1"/>
    </xf>
    <xf numFmtId="0" fontId="25" fillId="17" borderId="16" xfId="6" applyFont="1" applyFill="1" applyBorder="1" applyAlignment="1">
      <alignment horizontal="center"/>
    </xf>
    <xf numFmtId="0" fontId="0" fillId="0" borderId="0" xfId="0" applyAlignment="1">
      <alignment horizontal="center"/>
    </xf>
    <xf numFmtId="0" fontId="39" fillId="15" borderId="16" xfId="0" applyFont="1" applyFill="1" applyBorder="1" applyAlignment="1">
      <alignment horizontal="center" vertical="center" wrapText="1"/>
    </xf>
    <xf numFmtId="0" fontId="39" fillId="15" borderId="42" xfId="0" applyFont="1" applyFill="1" applyBorder="1" applyAlignment="1">
      <alignment horizontal="center" vertical="center" wrapText="1"/>
    </xf>
    <xf numFmtId="0" fontId="38" fillId="0" borderId="16" xfId="0" applyFont="1" applyBorder="1" applyAlignment="1">
      <alignment horizontal="center" vertical="center"/>
    </xf>
    <xf numFmtId="0" fontId="38" fillId="0" borderId="42" xfId="0" applyFont="1" applyBorder="1" applyAlignment="1">
      <alignment horizontal="center" vertical="center"/>
    </xf>
    <xf numFmtId="0" fontId="0" fillId="0" borderId="16" xfId="0" applyBorder="1" applyAlignment="1">
      <alignment horizontal="center"/>
    </xf>
    <xf numFmtId="0" fontId="39" fillId="15" borderId="43" xfId="0" applyFont="1" applyFill="1" applyBorder="1" applyAlignment="1">
      <alignment horizontal="center" vertical="center" wrapText="1"/>
    </xf>
    <xf numFmtId="0" fontId="38" fillId="0" borderId="43" xfId="0" applyFont="1" applyBorder="1" applyAlignment="1">
      <alignment horizontal="center" vertical="center"/>
    </xf>
    <xf numFmtId="0" fontId="39" fillId="15" borderId="41" xfId="0" applyFont="1" applyFill="1" applyBorder="1" applyAlignment="1">
      <alignment horizontal="center" vertical="center" wrapText="1"/>
    </xf>
    <xf numFmtId="0" fontId="38" fillId="0" borderId="41" xfId="0" applyFont="1" applyBorder="1" applyAlignment="1">
      <alignment horizontal="center" vertical="center"/>
    </xf>
    <xf numFmtId="0" fontId="25" fillId="15" borderId="16" xfId="0" applyFont="1" applyFill="1" applyBorder="1" applyAlignment="1">
      <alignment horizontal="center" vertical="center" wrapText="1"/>
    </xf>
    <xf numFmtId="0" fontId="25" fillId="15" borderId="42" xfId="0" applyFont="1" applyFill="1" applyBorder="1" applyAlignment="1">
      <alignment horizontal="center" vertical="center" wrapText="1"/>
    </xf>
    <xf numFmtId="0" fontId="25" fillId="15" borderId="41" xfId="0" applyFont="1" applyFill="1" applyBorder="1" applyAlignment="1">
      <alignment horizontal="center" vertical="center" wrapText="1"/>
    </xf>
    <xf numFmtId="0" fontId="25" fillId="15" borderId="43" xfId="0" applyFont="1" applyFill="1" applyBorder="1" applyAlignment="1">
      <alignment horizontal="center" vertical="center" wrapText="1"/>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43" xfId="0" applyBorder="1" applyAlignment="1">
      <alignment horizontal="center" vertical="center"/>
    </xf>
    <xf numFmtId="0" fontId="25" fillId="15" borderId="32" xfId="0" applyFont="1" applyFill="1" applyBorder="1" applyAlignment="1">
      <alignment horizontal="center" vertical="center" wrapText="1"/>
    </xf>
    <xf numFmtId="0" fontId="25" fillId="15" borderId="18" xfId="0" applyFont="1" applyFill="1" applyBorder="1" applyAlignment="1">
      <alignment horizontal="center" vertical="center" wrapText="1"/>
    </xf>
    <xf numFmtId="0" fontId="25" fillId="15" borderId="19"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25" fillId="8" borderId="16" xfId="0" applyFont="1" applyFill="1" applyBorder="1" applyAlignment="1">
      <alignment horizontal="center"/>
    </xf>
    <xf numFmtId="0" fontId="25" fillId="9" borderId="5" xfId="0" applyFont="1" applyFill="1" applyBorder="1" applyAlignment="1">
      <alignment horizontal="center" wrapText="1"/>
    </xf>
    <xf numFmtId="0" fontId="25" fillId="9" borderId="20" xfId="0" applyFont="1" applyFill="1" applyBorder="1" applyAlignment="1">
      <alignment horizontal="center" wrapText="1"/>
    </xf>
    <xf numFmtId="0" fontId="25" fillId="17" borderId="8" xfId="0" applyFont="1" applyFill="1" applyBorder="1" applyAlignment="1">
      <alignment horizontal="center"/>
    </xf>
    <xf numFmtId="0" fontId="25" fillId="17" borderId="4" xfId="0" applyFont="1" applyFill="1" applyBorder="1" applyAlignment="1">
      <alignment horizontal="center"/>
    </xf>
    <xf numFmtId="0" fontId="25" fillId="17" borderId="28" xfId="0" applyFont="1" applyFill="1" applyBorder="1" applyAlignment="1">
      <alignment horizontal="center"/>
    </xf>
    <xf numFmtId="0" fontId="35" fillId="0" borderId="42" xfId="6" applyBorder="1" applyAlignment="1">
      <alignment horizontal="center" vertical="center" wrapText="1"/>
    </xf>
    <xf numFmtId="0" fontId="35" fillId="0" borderId="41" xfId="6" applyBorder="1" applyAlignment="1">
      <alignment horizontal="center" vertical="center" wrapText="1"/>
    </xf>
    <xf numFmtId="0" fontId="35" fillId="0" borderId="43" xfId="6" applyBorder="1" applyAlignment="1">
      <alignment horizontal="center" vertical="center" wrapText="1"/>
    </xf>
    <xf numFmtId="0" fontId="25" fillId="9" borderId="5" xfId="6" applyFont="1" applyFill="1" applyBorder="1" applyAlignment="1">
      <alignment horizontal="center" wrapText="1"/>
    </xf>
    <xf numFmtId="0" fontId="25" fillId="9" borderId="20" xfId="6" applyFont="1" applyFill="1" applyBorder="1" applyAlignment="1">
      <alignment horizontal="center" wrapText="1"/>
    </xf>
    <xf numFmtId="0" fontId="25" fillId="17" borderId="8" xfId="6" applyFont="1" applyFill="1" applyBorder="1" applyAlignment="1">
      <alignment horizontal="center"/>
    </xf>
    <xf numFmtId="0" fontId="25" fillId="17" borderId="4" xfId="6" applyFont="1" applyFill="1" applyBorder="1" applyAlignment="1">
      <alignment horizontal="center"/>
    </xf>
    <xf numFmtId="0" fontId="25" fillId="17" borderId="28" xfId="6" applyFont="1" applyFill="1" applyBorder="1" applyAlignment="1">
      <alignment horizontal="center"/>
    </xf>
    <xf numFmtId="0" fontId="25" fillId="15" borderId="16" xfId="6" applyFont="1" applyFill="1" applyBorder="1" applyAlignment="1">
      <alignment horizontal="center" vertical="center"/>
    </xf>
    <xf numFmtId="0" fontId="35" fillId="0" borderId="42" xfId="6" applyBorder="1" applyAlignment="1">
      <alignment horizontal="center" vertical="center"/>
    </xf>
    <xf numFmtId="0" fontId="35" fillId="0" borderId="41" xfId="6" applyBorder="1" applyAlignment="1">
      <alignment horizontal="center" vertical="center"/>
    </xf>
    <xf numFmtId="0" fontId="35" fillId="0" borderId="43" xfId="6" applyBorder="1" applyAlignment="1">
      <alignment horizontal="center" vertical="center"/>
    </xf>
    <xf numFmtId="0" fontId="25" fillId="15" borderId="32" xfId="6" applyFont="1" applyFill="1" applyBorder="1" applyAlignment="1">
      <alignment horizontal="center" vertical="center"/>
    </xf>
    <xf numFmtId="0" fontId="25" fillId="15" borderId="18" xfId="6" applyFont="1" applyFill="1" applyBorder="1" applyAlignment="1">
      <alignment horizontal="center" vertical="center"/>
    </xf>
    <xf numFmtId="0" fontId="25" fillId="15" borderId="19" xfId="6" applyFont="1" applyFill="1" applyBorder="1" applyAlignment="1">
      <alignment horizontal="center" vertical="center"/>
    </xf>
    <xf numFmtId="0" fontId="25" fillId="15" borderId="42" xfId="6" applyFont="1" applyFill="1" applyBorder="1" applyAlignment="1">
      <alignment horizontal="center" vertical="center"/>
    </xf>
    <xf numFmtId="0" fontId="25" fillId="15" borderId="41" xfId="6" applyFont="1" applyFill="1" applyBorder="1" applyAlignment="1">
      <alignment horizontal="center" vertical="center"/>
    </xf>
    <xf numFmtId="0" fontId="25" fillId="15" borderId="43" xfId="6" applyFont="1" applyFill="1" applyBorder="1" applyAlignment="1">
      <alignment horizontal="center" vertical="center"/>
    </xf>
    <xf numFmtId="0" fontId="38" fillId="0" borderId="42" xfId="6" applyFont="1" applyBorder="1" applyAlignment="1">
      <alignment horizontal="center" vertical="center"/>
    </xf>
    <xf numFmtId="0" fontId="38" fillId="0" borderId="41" xfId="6" applyFont="1" applyBorder="1" applyAlignment="1">
      <alignment horizontal="center" vertical="center"/>
    </xf>
    <xf numFmtId="0" fontId="38" fillId="0" borderId="43" xfId="6" applyFont="1" applyBorder="1" applyAlignment="1">
      <alignment horizontal="center" vertical="center"/>
    </xf>
    <xf numFmtId="0" fontId="39" fillId="15" borderId="16" xfId="6" applyFont="1" applyFill="1" applyBorder="1" applyAlignment="1">
      <alignment horizontal="center" vertical="center"/>
    </xf>
    <xf numFmtId="3" fontId="0" fillId="3" borderId="0" xfId="0" applyNumberFormat="1" applyFill="1"/>
  </cellXfs>
  <cellStyles count="57">
    <cellStyle name="Assumption" xfId="15" xr:uid="{01D292B0-2DF7-4633-BB42-3C03FF763710}"/>
    <cellStyle name="Blank" xfId="29" xr:uid="{0FCECAC5-BA11-4212-BC2A-5DA14AB29ECE}"/>
    <cellStyle name="Check" xfId="30" xr:uid="{3605D4B5-82B2-4717-9115-7EEB4096FBB6}"/>
    <cellStyle name="Comma" xfId="1" builtinId="3"/>
    <cellStyle name="Comma [0] 2" xfId="45" xr:uid="{E0809935-93A3-411B-A120-F5B76D162BE7}"/>
    <cellStyle name="Comma 2" xfId="9" xr:uid="{145E1B1B-456C-4274-8DD0-540B92EEBD59}"/>
    <cellStyle name="Comma 2 2" xfId="44" xr:uid="{8763250E-8A13-426D-9002-9CC03093CF79}"/>
    <cellStyle name="Comma 3" xfId="55" xr:uid="{84EFE0D7-9437-45CB-9424-82558E6D05E2}"/>
    <cellStyle name="Currency" xfId="4" builtinId="4"/>
    <cellStyle name="Currency 2" xfId="7" xr:uid="{98BEA90F-3BEE-4D6C-8B02-BF97A3EB9B1A}"/>
    <cellStyle name="Description" xfId="22" xr:uid="{51B5A4AE-A732-480E-811B-1D51281E17C1}"/>
    <cellStyle name="Flag" xfId="47" xr:uid="{10FFC07D-16F9-447B-AAB5-1A24FBA3B68E}"/>
    <cellStyle name="Good" xfId="5" builtinId="26" customBuiltin="1"/>
    <cellStyle name="Head0" xfId="21" xr:uid="{59A24E44-4495-497B-A2C2-7B64CC0D8714}"/>
    <cellStyle name="Header1" xfId="23" xr:uid="{8BC977F4-DEF3-4F6A-A7FD-F498AE65E6DD}"/>
    <cellStyle name="Header1 2" xfId="38" xr:uid="{7F328940-224B-4136-B704-8DA9A8D89CCB}"/>
    <cellStyle name="Header2" xfId="24" xr:uid="{6EF2CC61-CB8F-4F6A-96A8-10603F05982F}"/>
    <cellStyle name="Header2 2" xfId="39" xr:uid="{44578500-1BF0-4158-BDF7-456BFCCCD14E}"/>
    <cellStyle name="Header3" xfId="25" xr:uid="{1236339B-3F03-4C80-80E5-4B5CF221491A}"/>
    <cellStyle name="Header3 2" xfId="40" xr:uid="{C5472B46-43EE-4F98-8C13-FC4A0E2D7808}"/>
    <cellStyle name="Hyperlink" xfId="56" builtinId="8"/>
    <cellStyle name="Hyperlink 2" xfId="10" xr:uid="{2C5CBA4C-7AB0-4DEB-AFE9-1DD1D5FE3BE4}"/>
    <cellStyle name="Input" xfId="3" builtinId="20"/>
    <cellStyle name="InSheet" xfId="52" xr:uid="{AEEA0F2E-440A-4359-8B7A-329A42D092E7}"/>
    <cellStyle name="Line_Calc" xfId="33" xr:uid="{CAE2489C-1F3F-475D-904D-C5AB30715BBA}"/>
    <cellStyle name="Link" xfId="26" xr:uid="{88FFEAAE-AC25-44D5-8BD3-838F1839CFD3}"/>
    <cellStyle name="Link 2" xfId="41" xr:uid="{B762EC1A-4487-46C2-BA85-DD889C95C275}"/>
    <cellStyle name="Link 3" xfId="53" xr:uid="{7DD97260-9A7D-470A-B7A8-E64E4F6D625F}"/>
    <cellStyle name="Linkin" xfId="31" xr:uid="{34993D69-89A8-4342-A4BF-9BF96A9681C8}"/>
    <cellStyle name="Linkin 2" xfId="43" xr:uid="{1EC6F224-16D1-4D0E-AE39-856DB722F8BD}"/>
    <cellStyle name="Linkout" xfId="32" xr:uid="{2FB4D642-4293-4EE7-B413-2B44C039769E}"/>
    <cellStyle name="Normal" xfId="0" builtinId="0"/>
    <cellStyle name="Normal 2" xfId="6" xr:uid="{43992D82-9723-403D-8A7E-B1F7967936A0}"/>
    <cellStyle name="Normal 2 2" xfId="13" xr:uid="{D76710E8-A6FD-4FAF-A76C-C00626038BBA}"/>
    <cellStyle name="Normal 2 3" xfId="12" xr:uid="{59B09E69-69E6-47A2-9C82-072975E4C020}"/>
    <cellStyle name="Normal 3" xfId="20" xr:uid="{0D1FD449-0CDA-453B-93C9-7971ABF1C691}"/>
    <cellStyle name="Normal 4" xfId="11" xr:uid="{7B33467C-C556-4B78-9E06-EFA8458773F3}"/>
    <cellStyle name="Output 2" xfId="28" xr:uid="{EEC4C5DE-CEFD-4572-B5A3-8DD1E2300EB2}"/>
    <cellStyle name="Output 2 2" xfId="42" xr:uid="{19EB78D7-4308-4DC9-A6DB-83F289067755}"/>
    <cellStyle name="Percent" xfId="2" builtinId="5"/>
    <cellStyle name="Percent 2" xfId="8" xr:uid="{40BCF1A8-4DCF-4F91-9A64-8737221EA31C}"/>
    <cellStyle name="Percent 2 2" xfId="50" xr:uid="{5E7D71AB-1FB3-4A59-9885-8012D796CEF2}"/>
    <cellStyle name="Percent 2 3" xfId="46" xr:uid="{6F487D10-D126-468E-8CE9-69CC53E95621}"/>
    <cellStyle name="Percent 3" xfId="18" xr:uid="{84FCD171-953E-49EB-919A-568DF720DF73}"/>
    <cellStyle name="Ratio" xfId="51" xr:uid="{380D6234-DF0A-45B1-A3AB-CB66C1BDFEB2}"/>
    <cellStyle name="Section Title" xfId="49" xr:uid="{02335A3A-CE4C-4529-9707-29D795A63F8E}"/>
    <cellStyle name="SheetSub" xfId="14" xr:uid="{D84023AD-B95D-4F20-AC25-C6F161E5C3DE}"/>
    <cellStyle name="SheetTop" xfId="19" xr:uid="{9B2B1134-44D1-4914-9E63-5641FED13A8B}"/>
    <cellStyle name="Style 1" xfId="48" xr:uid="{70788249-BF0C-4CFF-9EFD-134CDBDF4630}"/>
    <cellStyle name="Table" xfId="16" xr:uid="{26587EB0-6DDD-4B8B-BC2C-123B20CC633B}"/>
    <cellStyle name="Table 2" xfId="54" xr:uid="{C5030A9A-37E8-43D5-BE32-950A331D4FEC}"/>
    <cellStyle name="Technical_Input" xfId="27" xr:uid="{6C2BC6A7-BF62-40E9-B7B4-CA3219DABF87}"/>
    <cellStyle name="TrainCalc" xfId="36" xr:uid="{026A0996-26E6-4FC8-85FB-F21EAF0ECA25}"/>
    <cellStyle name="TrainInp" xfId="35" xr:uid="{25C14F08-A5DC-4122-88B3-8F9D32B43B1B}"/>
    <cellStyle name="TrainOut" xfId="37" xr:uid="{C6AD8AF3-5B10-42A1-AAE6-47790EB89E74}"/>
    <cellStyle name="unit" xfId="17" xr:uid="{799E8CC5-B92F-491A-8FA2-898DE0C7CBDA}"/>
    <cellStyle name="Value_Paste" xfId="34" xr:uid="{6FA01CAB-CF0C-48EB-B213-165A10C4A49B}"/>
  </cellStyles>
  <dxfs count="9">
    <dxf>
      <numFmt numFmtId="167" formatCode="_(&quot;$&quot;* #,##0_);_(&quot;$&quot;* \(#,##0\);_(&quot;$&quot;* &quot;-&quot;??_);_(@_)"/>
    </dxf>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 Consolidated RES Model (Final).xlsx]Current Run &amp; Summary Results!PivotTable1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Cost</a:t>
            </a:r>
            <a:r>
              <a:rPr lang="en-US" baseline="0"/>
              <a:t> of RES 2022-2031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pivotFmt>
      <c:pivotFmt>
        <c:idx val="2"/>
        <c:spPr>
          <a:solidFill>
            <a:schemeClr val="accent2"/>
          </a:solidFill>
          <a:ln>
            <a:noFill/>
          </a:ln>
          <a:effectLst/>
        </c:spPr>
      </c:pivotFmt>
      <c:pivotFmt>
        <c:idx val="3"/>
        <c:spPr>
          <a:pattFill prst="pct60">
            <a:fgClr>
              <a:srgbClr val="FFC000"/>
            </a:fgClr>
            <a:bgClr>
              <a:schemeClr val="bg1"/>
            </a:bgClr>
          </a:pattFill>
          <a:ln>
            <a:noFill/>
          </a:ln>
          <a:effectLst/>
        </c:spPr>
      </c:pivotFmt>
      <c:pivotFmt>
        <c:idx val="4"/>
        <c:spPr>
          <a:pattFill prst="pct60">
            <a:fgClr>
              <a:srgbClr val="FFC000"/>
            </a:fgClr>
            <a:bgClr>
              <a:schemeClr val="bg1"/>
            </a:bgClr>
          </a:pattFill>
          <a:ln>
            <a:noFill/>
          </a:ln>
          <a:effectLst/>
        </c:spPr>
      </c:pivotFmt>
      <c:pivotFmt>
        <c:idx val="5"/>
        <c:spPr>
          <a:solidFill>
            <a:schemeClr val="accent6">
              <a:lumMod val="75000"/>
            </a:schemeClr>
          </a:solidFill>
          <a:ln>
            <a:noFill/>
          </a:ln>
          <a:effectLst/>
        </c:spPr>
      </c:pivotFmt>
      <c:pivotFmt>
        <c:idx val="6"/>
        <c:spPr>
          <a:pattFill prst="pct60">
            <a:fgClr>
              <a:schemeClr val="accent6">
                <a:lumMod val="75000"/>
              </a:schemeClr>
            </a:fgClr>
            <a:bgClr>
              <a:schemeClr val="bg1"/>
            </a:bgClr>
          </a:patt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pattFill prst="pct60">
            <a:fgClr>
              <a:schemeClr val="accent2"/>
            </a:fgClr>
            <a:bgClr>
              <a:schemeClr val="bg1"/>
            </a:bgClr>
          </a:pattFill>
          <a:ln>
            <a:noFill/>
          </a:ln>
          <a:effectLst/>
        </c:spPr>
      </c:pivotFmt>
      <c:pivotFmt>
        <c:idx val="10"/>
        <c:spPr>
          <a:pattFill prst="pct60">
            <a:fgClr>
              <a:schemeClr val="accent2"/>
            </a:fgClr>
            <a:bgClr>
              <a:schemeClr val="bg1"/>
            </a:bgClr>
          </a:pattFill>
          <a:ln>
            <a:noFill/>
          </a:ln>
          <a:effectLst/>
        </c:spPr>
      </c:pivotFmt>
      <c:pivotFmt>
        <c:idx val="11"/>
        <c:spPr>
          <a:solidFill>
            <a:schemeClr val="accent1">
              <a:lumMod val="50000"/>
            </a:schemeClr>
          </a:solidFill>
          <a:ln>
            <a:noFill/>
          </a:ln>
          <a:effectLst/>
        </c:spPr>
      </c:pivotFmt>
      <c:pivotFmt>
        <c:idx val="12"/>
        <c:spPr>
          <a:solidFill>
            <a:schemeClr val="accent1">
              <a:lumMod val="50000"/>
            </a:schemeClr>
          </a:solidFill>
          <a:ln>
            <a:noFill/>
          </a:ln>
          <a:effectLst/>
        </c:spPr>
      </c:pivotFmt>
      <c:pivotFmt>
        <c:idx val="13"/>
        <c:spPr>
          <a:solidFill>
            <a:schemeClr val="accent6">
              <a:lumMod val="75000"/>
            </a:schemeClr>
          </a:solidFill>
          <a:ln>
            <a:noFill/>
          </a:ln>
          <a:effectLst/>
        </c:spPr>
      </c:pivotFmt>
      <c:pivotFmt>
        <c:idx val="14"/>
        <c:spPr>
          <a:solidFill>
            <a:schemeClr val="accent6">
              <a:lumMod val="50000"/>
            </a:schemeClr>
          </a:solidFill>
          <a:ln>
            <a:noFill/>
          </a:ln>
          <a:effectLst/>
        </c:spPr>
      </c:pivotFmt>
    </c:pivotFmts>
    <c:plotArea>
      <c:layout/>
      <c:barChart>
        <c:barDir val="col"/>
        <c:grouping val="clustered"/>
        <c:varyColors val="0"/>
        <c:ser>
          <c:idx val="0"/>
          <c:order val="0"/>
          <c:tx>
            <c:strRef>
              <c:f>'Current Run &amp; Summary Results'!$C$117</c:f>
              <c:strCache>
                <c:ptCount val="1"/>
                <c:pt idx="0">
                  <c:v>Total</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2-38B8-4F0E-9DFA-24AC4852542D}"/>
              </c:ext>
            </c:extLst>
          </c:dPt>
          <c:dPt>
            <c:idx val="1"/>
            <c:invertIfNegative val="0"/>
            <c:bubble3D val="0"/>
            <c:spPr>
              <a:solidFill>
                <a:schemeClr val="accent1">
                  <a:lumMod val="50000"/>
                </a:schemeClr>
              </a:solidFill>
              <a:ln>
                <a:noFill/>
              </a:ln>
              <a:effectLst/>
            </c:spPr>
            <c:extLst>
              <c:ext xmlns:c16="http://schemas.microsoft.com/office/drawing/2014/chart" uri="{C3380CC4-5D6E-409C-BE32-E72D297353CC}">
                <c16:uniqueId val="{00000004-38B8-4F0E-9DFA-24AC4852542D}"/>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6-38B8-4F0E-9DFA-24AC4852542D}"/>
              </c:ext>
            </c:extLst>
          </c:dPt>
          <c:dPt>
            <c:idx val="3"/>
            <c:invertIfNegative val="0"/>
            <c:bubble3D val="0"/>
            <c:spPr>
              <a:solidFill>
                <a:schemeClr val="accent6">
                  <a:lumMod val="50000"/>
                </a:schemeClr>
              </a:solidFill>
              <a:ln>
                <a:noFill/>
              </a:ln>
              <a:effectLst/>
            </c:spPr>
            <c:extLst>
              <c:ext xmlns:c16="http://schemas.microsoft.com/office/drawing/2014/chart" uri="{C3380CC4-5D6E-409C-BE32-E72D297353CC}">
                <c16:uniqueId val="{00000007-38B8-4F0E-9DFA-24AC4852542D}"/>
              </c:ext>
            </c:extLst>
          </c:dPt>
          <c:dPt>
            <c:idx val="4"/>
            <c:invertIfNegative val="0"/>
            <c:bubble3D val="0"/>
            <c:extLst>
              <c:ext xmlns:c16="http://schemas.microsoft.com/office/drawing/2014/chart" uri="{C3380CC4-5D6E-409C-BE32-E72D297353CC}">
                <c16:uniqueId val="{00000003-38B8-4F0E-9DFA-24AC4852542D}"/>
              </c:ext>
            </c:extLst>
          </c:dPt>
          <c:dPt>
            <c:idx val="5"/>
            <c:invertIfNegative val="0"/>
            <c:bubble3D val="0"/>
            <c:spPr>
              <a:solidFill>
                <a:schemeClr val="accent1">
                  <a:lumMod val="50000"/>
                </a:schemeClr>
              </a:solidFill>
              <a:ln>
                <a:noFill/>
              </a:ln>
              <a:effectLst/>
            </c:spPr>
            <c:extLst>
              <c:ext xmlns:c16="http://schemas.microsoft.com/office/drawing/2014/chart" uri="{C3380CC4-5D6E-409C-BE32-E72D297353CC}">
                <c16:uniqueId val="{00000005-38B8-4F0E-9DFA-24AC4852542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'Current Run &amp; Summary Results'!$B$118:$B$126</c:f>
              <c:multiLvlStrCache>
                <c:ptCount val="6"/>
                <c:lvl>
                  <c:pt idx="0">
                    <c:v>BAU</c:v>
                  </c:pt>
                  <c:pt idx="1">
                    <c:v>CAP</c:v>
                  </c:pt>
                  <c:pt idx="2">
                    <c:v>BAU</c:v>
                  </c:pt>
                  <c:pt idx="3">
                    <c:v>CAP</c:v>
                  </c:pt>
                  <c:pt idx="4">
                    <c:v>BAU</c:v>
                  </c:pt>
                  <c:pt idx="5">
                    <c:v>CAP</c:v>
                  </c:pt>
                </c:lvl>
                <c:lvl>
                  <c:pt idx="0">
                    <c:v>Lower Bound</c:v>
                  </c:pt>
                  <c:pt idx="2">
                    <c:v>Likely Cost</c:v>
                  </c:pt>
                  <c:pt idx="4">
                    <c:v>Upper Bound</c:v>
                  </c:pt>
                </c:lvl>
              </c:multiLvlStrCache>
            </c:multiLvlStrRef>
          </c:cat>
          <c:val>
            <c:numRef>
              <c:f>'Current Run &amp; Summary Results'!$C$118:$C$126</c:f>
              <c:numCache>
                <c:formatCode>_("$"* #,##0_);_("$"* \(#,##0\);_("$"* "-"??_);_(@_)</c:formatCode>
                <c:ptCount val="6"/>
                <c:pt idx="0">
                  <c:v>137000000</c:v>
                </c:pt>
                <c:pt idx="1">
                  <c:v>159000000</c:v>
                </c:pt>
                <c:pt idx="2">
                  <c:v>147000000</c:v>
                </c:pt>
                <c:pt idx="3">
                  <c:v>178000000</c:v>
                </c:pt>
                <c:pt idx="4">
                  <c:v>271000000</c:v>
                </c:pt>
                <c:pt idx="5">
                  <c:v>325000000</c:v>
                </c:pt>
              </c:numCache>
            </c:numRef>
          </c:val>
          <c:extLst>
            <c:ext xmlns:c16="http://schemas.microsoft.com/office/drawing/2014/chart" uri="{C3380CC4-5D6E-409C-BE32-E72D297353CC}">
              <c16:uniqueId val="{00000000-38B8-4F0E-9DFA-24AC4852542D}"/>
            </c:ext>
          </c:extLst>
        </c:ser>
        <c:dLbls>
          <c:showLegendKey val="0"/>
          <c:showVal val="0"/>
          <c:showCatName val="0"/>
          <c:showSerName val="0"/>
          <c:showPercent val="0"/>
          <c:showBubbleSize val="0"/>
        </c:dLbls>
        <c:gapWidth val="219"/>
        <c:overlap val="-27"/>
        <c:axId val="889669208"/>
        <c:axId val="889675112"/>
      </c:barChart>
      <c:catAx>
        <c:axId val="88966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675112"/>
        <c:crosses val="autoZero"/>
        <c:auto val="1"/>
        <c:lblAlgn val="ctr"/>
        <c:lblOffset val="100"/>
        <c:noMultiLvlLbl val="0"/>
      </c:catAx>
      <c:valAx>
        <c:axId val="889675112"/>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9669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Annual</a:t>
            </a:r>
            <a:r>
              <a:rPr lang="en-US" baseline="0"/>
              <a:t> RES CO2 Savings (all Tiers)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emissions!$Q$80</c:f>
              <c:strCache>
                <c:ptCount val="1"/>
                <c:pt idx="0">
                  <c:v>PSD Adjusted BAU Scenario</c:v>
                </c:pt>
              </c:strCache>
            </c:strRef>
          </c:tx>
          <c:spPr>
            <a:solidFill>
              <a:schemeClr val="accent6">
                <a:lumMod val="75000"/>
              </a:schemeClr>
            </a:solidFill>
            <a:ln>
              <a:noFill/>
            </a:ln>
            <a:effectLst/>
          </c:spPr>
          <c:invertIfNegative val="0"/>
          <c:cat>
            <c:numRef>
              <c:f>emissions!$R$79:$AA$79</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emissions!$R$80:$AA$80</c:f>
              <c:numCache>
                <c:formatCode>_(* #,##0_);_(* \(#,##0\);_(* "-"??_);_(@_)</c:formatCode>
                <c:ptCount val="10"/>
                <c:pt idx="0">
                  <c:v>530259.95295284467</c:v>
                </c:pt>
                <c:pt idx="1">
                  <c:v>630061.00104340224</c:v>
                </c:pt>
                <c:pt idx="2">
                  <c:v>650685.7680375214</c:v>
                </c:pt>
                <c:pt idx="3">
                  <c:v>670770.7972800266</c:v>
                </c:pt>
                <c:pt idx="4">
                  <c:v>772295.07065666025</c:v>
                </c:pt>
                <c:pt idx="5">
                  <c:v>794647.16866507847</c:v>
                </c:pt>
                <c:pt idx="6">
                  <c:v>820432.15564281784</c:v>
                </c:pt>
                <c:pt idx="7">
                  <c:v>923618.12727743783</c:v>
                </c:pt>
                <c:pt idx="8">
                  <c:v>961563.3630126483</c:v>
                </c:pt>
                <c:pt idx="9">
                  <c:v>1003512.7766498596</c:v>
                </c:pt>
              </c:numCache>
            </c:numRef>
          </c:val>
          <c:extLst>
            <c:ext xmlns:c16="http://schemas.microsoft.com/office/drawing/2014/chart" uri="{C3380CC4-5D6E-409C-BE32-E72D297353CC}">
              <c16:uniqueId val="{00000001-84A6-464D-AB8C-01CE6678E662}"/>
            </c:ext>
          </c:extLst>
        </c:ser>
        <c:ser>
          <c:idx val="2"/>
          <c:order val="1"/>
          <c:tx>
            <c:strRef>
              <c:f>emissions!$Q$81</c:f>
              <c:strCache>
                <c:ptCount val="1"/>
                <c:pt idx="0">
                  <c:v>CEP/CAP Central Mitigation Scenario</c:v>
                </c:pt>
              </c:strCache>
            </c:strRef>
          </c:tx>
          <c:spPr>
            <a:pattFill prst="trellis">
              <a:fgClr>
                <a:schemeClr val="accent6">
                  <a:lumMod val="75000"/>
                </a:schemeClr>
              </a:fgClr>
              <a:bgClr>
                <a:schemeClr val="bg1"/>
              </a:bgClr>
            </a:pattFill>
            <a:ln>
              <a:noFill/>
            </a:ln>
            <a:effectLst/>
          </c:spPr>
          <c:invertIfNegative val="0"/>
          <c:cat>
            <c:numRef>
              <c:f>emissions!$R$79:$AA$79</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emissions!$R$81:$AA$81</c:f>
              <c:numCache>
                <c:formatCode>_(* #,##0_);_(* \(#,##0\);_(* "-"??_);_(@_)</c:formatCode>
                <c:ptCount val="10"/>
                <c:pt idx="0">
                  <c:v>532294.88806995086</c:v>
                </c:pt>
                <c:pt idx="1">
                  <c:v>633654.82523125329</c:v>
                </c:pt>
                <c:pt idx="2">
                  <c:v>660604.70703586482</c:v>
                </c:pt>
                <c:pt idx="3">
                  <c:v>689934.24063307163</c:v>
                </c:pt>
                <c:pt idx="4">
                  <c:v>801372.86696569296</c:v>
                </c:pt>
                <c:pt idx="5">
                  <c:v>849283.55498661962</c:v>
                </c:pt>
                <c:pt idx="6">
                  <c:v>906135.02654253808</c:v>
                </c:pt>
                <c:pt idx="7">
                  <c:v>1058938.4014440537</c:v>
                </c:pt>
                <c:pt idx="8">
                  <c:v>1137212.6563574469</c:v>
                </c:pt>
                <c:pt idx="9">
                  <c:v>1224499.0838000956</c:v>
                </c:pt>
              </c:numCache>
            </c:numRef>
          </c:val>
          <c:extLst>
            <c:ext xmlns:c16="http://schemas.microsoft.com/office/drawing/2014/chart" uri="{C3380CC4-5D6E-409C-BE32-E72D297353CC}">
              <c16:uniqueId val="{00000002-84A6-464D-AB8C-01CE6678E662}"/>
            </c:ext>
          </c:extLst>
        </c:ser>
        <c:dLbls>
          <c:showLegendKey val="0"/>
          <c:showVal val="0"/>
          <c:showCatName val="0"/>
          <c:showSerName val="0"/>
          <c:showPercent val="0"/>
          <c:showBubbleSize val="0"/>
        </c:dLbls>
        <c:gapWidth val="219"/>
        <c:overlap val="-27"/>
        <c:axId val="677922168"/>
        <c:axId val="677922496"/>
      </c:barChart>
      <c:catAx>
        <c:axId val="67792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922496"/>
        <c:crosses val="autoZero"/>
        <c:auto val="1"/>
        <c:lblAlgn val="ctr"/>
        <c:lblOffset val="100"/>
        <c:noMultiLvlLbl val="0"/>
      </c:catAx>
      <c:valAx>
        <c:axId val="677922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922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Vermont Renewable</a:t>
            </a:r>
            <a:r>
              <a:rPr lang="en-US" baseline="0"/>
              <a:t> Energy Standard </a:t>
            </a:r>
          </a:p>
          <a:p>
            <a:pPr>
              <a:defRPr/>
            </a:pPr>
            <a:r>
              <a:rPr lang="en-US" baseline="0"/>
              <a:t>Tier I and II Requirements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'annual RES req'!$C$2</c:f>
              <c:strCache>
                <c:ptCount val="1"/>
                <c:pt idx="0">
                  <c:v>Tier I net of Tier II</c:v>
                </c:pt>
              </c:strCache>
            </c:strRef>
          </c:tx>
          <c:spPr>
            <a:solidFill>
              <a:schemeClr val="accent1"/>
            </a:solidFill>
            <a:ln>
              <a:noFill/>
            </a:ln>
            <a:effectLst/>
          </c:spPr>
          <c:cat>
            <c:numRef>
              <c:f>'annual RES req'!$A$3:$A$18</c:f>
              <c:numCache>
                <c:formatCode>General</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'annual RES req'!$C$3:$C$18</c:f>
              <c:numCache>
                <c:formatCode>0.0%</c:formatCode>
                <c:ptCount val="16"/>
                <c:pt idx="0">
                  <c:v>0.54</c:v>
                </c:pt>
                <c:pt idx="1">
                  <c:v>0.53400000000000003</c:v>
                </c:pt>
                <c:pt idx="2">
                  <c:v>0.52800000000000002</c:v>
                </c:pt>
                <c:pt idx="3">
                  <c:v>0.56199999999999994</c:v>
                </c:pt>
                <c:pt idx="4">
                  <c:v>0.55599999999999994</c:v>
                </c:pt>
                <c:pt idx="5">
                  <c:v>0.54999999999999993</c:v>
                </c:pt>
                <c:pt idx="6">
                  <c:v>0.58399999999999996</c:v>
                </c:pt>
                <c:pt idx="7">
                  <c:v>0.57800000000000007</c:v>
                </c:pt>
                <c:pt idx="8">
                  <c:v>0.57200000000000006</c:v>
                </c:pt>
                <c:pt idx="9">
                  <c:v>0.60600000000000009</c:v>
                </c:pt>
                <c:pt idx="10">
                  <c:v>0.60000000000000009</c:v>
                </c:pt>
                <c:pt idx="11">
                  <c:v>0.59400000000000008</c:v>
                </c:pt>
                <c:pt idx="12">
                  <c:v>0.62800000000000011</c:v>
                </c:pt>
                <c:pt idx="13">
                  <c:v>0.62200000000000011</c:v>
                </c:pt>
                <c:pt idx="14">
                  <c:v>0.6160000000000001</c:v>
                </c:pt>
                <c:pt idx="15">
                  <c:v>0.65000000000000013</c:v>
                </c:pt>
              </c:numCache>
            </c:numRef>
          </c:val>
          <c:extLst>
            <c:ext xmlns:c16="http://schemas.microsoft.com/office/drawing/2014/chart" uri="{C3380CC4-5D6E-409C-BE32-E72D297353CC}">
              <c16:uniqueId val="{00000000-35D8-4BF0-8AED-7F997824B2A3}"/>
            </c:ext>
          </c:extLst>
        </c:ser>
        <c:ser>
          <c:idx val="1"/>
          <c:order val="1"/>
          <c:tx>
            <c:strRef>
              <c:f>'annual RES req'!$D$2</c:f>
              <c:strCache>
                <c:ptCount val="1"/>
                <c:pt idx="0">
                  <c:v>Tier II</c:v>
                </c:pt>
              </c:strCache>
            </c:strRef>
          </c:tx>
          <c:spPr>
            <a:solidFill>
              <a:schemeClr val="accent2"/>
            </a:solidFill>
            <a:ln>
              <a:noFill/>
            </a:ln>
            <a:effectLst/>
          </c:spPr>
          <c:cat>
            <c:numRef>
              <c:f>'annual RES req'!$A$3:$A$18</c:f>
              <c:numCache>
                <c:formatCode>General</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'annual RES req'!$D$3:$D$18</c:f>
              <c:numCache>
                <c:formatCode>0.0%</c:formatCode>
                <c:ptCount val="16"/>
                <c:pt idx="0">
                  <c:v>0.01</c:v>
                </c:pt>
                <c:pt idx="1">
                  <c:v>1.6E-2</c:v>
                </c:pt>
                <c:pt idx="2">
                  <c:v>2.1999999999999999E-2</c:v>
                </c:pt>
                <c:pt idx="3">
                  <c:v>2.7999999999999997E-2</c:v>
                </c:pt>
                <c:pt idx="4">
                  <c:v>3.3999999999999996E-2</c:v>
                </c:pt>
                <c:pt idx="5">
                  <c:v>3.9999999999999994E-2</c:v>
                </c:pt>
                <c:pt idx="6">
                  <c:v>4.5999999999999992E-2</c:v>
                </c:pt>
                <c:pt idx="7">
                  <c:v>5.1999999999999991E-2</c:v>
                </c:pt>
                <c:pt idx="8">
                  <c:v>5.7999999999999989E-2</c:v>
                </c:pt>
                <c:pt idx="9">
                  <c:v>6.3999999999999987E-2</c:v>
                </c:pt>
                <c:pt idx="10">
                  <c:v>6.9999999999999993E-2</c:v>
                </c:pt>
                <c:pt idx="11">
                  <c:v>7.5999999999999998E-2</c:v>
                </c:pt>
                <c:pt idx="12">
                  <c:v>8.2000000000000003E-2</c:v>
                </c:pt>
                <c:pt idx="13">
                  <c:v>8.8000000000000009E-2</c:v>
                </c:pt>
                <c:pt idx="14">
                  <c:v>9.4000000000000014E-2</c:v>
                </c:pt>
                <c:pt idx="15">
                  <c:v>0.10000000000000002</c:v>
                </c:pt>
              </c:numCache>
            </c:numRef>
          </c:val>
          <c:extLst>
            <c:ext xmlns:c16="http://schemas.microsoft.com/office/drawing/2014/chart" uri="{C3380CC4-5D6E-409C-BE32-E72D297353CC}">
              <c16:uniqueId val="{00000001-35D8-4BF0-8AED-7F997824B2A3}"/>
            </c:ext>
          </c:extLst>
        </c:ser>
        <c:dLbls>
          <c:showLegendKey val="0"/>
          <c:showVal val="0"/>
          <c:showCatName val="0"/>
          <c:showSerName val="0"/>
          <c:showPercent val="0"/>
          <c:showBubbleSize val="0"/>
        </c:dLbls>
        <c:axId val="1021691400"/>
        <c:axId val="1021696976"/>
      </c:areaChart>
      <c:catAx>
        <c:axId val="1021691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96976"/>
        <c:crosses val="autoZero"/>
        <c:auto val="1"/>
        <c:lblAlgn val="ctr"/>
        <c:lblOffset val="100"/>
        <c:noMultiLvlLbl val="0"/>
      </c:catAx>
      <c:valAx>
        <c:axId val="1021696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914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Vermont Renewable</a:t>
            </a:r>
            <a:r>
              <a:rPr lang="en-US" baseline="0"/>
              <a:t> Energy Standard</a:t>
            </a:r>
          </a:p>
          <a:p>
            <a:pPr>
              <a:defRPr/>
            </a:pPr>
            <a:r>
              <a:rPr lang="en-US" baseline="0"/>
              <a:t>Tier III Requirements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'annual RES req'!$E$2</c:f>
              <c:strCache>
                <c:ptCount val="1"/>
                <c:pt idx="0">
                  <c:v>Tier III</c:v>
                </c:pt>
              </c:strCache>
            </c:strRef>
          </c:tx>
          <c:spPr>
            <a:solidFill>
              <a:schemeClr val="accent1"/>
            </a:solidFill>
            <a:ln w="25400">
              <a:noFill/>
            </a:ln>
            <a:effectLst/>
          </c:spPr>
          <c:cat>
            <c:numRef>
              <c:f>'annual RES req'!$A$3:$A$18</c:f>
              <c:numCache>
                <c:formatCode>General</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'annual RES req'!$E$3:$E$18</c:f>
              <c:numCache>
                <c:formatCode>0.0%</c:formatCode>
                <c:ptCount val="16"/>
                <c:pt idx="0">
                  <c:v>0.02</c:v>
                </c:pt>
                <c:pt idx="1">
                  <c:v>2.6666666666666668E-2</c:v>
                </c:pt>
                <c:pt idx="2">
                  <c:v>3.3333333333333333E-2</c:v>
                </c:pt>
                <c:pt idx="3">
                  <c:v>0.04</c:v>
                </c:pt>
                <c:pt idx="4">
                  <c:v>4.6666666666666669E-2</c:v>
                </c:pt>
                <c:pt idx="5">
                  <c:v>5.3333333333333337E-2</c:v>
                </c:pt>
                <c:pt idx="6">
                  <c:v>6.0000000000000005E-2</c:v>
                </c:pt>
                <c:pt idx="7">
                  <c:v>6.6666666666666666E-2</c:v>
                </c:pt>
                <c:pt idx="8">
                  <c:v>7.3333333333333334E-2</c:v>
                </c:pt>
                <c:pt idx="9">
                  <c:v>0.08</c:v>
                </c:pt>
                <c:pt idx="10">
                  <c:v>8.666666666666667E-2</c:v>
                </c:pt>
                <c:pt idx="11">
                  <c:v>9.3333333333333338E-2</c:v>
                </c:pt>
                <c:pt idx="12">
                  <c:v>0.1</c:v>
                </c:pt>
                <c:pt idx="13">
                  <c:v>0.10666666666666667</c:v>
                </c:pt>
                <c:pt idx="14">
                  <c:v>0.11333333333333334</c:v>
                </c:pt>
                <c:pt idx="15">
                  <c:v>0.12000000000000001</c:v>
                </c:pt>
              </c:numCache>
            </c:numRef>
          </c:val>
          <c:extLst>
            <c:ext xmlns:c16="http://schemas.microsoft.com/office/drawing/2014/chart" uri="{C3380CC4-5D6E-409C-BE32-E72D297353CC}">
              <c16:uniqueId val="{00000000-74DE-4EE9-A5A1-7FC96BDC3070}"/>
            </c:ext>
          </c:extLst>
        </c:ser>
        <c:dLbls>
          <c:showLegendKey val="0"/>
          <c:showVal val="0"/>
          <c:showCatName val="0"/>
          <c:showSerName val="0"/>
          <c:showPercent val="0"/>
          <c:showBubbleSize val="0"/>
        </c:dLbls>
        <c:axId val="1021691400"/>
        <c:axId val="1021696976"/>
      </c:areaChart>
      <c:catAx>
        <c:axId val="1021691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96976"/>
        <c:crosses val="autoZero"/>
        <c:auto val="1"/>
        <c:lblAlgn val="ctr"/>
        <c:lblOffset val="100"/>
        <c:noMultiLvlLbl val="0"/>
      </c:catAx>
      <c:valAx>
        <c:axId val="1021696976"/>
        <c:scaling>
          <c:orientation val="minMax"/>
          <c:max val="0.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914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Vermont RES Requirements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00559290039046"/>
          <c:y val="0.17171300838441655"/>
          <c:w val="0.81167585416287824"/>
          <c:h val="0.63718321668124822"/>
        </c:manualLayout>
      </c:layout>
      <c:barChart>
        <c:barDir val="col"/>
        <c:grouping val="stacked"/>
        <c:varyColors val="0"/>
        <c:ser>
          <c:idx val="3"/>
          <c:order val="0"/>
          <c:tx>
            <c:strRef>
              <c:f>requirements!$B$11</c:f>
              <c:strCache>
                <c:ptCount val="1"/>
                <c:pt idx="0">
                  <c:v>Tier I Requirement</c:v>
                </c:pt>
              </c:strCache>
            </c:strRef>
          </c:tx>
          <c:spPr>
            <a:solidFill>
              <a:schemeClr val="accent5">
                <a:lumMod val="60000"/>
                <a:lumOff val="40000"/>
              </a:schemeClr>
            </a:solidFill>
            <a:ln>
              <a:noFill/>
            </a:ln>
            <a:effectLst/>
          </c:spPr>
          <c:invertIfNegative val="0"/>
          <c:cat>
            <c:numRef>
              <c:f>requirements!$G$2:$P$2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requirements!$G$11:$P$11</c:f>
              <c:numCache>
                <c:formatCode>_(* #,##0_);_(* \(#,##0\);_(* "-"??_);_(@_)</c:formatCode>
                <c:ptCount val="10"/>
                <c:pt idx="0">
                  <c:v>2967992.6089149858</c:v>
                </c:pt>
                <c:pt idx="1">
                  <c:v>3175327.9397006528</c:v>
                </c:pt>
                <c:pt idx="2">
                  <c:v>3138236.0324899508</c:v>
                </c:pt>
                <c:pt idx="3">
                  <c:v>3086816.7677763188</c:v>
                </c:pt>
                <c:pt idx="4">
                  <c:v>3264597.9191291085</c:v>
                </c:pt>
                <c:pt idx="5">
                  <c:v>3232838.850780332</c:v>
                </c:pt>
                <c:pt idx="6">
                  <c:v>3212336.3432436576</c:v>
                </c:pt>
                <c:pt idx="7">
                  <c:v>3415319.2992743677</c:v>
                </c:pt>
                <c:pt idx="8">
                  <c:v>3401094.777829818</c:v>
                </c:pt>
                <c:pt idx="9">
                  <c:v>3393089.4121609819</c:v>
                </c:pt>
              </c:numCache>
            </c:numRef>
          </c:val>
          <c:extLst>
            <c:ext xmlns:c16="http://schemas.microsoft.com/office/drawing/2014/chart" uri="{C3380CC4-5D6E-409C-BE32-E72D297353CC}">
              <c16:uniqueId val="{00000003-8ADF-496E-8748-05B12DF39106}"/>
            </c:ext>
          </c:extLst>
        </c:ser>
        <c:ser>
          <c:idx val="2"/>
          <c:order val="2"/>
          <c:tx>
            <c:strRef>
              <c:f>requirements!$B$12</c:f>
              <c:strCache>
                <c:ptCount val="1"/>
                <c:pt idx="0">
                  <c:v>Tier II Requirement</c:v>
                </c:pt>
              </c:strCache>
            </c:strRef>
          </c:tx>
          <c:spPr>
            <a:solidFill>
              <a:schemeClr val="accent6"/>
            </a:solidFill>
            <a:ln>
              <a:noFill/>
            </a:ln>
            <a:effectLst/>
          </c:spPr>
          <c:invertIfNegative val="0"/>
          <c:cat>
            <c:numRef>
              <c:f>requirements!$G$2:$P$2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requirements!$G$12:$P$12</c:f>
              <c:numCache>
                <c:formatCode>_(* #,##0_);_(* \(#,##0\);_(* "-"??_);_(@_)</c:formatCode>
                <c:ptCount val="10"/>
                <c:pt idx="0">
                  <c:v>215854.00792108988</c:v>
                </c:pt>
                <c:pt idx="1">
                  <c:v>250111.44730518837</c:v>
                </c:pt>
                <c:pt idx="2">
                  <c:v>282332.65344200237</c:v>
                </c:pt>
                <c:pt idx="3">
                  <c:v>312998.90302626998</c:v>
                </c:pt>
                <c:pt idx="4">
                  <c:v>344776.01786181994</c:v>
                </c:pt>
                <c:pt idx="5">
                  <c:v>377164.53259103867</c:v>
                </c:pt>
                <c:pt idx="6">
                  <c:v>411005.99677864974</c:v>
                </c:pt>
                <c:pt idx="7">
                  <c:v>445949.33525557024</c:v>
                </c:pt>
                <c:pt idx="8">
                  <c:v>481183.82708846295</c:v>
                </c:pt>
                <c:pt idx="9">
                  <c:v>517776.63107651344</c:v>
                </c:pt>
              </c:numCache>
            </c:numRef>
          </c:val>
          <c:extLst>
            <c:ext xmlns:c16="http://schemas.microsoft.com/office/drawing/2014/chart" uri="{C3380CC4-5D6E-409C-BE32-E72D297353CC}">
              <c16:uniqueId val="{00000002-8ADF-496E-8748-05B12DF39106}"/>
            </c:ext>
          </c:extLst>
        </c:ser>
        <c:dLbls>
          <c:showLegendKey val="0"/>
          <c:showVal val="0"/>
          <c:showCatName val="0"/>
          <c:showSerName val="0"/>
          <c:showPercent val="0"/>
          <c:showBubbleSize val="0"/>
        </c:dLbls>
        <c:gapWidth val="150"/>
        <c:overlap val="100"/>
        <c:axId val="918748080"/>
        <c:axId val="918752016"/>
      </c:barChart>
      <c:lineChart>
        <c:grouping val="standard"/>
        <c:varyColors val="0"/>
        <c:ser>
          <c:idx val="0"/>
          <c:order val="1"/>
          <c:tx>
            <c:strRef>
              <c:f>requirements!$B$4</c:f>
              <c:strCache>
                <c:ptCount val="1"/>
                <c:pt idx="0">
                  <c:v>Projected Retail Sales </c:v>
                </c:pt>
              </c:strCache>
            </c:strRef>
          </c:tx>
          <c:spPr>
            <a:ln w="28575" cap="rnd">
              <a:solidFill>
                <a:schemeClr val="tx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8ADF-496E-8748-05B12DF39106}"/>
                </c:ext>
              </c:extLst>
            </c:dLbl>
            <c:dLbl>
              <c:idx val="1"/>
              <c:delete val="1"/>
              <c:extLst>
                <c:ext xmlns:c15="http://schemas.microsoft.com/office/drawing/2012/chart" uri="{CE6537A1-D6FC-4f65-9D91-7224C49458BB}"/>
                <c:ext xmlns:c16="http://schemas.microsoft.com/office/drawing/2014/chart" uri="{C3380CC4-5D6E-409C-BE32-E72D297353CC}">
                  <c16:uniqueId val="{0000000D-8ADF-496E-8748-05B12DF39106}"/>
                </c:ext>
              </c:extLst>
            </c:dLbl>
            <c:dLbl>
              <c:idx val="2"/>
              <c:delete val="1"/>
              <c:extLst>
                <c:ext xmlns:c15="http://schemas.microsoft.com/office/drawing/2012/chart" uri="{CE6537A1-D6FC-4f65-9D91-7224C49458BB}"/>
                <c:ext xmlns:c16="http://schemas.microsoft.com/office/drawing/2014/chart" uri="{C3380CC4-5D6E-409C-BE32-E72D297353CC}">
                  <c16:uniqueId val="{0000000C-8ADF-496E-8748-05B12DF39106}"/>
                </c:ext>
              </c:extLst>
            </c:dLbl>
            <c:dLbl>
              <c:idx val="3"/>
              <c:delete val="1"/>
              <c:extLst>
                <c:ext xmlns:c15="http://schemas.microsoft.com/office/drawing/2012/chart" uri="{CE6537A1-D6FC-4f65-9D91-7224C49458BB}"/>
                <c:ext xmlns:c16="http://schemas.microsoft.com/office/drawing/2014/chart" uri="{C3380CC4-5D6E-409C-BE32-E72D297353CC}">
                  <c16:uniqueId val="{0000000B-8ADF-496E-8748-05B12DF39106}"/>
                </c:ext>
              </c:extLst>
            </c:dLbl>
            <c:dLbl>
              <c:idx val="4"/>
              <c:delete val="1"/>
              <c:extLst>
                <c:ext xmlns:c15="http://schemas.microsoft.com/office/drawing/2012/chart" uri="{CE6537A1-D6FC-4f65-9D91-7224C49458BB}"/>
                <c:ext xmlns:c16="http://schemas.microsoft.com/office/drawing/2014/chart" uri="{C3380CC4-5D6E-409C-BE32-E72D297353CC}">
                  <c16:uniqueId val="{0000000A-8ADF-496E-8748-05B12DF39106}"/>
                </c:ext>
              </c:extLst>
            </c:dLbl>
            <c:dLbl>
              <c:idx val="5"/>
              <c:delete val="1"/>
              <c:extLst>
                <c:ext xmlns:c15="http://schemas.microsoft.com/office/drawing/2012/chart" uri="{CE6537A1-D6FC-4f65-9D91-7224C49458BB}"/>
                <c:ext xmlns:c16="http://schemas.microsoft.com/office/drawing/2014/chart" uri="{C3380CC4-5D6E-409C-BE32-E72D297353CC}">
                  <c16:uniqueId val="{00000009-8ADF-496E-8748-05B12DF39106}"/>
                </c:ext>
              </c:extLst>
            </c:dLbl>
            <c:dLbl>
              <c:idx val="6"/>
              <c:delete val="1"/>
              <c:extLst>
                <c:ext xmlns:c15="http://schemas.microsoft.com/office/drawing/2012/chart" uri="{CE6537A1-D6FC-4f65-9D91-7224C49458BB}"/>
                <c:ext xmlns:c16="http://schemas.microsoft.com/office/drawing/2014/chart" uri="{C3380CC4-5D6E-409C-BE32-E72D297353CC}">
                  <c16:uniqueId val="{00000008-8ADF-496E-8748-05B12DF39106}"/>
                </c:ext>
              </c:extLst>
            </c:dLbl>
            <c:dLbl>
              <c:idx val="7"/>
              <c:layout>
                <c:manualLayout>
                  <c:x val="-6.7074132747780943E-2"/>
                  <c:y val="3.60342918730562E-2"/>
                </c:manualLayout>
              </c:layout>
              <c:showLegendKey val="0"/>
              <c:showVal val="0"/>
              <c:showCatName val="0"/>
              <c:showSerName val="1"/>
              <c:showPercent val="0"/>
              <c:showBubbleSize val="0"/>
              <c:extLst>
                <c:ext xmlns:c15="http://schemas.microsoft.com/office/drawing/2012/chart" uri="{CE6537A1-D6FC-4f65-9D91-7224C49458BB}">
                  <c15:layout>
                    <c:manualLayout>
                      <c:w val="0.22651232255930412"/>
                      <c:h val="0.11554977569347934"/>
                    </c:manualLayout>
                  </c15:layout>
                </c:ext>
                <c:ext xmlns:c16="http://schemas.microsoft.com/office/drawing/2014/chart" uri="{C3380CC4-5D6E-409C-BE32-E72D297353CC}">
                  <c16:uniqueId val="{00000007-8ADF-496E-8748-05B12DF39106}"/>
                </c:ext>
              </c:extLst>
            </c:dLbl>
            <c:dLbl>
              <c:idx val="8"/>
              <c:delete val="1"/>
              <c:extLst>
                <c:ext xmlns:c15="http://schemas.microsoft.com/office/drawing/2012/chart" uri="{CE6537A1-D6FC-4f65-9D91-7224C49458BB}"/>
                <c:ext xmlns:c16="http://schemas.microsoft.com/office/drawing/2014/chart" uri="{C3380CC4-5D6E-409C-BE32-E72D297353CC}">
                  <c16:uniqueId val="{0000000F-8ADF-496E-8748-05B12DF39106}"/>
                </c:ext>
              </c:extLst>
            </c:dLbl>
            <c:dLbl>
              <c:idx val="9"/>
              <c:delete val="1"/>
              <c:extLst>
                <c:ext xmlns:c15="http://schemas.microsoft.com/office/drawing/2012/chart" uri="{CE6537A1-D6FC-4f65-9D91-7224C49458BB}"/>
                <c:ext xmlns:c16="http://schemas.microsoft.com/office/drawing/2014/chart" uri="{C3380CC4-5D6E-409C-BE32-E72D297353CC}">
                  <c16:uniqueId val="{00000006-8ADF-496E-8748-05B12DF3910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requirements!$F$4:$O$4</c:f>
              <c:numCache>
                <c:formatCode>#,##0</c:formatCode>
                <c:ptCount val="10"/>
                <c:pt idx="0">
                  <c:v>5382463.5149999997</c:v>
                </c:pt>
                <c:pt idx="1">
                  <c:v>5396350.1980272476</c:v>
                </c:pt>
                <c:pt idx="2">
                  <c:v>5437205.3761997484</c:v>
                </c:pt>
                <c:pt idx="3">
                  <c:v>5429474.104653893</c:v>
                </c:pt>
                <c:pt idx="4">
                  <c:v>5396532.8107977593</c:v>
                </c:pt>
                <c:pt idx="5">
                  <c:v>5387125.2790909372</c:v>
                </c:pt>
                <c:pt idx="6">
                  <c:v>5388064.7513005529</c:v>
                </c:pt>
                <c:pt idx="7">
                  <c:v>5407973.6418243386</c:v>
                </c:pt>
                <c:pt idx="8">
                  <c:v>5438406.527506954</c:v>
                </c:pt>
                <c:pt idx="9">
                  <c:v>5467998.0350961694</c:v>
                </c:pt>
              </c:numCache>
            </c:numRef>
          </c:val>
          <c:smooth val="0"/>
          <c:extLst>
            <c:ext xmlns:c16="http://schemas.microsoft.com/office/drawing/2014/chart" uri="{C3380CC4-5D6E-409C-BE32-E72D297353CC}">
              <c16:uniqueId val="{00000000-8ADF-496E-8748-05B12DF39106}"/>
            </c:ext>
          </c:extLst>
        </c:ser>
        <c:dLbls>
          <c:showLegendKey val="0"/>
          <c:showVal val="0"/>
          <c:showCatName val="0"/>
          <c:showSerName val="0"/>
          <c:showPercent val="0"/>
          <c:showBubbleSize val="0"/>
        </c:dLbls>
        <c:marker val="1"/>
        <c:smooth val="0"/>
        <c:axId val="918748080"/>
        <c:axId val="918752016"/>
      </c:lineChart>
      <c:catAx>
        <c:axId val="91874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18752016"/>
        <c:crosses val="autoZero"/>
        <c:auto val="1"/>
        <c:lblAlgn val="ctr"/>
        <c:lblOffset val="100"/>
        <c:noMultiLvlLbl val="0"/>
      </c:catAx>
      <c:valAx>
        <c:axId val="9187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18748080"/>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Vermont</a:t>
            </a:r>
            <a:r>
              <a:rPr lang="en-US" baseline="0"/>
              <a:t> Load Scenarios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loads!$B$6</c:f>
              <c:strCache>
                <c:ptCount val="1"/>
                <c:pt idx="0">
                  <c:v>PSD Adjusted BAU Scenario</c:v>
                </c:pt>
              </c:strCache>
            </c:strRef>
          </c:tx>
          <c:spPr>
            <a:ln w="28575" cap="rnd">
              <a:solidFill>
                <a:schemeClr val="accent1"/>
              </a:solidFill>
              <a:round/>
            </a:ln>
            <a:effectLst/>
          </c:spPr>
          <c:marker>
            <c:symbol val="none"/>
          </c:marker>
          <c:cat>
            <c:numRef>
              <c:f>loads!$I$2:$R$2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loads!$I$6:$R$6</c:f>
              <c:numCache>
                <c:formatCode>_(* #,##0_);_(* \(#,##0\);_(* "-"??_);_(@_)</c:formatCode>
                <c:ptCount val="10"/>
                <c:pt idx="0">
                  <c:v>5396350.1980272476</c:v>
                </c:pt>
                <c:pt idx="1">
                  <c:v>5437205.3761997484</c:v>
                </c:pt>
                <c:pt idx="2">
                  <c:v>5429474.104653893</c:v>
                </c:pt>
                <c:pt idx="3">
                  <c:v>5396532.8107977593</c:v>
                </c:pt>
                <c:pt idx="4">
                  <c:v>5387125.2790909372</c:v>
                </c:pt>
                <c:pt idx="5">
                  <c:v>5388064.7513005529</c:v>
                </c:pt>
                <c:pt idx="6">
                  <c:v>5407973.6418243386</c:v>
                </c:pt>
                <c:pt idx="7">
                  <c:v>5438406.527506954</c:v>
                </c:pt>
                <c:pt idx="8">
                  <c:v>5467998.0350961694</c:v>
                </c:pt>
                <c:pt idx="9">
                  <c:v>5508262.0327288657</c:v>
                </c:pt>
              </c:numCache>
            </c:numRef>
          </c:val>
          <c:smooth val="0"/>
          <c:extLst>
            <c:ext xmlns:c16="http://schemas.microsoft.com/office/drawing/2014/chart" uri="{C3380CC4-5D6E-409C-BE32-E72D297353CC}">
              <c16:uniqueId val="{00000000-5127-4217-A78B-F5B179969651}"/>
            </c:ext>
          </c:extLst>
        </c:ser>
        <c:ser>
          <c:idx val="1"/>
          <c:order val="1"/>
          <c:tx>
            <c:strRef>
              <c:f>loads!$B$7</c:f>
              <c:strCache>
                <c:ptCount val="1"/>
                <c:pt idx="0">
                  <c:v>CEP/CAP Central Mitigation Scenario</c:v>
                </c:pt>
              </c:strCache>
            </c:strRef>
          </c:tx>
          <c:spPr>
            <a:ln w="28575" cap="rnd">
              <a:solidFill>
                <a:schemeClr val="accent2"/>
              </a:solidFill>
              <a:round/>
            </a:ln>
            <a:effectLst/>
          </c:spPr>
          <c:marker>
            <c:symbol val="none"/>
          </c:marker>
          <c:cat>
            <c:numRef>
              <c:f>loads!$I$2:$R$2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loads!$I$7:$R$7</c:f>
              <c:numCache>
                <c:formatCode>_(* #,##0_);_(* \(#,##0\);_(* "-"??_);_(@_)</c:formatCode>
                <c:ptCount val="10"/>
                <c:pt idx="0">
                  <c:v>5434503.0838511372</c:v>
                </c:pt>
                <c:pt idx="1">
                  <c:v>5486542.6527022747</c:v>
                </c:pt>
                <c:pt idx="2">
                  <c:v>5538582.2215534123</c:v>
                </c:pt>
                <c:pt idx="3">
                  <c:v>5590621.7904045498</c:v>
                </c:pt>
                <c:pt idx="4">
                  <c:v>5642661.3592556855</c:v>
                </c:pt>
                <c:pt idx="5">
                  <c:v>5848476.8170962678</c:v>
                </c:pt>
                <c:pt idx="6">
                  <c:v>6108486.4870106773</c:v>
                </c:pt>
                <c:pt idx="7">
                  <c:v>6408081.5587000931</c:v>
                </c:pt>
                <c:pt idx="8">
                  <c:v>6691889.6040745676</c:v>
                </c:pt>
                <c:pt idx="9">
                  <c:v>7009154.0749886073</c:v>
                </c:pt>
              </c:numCache>
            </c:numRef>
          </c:val>
          <c:smooth val="0"/>
          <c:extLst>
            <c:ext xmlns:c16="http://schemas.microsoft.com/office/drawing/2014/chart" uri="{C3380CC4-5D6E-409C-BE32-E72D297353CC}">
              <c16:uniqueId val="{00000001-5127-4217-A78B-F5B179969651}"/>
            </c:ext>
          </c:extLst>
        </c:ser>
        <c:dLbls>
          <c:showLegendKey val="0"/>
          <c:showVal val="0"/>
          <c:showCatName val="0"/>
          <c:showSerName val="0"/>
          <c:showPercent val="0"/>
          <c:showBubbleSize val="0"/>
        </c:dLbls>
        <c:smooth val="0"/>
        <c:axId val="979119160"/>
        <c:axId val="979123424"/>
      </c:lineChart>
      <c:catAx>
        <c:axId val="97911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9123424"/>
        <c:crosses val="autoZero"/>
        <c:auto val="1"/>
        <c:lblAlgn val="ctr"/>
        <c:lblOffset val="100"/>
        <c:noMultiLvlLbl val="0"/>
      </c:catAx>
      <c:valAx>
        <c:axId val="979123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9119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Metering Growth</a:t>
            </a:r>
          </a:p>
          <a:p>
            <a:pPr>
              <a:defRPr/>
            </a:pPr>
            <a:r>
              <a:rPr lang="en-US" sz="1000"/>
              <a:t>Cumulative Installed Capacity from 2022-2031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'Tier II'!$A$34</c:f>
              <c:strCache>
                <c:ptCount val="1"/>
                <c:pt idx="0">
                  <c:v>low</c:v>
                </c:pt>
              </c:strCache>
            </c:strRef>
          </c:tx>
          <c:spPr>
            <a:ln w="28575" cap="rnd">
              <a:solidFill>
                <a:schemeClr val="accent2"/>
              </a:solidFill>
              <a:round/>
            </a:ln>
            <a:effectLst/>
          </c:spPr>
          <c:marker>
            <c:symbol val="none"/>
          </c:marker>
          <c:cat>
            <c:numRef>
              <c:f>'Tier II'!$G$2:$P$2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'Tier II'!$G$34:$P$34</c:f>
              <c:numCache>
                <c:formatCode>_(* #,##0_);_(* \(#,##0\);_(* "-"??_);_(@_)</c:formatCode>
                <c:ptCount val="10"/>
                <c:pt idx="0">
                  <c:v>78.975909563157188</c:v>
                </c:pt>
                <c:pt idx="1">
                  <c:v>91.122410457939012</c:v>
                </c:pt>
                <c:pt idx="2">
                  <c:v>103.79307303937719</c:v>
                </c:pt>
                <c:pt idx="3">
                  <c:v>110.90897342792231</c:v>
                </c:pt>
                <c:pt idx="4">
                  <c:v>114.18165351125268</c:v>
                </c:pt>
                <c:pt idx="5">
                  <c:v>117.73360614919989</c:v>
                </c:pt>
                <c:pt idx="6">
                  <c:v>120.0432206521036</c:v>
                </c:pt>
                <c:pt idx="7">
                  <c:v>120.24316964759147</c:v>
                </c:pt>
                <c:pt idx="8">
                  <c:v>121.76707506462276</c:v>
                </c:pt>
                <c:pt idx="9">
                  <c:v>122.26707506462269</c:v>
                </c:pt>
              </c:numCache>
            </c:numRef>
          </c:val>
          <c:smooth val="0"/>
          <c:extLst>
            <c:ext xmlns:c16="http://schemas.microsoft.com/office/drawing/2014/chart" uri="{C3380CC4-5D6E-409C-BE32-E72D297353CC}">
              <c16:uniqueId val="{00000001-3D3B-4688-9641-54FE2DE10CCC}"/>
            </c:ext>
          </c:extLst>
        </c:ser>
        <c:ser>
          <c:idx val="2"/>
          <c:order val="1"/>
          <c:tx>
            <c:strRef>
              <c:f>'Tier II'!$A$35</c:f>
              <c:strCache>
                <c:ptCount val="1"/>
                <c:pt idx="0">
                  <c:v>mid</c:v>
                </c:pt>
              </c:strCache>
            </c:strRef>
          </c:tx>
          <c:spPr>
            <a:ln w="28575" cap="rnd">
              <a:solidFill>
                <a:schemeClr val="accent3"/>
              </a:solidFill>
              <a:round/>
            </a:ln>
            <a:effectLst/>
          </c:spPr>
          <c:marker>
            <c:symbol val="none"/>
          </c:marker>
          <c:cat>
            <c:numRef>
              <c:f>'Tier II'!$G$2:$P$2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'Tier II'!$G$35:$P$35</c:f>
              <c:numCache>
                <c:formatCode>_(* #,##0_);_(* \(#,##0\);_(* "-"??_);_(@_)</c:formatCode>
                <c:ptCount val="10"/>
                <c:pt idx="0">
                  <c:v>98.651819126314379</c:v>
                </c:pt>
                <c:pt idx="1">
                  <c:v>122.94482091587803</c:v>
                </c:pt>
                <c:pt idx="2">
                  <c:v>148.28614607875437</c:v>
                </c:pt>
                <c:pt idx="3">
                  <c:v>162.5179468558446</c:v>
                </c:pt>
                <c:pt idx="4">
                  <c:v>169.06330702250534</c:v>
                </c:pt>
                <c:pt idx="5">
                  <c:v>176.16721229839976</c:v>
                </c:pt>
                <c:pt idx="6">
                  <c:v>180.78644130420719</c:v>
                </c:pt>
                <c:pt idx="7">
                  <c:v>181.18633929518293</c:v>
                </c:pt>
                <c:pt idx="8">
                  <c:v>184.23415012924551</c:v>
                </c:pt>
                <c:pt idx="9">
                  <c:v>185.23415012924536</c:v>
                </c:pt>
              </c:numCache>
            </c:numRef>
          </c:val>
          <c:smooth val="0"/>
          <c:extLst>
            <c:ext xmlns:c16="http://schemas.microsoft.com/office/drawing/2014/chart" uri="{C3380CC4-5D6E-409C-BE32-E72D297353CC}">
              <c16:uniqueId val="{00000002-3D3B-4688-9641-54FE2DE10CCC}"/>
            </c:ext>
          </c:extLst>
        </c:ser>
        <c:ser>
          <c:idx val="3"/>
          <c:order val="2"/>
          <c:tx>
            <c:strRef>
              <c:f>'Tier II'!$A$36</c:f>
              <c:strCache>
                <c:ptCount val="1"/>
                <c:pt idx="0">
                  <c:v>high</c:v>
                </c:pt>
              </c:strCache>
            </c:strRef>
          </c:tx>
          <c:spPr>
            <a:ln w="28575" cap="rnd">
              <a:solidFill>
                <a:schemeClr val="accent4"/>
              </a:solidFill>
              <a:round/>
            </a:ln>
            <a:effectLst/>
          </c:spPr>
          <c:marker>
            <c:symbol val="none"/>
          </c:marker>
          <c:cat>
            <c:numRef>
              <c:f>'Tier II'!$G$2:$P$2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'Tier II'!$G$36:$P$36</c:f>
              <c:numCache>
                <c:formatCode>_(* #,##0_);_(* \(#,##0\);_(* "-"??_);_(@_)</c:formatCode>
                <c:ptCount val="10"/>
                <c:pt idx="0">
                  <c:v>98.651819126314379</c:v>
                </c:pt>
                <c:pt idx="1">
                  <c:v>122.94482091587803</c:v>
                </c:pt>
                <c:pt idx="2">
                  <c:v>148.28614607875437</c:v>
                </c:pt>
                <c:pt idx="3">
                  <c:v>172.28614607875437</c:v>
                </c:pt>
                <c:pt idx="4">
                  <c:v>195.28614607875437</c:v>
                </c:pt>
                <c:pt idx="5">
                  <c:v>217.28614607875437</c:v>
                </c:pt>
                <c:pt idx="6">
                  <c:v>238.28614607875437</c:v>
                </c:pt>
                <c:pt idx="7">
                  <c:v>258.28614607875437</c:v>
                </c:pt>
                <c:pt idx="8">
                  <c:v>277.28614607875437</c:v>
                </c:pt>
                <c:pt idx="9">
                  <c:v>295.28614607875437</c:v>
                </c:pt>
              </c:numCache>
            </c:numRef>
          </c:val>
          <c:smooth val="0"/>
          <c:extLst>
            <c:ext xmlns:c16="http://schemas.microsoft.com/office/drawing/2014/chart" uri="{C3380CC4-5D6E-409C-BE32-E72D297353CC}">
              <c16:uniqueId val="{00000003-3D3B-4688-9641-54FE2DE10CCC}"/>
            </c:ext>
          </c:extLst>
        </c:ser>
        <c:dLbls>
          <c:showLegendKey val="0"/>
          <c:showVal val="0"/>
          <c:showCatName val="0"/>
          <c:showSerName val="0"/>
          <c:showPercent val="0"/>
          <c:showBubbleSize val="0"/>
        </c:dLbls>
        <c:smooth val="0"/>
        <c:axId val="948576160"/>
        <c:axId val="948572224"/>
      </c:lineChart>
      <c:catAx>
        <c:axId val="94857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8572224"/>
        <c:crosses val="autoZero"/>
        <c:auto val="1"/>
        <c:lblAlgn val="ctr"/>
        <c:lblOffset val="100"/>
        <c:noMultiLvlLbl val="0"/>
      </c:catAx>
      <c:valAx>
        <c:axId val="948572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8576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Net Metering Deployment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72598395083706"/>
          <c:y val="0.15632852847882725"/>
          <c:w val="0.84907002625041117"/>
          <c:h val="0.65221489882829953"/>
        </c:manualLayout>
      </c:layout>
      <c:lineChart>
        <c:grouping val="standard"/>
        <c:varyColors val="0"/>
        <c:ser>
          <c:idx val="0"/>
          <c:order val="0"/>
          <c:tx>
            <c:strRef>
              <c:f>'Tier II'!$A$34</c:f>
              <c:strCache>
                <c:ptCount val="1"/>
                <c:pt idx="0">
                  <c:v>low</c:v>
                </c:pt>
              </c:strCache>
            </c:strRef>
          </c:tx>
          <c:spPr>
            <a:ln w="28575" cap="rnd">
              <a:solidFill>
                <a:schemeClr val="accent1"/>
              </a:solidFill>
              <a:prstDash val="dash"/>
              <a:round/>
            </a:ln>
            <a:effectLst/>
          </c:spPr>
          <c:marker>
            <c:symbol val="none"/>
          </c:marker>
          <c:cat>
            <c:numRef>
              <c:f>'Tier II'!$E$111:$Y$111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'Tier II'!$E$112:$Y$112</c:f>
              <c:numCache>
                <c:formatCode>_(* #,##0.00_);_(* \(#,##0.00\);_(* "-"??_);_(@_)</c:formatCode>
                <c:ptCount val="21"/>
                <c:pt idx="0">
                  <c:v>8.2229279499999972</c:v>
                </c:pt>
                <c:pt idx="1">
                  <c:v>13.275909449999991</c:v>
                </c:pt>
                <c:pt idx="2">
                  <c:v>25.347094949999995</c:v>
                </c:pt>
                <c:pt idx="3">
                  <c:v>48.932617098999955</c:v>
                </c:pt>
                <c:pt idx="4">
                  <c:v>77.037147498999801</c:v>
                </c:pt>
                <c:pt idx="5">
                  <c:v>121.24644339899929</c:v>
                </c:pt>
                <c:pt idx="6">
                  <c:v>163.61327039899911</c:v>
                </c:pt>
                <c:pt idx="7">
                  <c:v>199.30275389899862</c:v>
                </c:pt>
                <c:pt idx="8">
                  <c:v>235.9353368989982</c:v>
                </c:pt>
                <c:pt idx="9">
                  <c:v>267.86622499899801</c:v>
                </c:pt>
                <c:pt idx="10">
                  <c:v>296.02190499899791</c:v>
                </c:pt>
                <c:pt idx="11">
                  <c:v>315.69781456215509</c:v>
                </c:pt>
                <c:pt idx="12">
                  <c:v>327.8443154569369</c:v>
                </c:pt>
                <c:pt idx="13">
                  <c:v>340.51497803837509</c:v>
                </c:pt>
                <c:pt idx="14">
                  <c:v>347.63087842692022</c:v>
                </c:pt>
                <c:pt idx="15">
                  <c:v>350.9035585102506</c:v>
                </c:pt>
                <c:pt idx="16">
                  <c:v>354.45551114819784</c:v>
                </c:pt>
                <c:pt idx="17">
                  <c:v>356.76512565110158</c:v>
                </c:pt>
                <c:pt idx="18">
                  <c:v>356.96507464658941</c:v>
                </c:pt>
                <c:pt idx="19">
                  <c:v>358.48898006362072</c:v>
                </c:pt>
                <c:pt idx="20">
                  <c:v>358.98898006362066</c:v>
                </c:pt>
              </c:numCache>
            </c:numRef>
          </c:val>
          <c:smooth val="0"/>
          <c:extLst>
            <c:ext xmlns:c16="http://schemas.microsoft.com/office/drawing/2014/chart" uri="{C3380CC4-5D6E-409C-BE32-E72D297353CC}">
              <c16:uniqueId val="{00000000-CA19-4DE7-8849-89F3FE57346F}"/>
            </c:ext>
          </c:extLst>
        </c:ser>
        <c:ser>
          <c:idx val="1"/>
          <c:order val="1"/>
          <c:tx>
            <c:strRef>
              <c:f>'Tier II'!$A$35</c:f>
              <c:strCache>
                <c:ptCount val="1"/>
                <c:pt idx="0">
                  <c:v>mid</c:v>
                </c:pt>
              </c:strCache>
            </c:strRef>
          </c:tx>
          <c:spPr>
            <a:ln w="28575" cap="rnd">
              <a:solidFill>
                <a:schemeClr val="accent2"/>
              </a:solidFill>
              <a:prstDash val="dash"/>
              <a:round/>
            </a:ln>
            <a:effectLst/>
          </c:spPr>
          <c:marker>
            <c:symbol val="none"/>
          </c:marker>
          <c:cat>
            <c:numRef>
              <c:f>'Tier II'!$E$111:$Y$111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'Tier II'!$E$113:$Y$113</c:f>
              <c:numCache>
                <c:formatCode>_(* #,##0.00_);_(* \(#,##0.00\);_(* "-"??_);_(@_)</c:formatCode>
                <c:ptCount val="21"/>
                <c:pt idx="0">
                  <c:v>8.2229279499999972</c:v>
                </c:pt>
                <c:pt idx="1">
                  <c:v>13.275909449999991</c:v>
                </c:pt>
                <c:pt idx="2">
                  <c:v>25.347094949999995</c:v>
                </c:pt>
                <c:pt idx="3">
                  <c:v>48.932617098999955</c:v>
                </c:pt>
                <c:pt idx="4">
                  <c:v>77.037147498999801</c:v>
                </c:pt>
                <c:pt idx="5">
                  <c:v>121.24644339899929</c:v>
                </c:pt>
                <c:pt idx="6">
                  <c:v>163.61327039899911</c:v>
                </c:pt>
                <c:pt idx="7">
                  <c:v>199.30275389899862</c:v>
                </c:pt>
                <c:pt idx="8">
                  <c:v>235.9353368989982</c:v>
                </c:pt>
                <c:pt idx="9">
                  <c:v>267.86622499899801</c:v>
                </c:pt>
                <c:pt idx="10">
                  <c:v>296.02190499899791</c:v>
                </c:pt>
                <c:pt idx="11">
                  <c:v>335.37372412531226</c:v>
                </c:pt>
                <c:pt idx="12">
                  <c:v>359.66672591487594</c:v>
                </c:pt>
                <c:pt idx="13">
                  <c:v>385.00805107775227</c:v>
                </c:pt>
                <c:pt idx="14">
                  <c:v>399.23985185484247</c:v>
                </c:pt>
                <c:pt idx="15">
                  <c:v>405.7852120215033</c:v>
                </c:pt>
                <c:pt idx="16">
                  <c:v>412.88911729739766</c:v>
                </c:pt>
                <c:pt idx="17">
                  <c:v>417.50834630320509</c:v>
                </c:pt>
                <c:pt idx="18">
                  <c:v>417.9082442941808</c:v>
                </c:pt>
                <c:pt idx="19">
                  <c:v>420.95605512824341</c:v>
                </c:pt>
                <c:pt idx="20">
                  <c:v>421.95605512824324</c:v>
                </c:pt>
              </c:numCache>
            </c:numRef>
          </c:val>
          <c:smooth val="0"/>
          <c:extLst>
            <c:ext xmlns:c16="http://schemas.microsoft.com/office/drawing/2014/chart" uri="{C3380CC4-5D6E-409C-BE32-E72D297353CC}">
              <c16:uniqueId val="{00000001-CA19-4DE7-8849-89F3FE57346F}"/>
            </c:ext>
          </c:extLst>
        </c:ser>
        <c:ser>
          <c:idx val="2"/>
          <c:order val="2"/>
          <c:tx>
            <c:strRef>
              <c:f>'Tier II'!$A$36</c:f>
              <c:strCache>
                <c:ptCount val="1"/>
                <c:pt idx="0">
                  <c:v>high</c:v>
                </c:pt>
              </c:strCache>
            </c:strRef>
          </c:tx>
          <c:spPr>
            <a:ln w="28575" cap="rnd">
              <a:solidFill>
                <a:schemeClr val="accent3"/>
              </a:solidFill>
              <a:round/>
            </a:ln>
            <a:effectLst/>
          </c:spPr>
          <c:marker>
            <c:symbol val="none"/>
          </c:marker>
          <c:dPt>
            <c:idx val="1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8-DA8F-4F28-945F-3A4AC4D7ED8D}"/>
              </c:ext>
            </c:extLst>
          </c:dPt>
          <c:dPt>
            <c:idx val="1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9-DA8F-4F28-945F-3A4AC4D7ED8D}"/>
              </c:ext>
            </c:extLst>
          </c:dPt>
          <c:dPt>
            <c:idx val="1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A-DA8F-4F28-945F-3A4AC4D7ED8D}"/>
              </c:ext>
            </c:extLst>
          </c:dPt>
          <c:dPt>
            <c:idx val="1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B-DA8F-4F28-945F-3A4AC4D7ED8D}"/>
              </c:ext>
            </c:extLst>
          </c:dPt>
          <c:dPt>
            <c:idx val="1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C-DA8F-4F28-945F-3A4AC4D7ED8D}"/>
              </c:ext>
            </c:extLst>
          </c:dPt>
          <c:dPt>
            <c:idx val="1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DA8F-4F28-945F-3A4AC4D7ED8D}"/>
              </c:ext>
            </c:extLst>
          </c:dPt>
          <c:dPt>
            <c:idx val="1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DA8F-4F28-945F-3A4AC4D7ED8D}"/>
              </c:ext>
            </c:extLst>
          </c:dPt>
          <c:dPt>
            <c:idx val="1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DA8F-4F28-945F-3A4AC4D7ED8D}"/>
              </c:ext>
            </c:extLst>
          </c:dPt>
          <c:dPt>
            <c:idx val="1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DA8F-4F28-945F-3A4AC4D7ED8D}"/>
              </c:ext>
            </c:extLst>
          </c:dPt>
          <c:dPt>
            <c:idx val="2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DA8F-4F28-945F-3A4AC4D7ED8D}"/>
              </c:ext>
            </c:extLst>
          </c:dPt>
          <c:cat>
            <c:numRef>
              <c:f>'Tier II'!$E$111:$Y$111</c:f>
              <c:numCache>
                <c:formatCode>General</c:formatCode>
                <c:ptCount val="21"/>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numCache>
            </c:numRef>
          </c:cat>
          <c:val>
            <c:numRef>
              <c:f>'Tier II'!$E$114:$Y$114</c:f>
              <c:numCache>
                <c:formatCode>_(* #,##0.00_);_(* \(#,##0.00\);_(* "-"??_);_(@_)</c:formatCode>
                <c:ptCount val="21"/>
                <c:pt idx="0">
                  <c:v>8.2229279499999972</c:v>
                </c:pt>
                <c:pt idx="1">
                  <c:v>13.275909449999991</c:v>
                </c:pt>
                <c:pt idx="2">
                  <c:v>25.347094949999995</c:v>
                </c:pt>
                <c:pt idx="3">
                  <c:v>48.932617098999955</c:v>
                </c:pt>
                <c:pt idx="4">
                  <c:v>77.037147498999801</c:v>
                </c:pt>
                <c:pt idx="5">
                  <c:v>121.24644339899929</c:v>
                </c:pt>
                <c:pt idx="6">
                  <c:v>163.61327039899911</c:v>
                </c:pt>
                <c:pt idx="7">
                  <c:v>199.30275389899862</c:v>
                </c:pt>
                <c:pt idx="8">
                  <c:v>235.9353368989982</c:v>
                </c:pt>
                <c:pt idx="9">
                  <c:v>267.86622499899801</c:v>
                </c:pt>
                <c:pt idx="10">
                  <c:v>296.02190499899791</c:v>
                </c:pt>
                <c:pt idx="11">
                  <c:v>335.37372412531226</c:v>
                </c:pt>
                <c:pt idx="12">
                  <c:v>359.66672591487594</c:v>
                </c:pt>
                <c:pt idx="13">
                  <c:v>385.00805107775227</c:v>
                </c:pt>
                <c:pt idx="14">
                  <c:v>409.00805107775233</c:v>
                </c:pt>
                <c:pt idx="15">
                  <c:v>432.00805107775233</c:v>
                </c:pt>
                <c:pt idx="16">
                  <c:v>454.00805107775233</c:v>
                </c:pt>
                <c:pt idx="17">
                  <c:v>475.00805107775233</c:v>
                </c:pt>
                <c:pt idx="18">
                  <c:v>495.00805107775233</c:v>
                </c:pt>
                <c:pt idx="19">
                  <c:v>514.00805107775227</c:v>
                </c:pt>
                <c:pt idx="20">
                  <c:v>532.00805107775227</c:v>
                </c:pt>
              </c:numCache>
            </c:numRef>
          </c:val>
          <c:smooth val="0"/>
          <c:extLst>
            <c:ext xmlns:c16="http://schemas.microsoft.com/office/drawing/2014/chart" uri="{C3380CC4-5D6E-409C-BE32-E72D297353CC}">
              <c16:uniqueId val="{00000002-CA19-4DE7-8849-89F3FE57346F}"/>
            </c:ext>
          </c:extLst>
        </c:ser>
        <c:dLbls>
          <c:showLegendKey val="0"/>
          <c:showVal val="0"/>
          <c:showCatName val="0"/>
          <c:showSerName val="0"/>
          <c:showPercent val="0"/>
          <c:showBubbleSize val="0"/>
        </c:dLbls>
        <c:smooth val="0"/>
        <c:axId val="660701680"/>
        <c:axId val="660703976"/>
      </c:lineChart>
      <c:catAx>
        <c:axId val="66070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703976"/>
        <c:crosses val="autoZero"/>
        <c:auto val="1"/>
        <c:lblAlgn val="ctr"/>
        <c:lblOffset val="100"/>
        <c:noMultiLvlLbl val="0"/>
      </c:catAx>
      <c:valAx>
        <c:axId val="6607039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Installed Capacity (MW)</a:t>
                </a:r>
              </a:p>
            </c:rich>
          </c:tx>
          <c:layout>
            <c:manualLayout>
              <c:xMode val="edge"/>
              <c:yMode val="edge"/>
              <c:x val="3.2509699623853555E-2"/>
              <c:y val="0.361361384186871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70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Tier II</a:t>
            </a:r>
            <a:r>
              <a:rPr lang="en-US" baseline="0"/>
              <a:t> Price Scenario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'price forecasts'!$A$25</c:f>
              <c:strCache>
                <c:ptCount val="1"/>
                <c:pt idx="0">
                  <c:v>Low</c:v>
                </c:pt>
              </c:strCache>
            </c:strRef>
          </c:tx>
          <c:spPr>
            <a:ln w="28575" cap="rnd">
              <a:solidFill>
                <a:schemeClr val="accent1"/>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forecasts'!$G$25:$P$25</c:f>
              <c:numCache>
                <c:formatCode>_("$"* #,##0.00_);_("$"* \(#,##0.00\);_("$"* "-"??_);_(@_)</c:formatCode>
                <c:ptCount val="10"/>
                <c:pt idx="0">
                  <c:v>33.010649580647502</c:v>
                </c:pt>
                <c:pt idx="1">
                  <c:v>34.758620689655174</c:v>
                </c:pt>
                <c:pt idx="2">
                  <c:v>32.482758620689658</c:v>
                </c:pt>
                <c:pt idx="3">
                  <c:v>33.375</c:v>
                </c:pt>
                <c:pt idx="4">
                  <c:v>30.037500000000001</c:v>
                </c:pt>
                <c:pt idx="5">
                  <c:v>27.033750000000001</c:v>
                </c:pt>
                <c:pt idx="6">
                  <c:v>24.330375</c:v>
                </c:pt>
                <c:pt idx="7">
                  <c:v>24.330375</c:v>
                </c:pt>
                <c:pt idx="8">
                  <c:v>24.330375</c:v>
                </c:pt>
                <c:pt idx="9">
                  <c:v>24.330375</c:v>
                </c:pt>
              </c:numCache>
            </c:numRef>
          </c:val>
          <c:smooth val="0"/>
          <c:extLst>
            <c:ext xmlns:c16="http://schemas.microsoft.com/office/drawing/2014/chart" uri="{C3380CC4-5D6E-409C-BE32-E72D297353CC}">
              <c16:uniqueId val="{00000000-3F72-4F09-AE05-F8D5AB914540}"/>
            </c:ext>
          </c:extLst>
        </c:ser>
        <c:ser>
          <c:idx val="1"/>
          <c:order val="1"/>
          <c:tx>
            <c:strRef>
              <c:f>'price forecasts'!$A$26</c:f>
              <c:strCache>
                <c:ptCount val="1"/>
                <c:pt idx="0">
                  <c:v>Mid</c:v>
                </c:pt>
              </c:strCache>
            </c:strRef>
          </c:tx>
          <c:spPr>
            <a:ln w="28575" cap="rnd">
              <a:solidFill>
                <a:schemeClr val="accent2"/>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forecasts'!$G$26:$P$26</c:f>
              <c:numCache>
                <c:formatCode>_("$"* #,##0.00_);_("$"* \(#,##0.00\);_("$"* "-"??_);_(@_)</c:formatCode>
                <c:ptCount val="10"/>
                <c:pt idx="0">
                  <c:v>33.010649580647502</c:v>
                </c:pt>
                <c:pt idx="1">
                  <c:v>34.758620689655174</c:v>
                </c:pt>
                <c:pt idx="2">
                  <c:v>32.482758620689658</c:v>
                </c:pt>
                <c:pt idx="3">
                  <c:v>33.375</c:v>
                </c:pt>
                <c:pt idx="4">
                  <c:v>33.375</c:v>
                </c:pt>
                <c:pt idx="5">
                  <c:v>33.375</c:v>
                </c:pt>
                <c:pt idx="6">
                  <c:v>33.375</c:v>
                </c:pt>
                <c:pt idx="7">
                  <c:v>33.375</c:v>
                </c:pt>
                <c:pt idx="8">
                  <c:v>33.375</c:v>
                </c:pt>
                <c:pt idx="9">
                  <c:v>33.375</c:v>
                </c:pt>
              </c:numCache>
            </c:numRef>
          </c:val>
          <c:smooth val="0"/>
          <c:extLst>
            <c:ext xmlns:c16="http://schemas.microsoft.com/office/drawing/2014/chart" uri="{C3380CC4-5D6E-409C-BE32-E72D297353CC}">
              <c16:uniqueId val="{00000001-3F72-4F09-AE05-F8D5AB914540}"/>
            </c:ext>
          </c:extLst>
        </c:ser>
        <c:ser>
          <c:idx val="2"/>
          <c:order val="2"/>
          <c:tx>
            <c:strRef>
              <c:f>'price forecasts'!$A$27</c:f>
              <c:strCache>
                <c:ptCount val="1"/>
                <c:pt idx="0">
                  <c:v>High</c:v>
                </c:pt>
              </c:strCache>
            </c:strRef>
          </c:tx>
          <c:spPr>
            <a:ln w="28575" cap="rnd">
              <a:solidFill>
                <a:schemeClr val="accent3"/>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forecasts'!$G$27:$P$27</c:f>
              <c:numCache>
                <c:formatCode>_("$"* #,##0.00_);_("$"* \(#,##0.00\);_("$"* "-"??_);_(@_)</c:formatCode>
                <c:ptCount val="10"/>
                <c:pt idx="0">
                  <c:v>33.010649580647502</c:v>
                </c:pt>
                <c:pt idx="1">
                  <c:v>34.758620689655174</c:v>
                </c:pt>
                <c:pt idx="2">
                  <c:v>32.482758620689658</c:v>
                </c:pt>
                <c:pt idx="3">
                  <c:v>33.375</c:v>
                </c:pt>
                <c:pt idx="4">
                  <c:v>36.712500000000006</c:v>
                </c:pt>
                <c:pt idx="5">
                  <c:v>38.548125000000006</c:v>
                </c:pt>
                <c:pt idx="6">
                  <c:v>40.47553125000001</c:v>
                </c:pt>
                <c:pt idx="7">
                  <c:v>40.47553125000001</c:v>
                </c:pt>
                <c:pt idx="8">
                  <c:v>40.47553125000001</c:v>
                </c:pt>
                <c:pt idx="9">
                  <c:v>40.47553125000001</c:v>
                </c:pt>
              </c:numCache>
            </c:numRef>
          </c:val>
          <c:smooth val="0"/>
          <c:extLst>
            <c:ext xmlns:c16="http://schemas.microsoft.com/office/drawing/2014/chart" uri="{C3380CC4-5D6E-409C-BE32-E72D297353CC}">
              <c16:uniqueId val="{00000002-3F72-4F09-AE05-F8D5AB914540}"/>
            </c:ext>
          </c:extLst>
        </c:ser>
        <c:dLbls>
          <c:showLegendKey val="0"/>
          <c:showVal val="0"/>
          <c:showCatName val="0"/>
          <c:showSerName val="0"/>
          <c:showPercent val="0"/>
          <c:showBubbleSize val="0"/>
        </c:dLbls>
        <c:smooth val="0"/>
        <c:axId val="704144552"/>
        <c:axId val="704148816"/>
      </c:lineChart>
      <c:catAx>
        <c:axId val="70414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148816"/>
        <c:crosses val="autoZero"/>
        <c:auto val="1"/>
        <c:lblAlgn val="ctr"/>
        <c:lblOffset val="100"/>
        <c:noMultiLvlLbl val="0"/>
      </c:catAx>
      <c:valAx>
        <c:axId val="704148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14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Wholesale Energy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74781277340334"/>
          <c:y val="0.16708333333333336"/>
          <c:w val="0.7956966316710411"/>
          <c:h val="0.72551727909011365"/>
        </c:manualLayout>
      </c:layout>
      <c:lineChart>
        <c:grouping val="standard"/>
        <c:varyColors val="0"/>
        <c:ser>
          <c:idx val="0"/>
          <c:order val="0"/>
          <c:spPr>
            <a:ln w="28575" cap="rnd">
              <a:solidFill>
                <a:schemeClr val="accent1"/>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forecasts'!$G$6:$P$6</c:f>
              <c:numCache>
                <c:formatCode>_("$"* #,##0.00_);_("$"* \(#,##0.00\);_("$"* "-"??_);_(@_)</c:formatCode>
                <c:ptCount val="10"/>
                <c:pt idx="0">
                  <c:v>97.059650000000005</c:v>
                </c:pt>
                <c:pt idx="1">
                  <c:v>104.08840000000001</c:v>
                </c:pt>
                <c:pt idx="2">
                  <c:v>89.132349699335393</c:v>
                </c:pt>
                <c:pt idx="3">
                  <c:v>85.227838560426832</c:v>
                </c:pt>
                <c:pt idx="4">
                  <c:v>83.999541163172751</c:v>
                </c:pt>
                <c:pt idx="5">
                  <c:v>81.33295096931063</c:v>
                </c:pt>
                <c:pt idx="6">
                  <c:v>78.66636077544851</c:v>
                </c:pt>
                <c:pt idx="7">
                  <c:v>75.99977058158639</c:v>
                </c:pt>
                <c:pt idx="8">
                  <c:v>73.333180387724269</c:v>
                </c:pt>
                <c:pt idx="9">
                  <c:v>68</c:v>
                </c:pt>
              </c:numCache>
            </c:numRef>
          </c:val>
          <c:smooth val="0"/>
          <c:extLst>
            <c:ext xmlns:c16="http://schemas.microsoft.com/office/drawing/2014/chart" uri="{C3380CC4-5D6E-409C-BE32-E72D297353CC}">
              <c16:uniqueId val="{00000000-B7A6-45A5-9FF0-40A7A43E2AD2}"/>
            </c:ext>
          </c:extLst>
        </c:ser>
        <c:dLbls>
          <c:showLegendKey val="0"/>
          <c:showVal val="0"/>
          <c:showCatName val="0"/>
          <c:showSerName val="0"/>
          <c:showPercent val="0"/>
          <c:showBubbleSize val="0"/>
        </c:dLbls>
        <c:smooth val="0"/>
        <c:axId val="995479832"/>
        <c:axId val="995485736"/>
      </c:lineChart>
      <c:catAx>
        <c:axId val="99547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485736"/>
        <c:crosses val="autoZero"/>
        <c:auto val="1"/>
        <c:lblAlgn val="ctr"/>
        <c:lblOffset val="100"/>
        <c:noMultiLvlLbl val="0"/>
      </c:catAx>
      <c:valAx>
        <c:axId val="995485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MWh</a:t>
                </a:r>
              </a:p>
            </c:rich>
          </c:tx>
          <c:layout>
            <c:manualLayout>
              <c:xMode val="edge"/>
              <c:yMode val="edge"/>
              <c:x val="1.8874890638670167E-2"/>
              <c:y val="0.383997156605424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479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Tier I Price </a:t>
            </a:r>
            <a:r>
              <a:rPr lang="en-US" sz="1400" b="0" i="0" u="none" strike="noStrike" baseline="0">
                <a:effectLst/>
              </a:rPr>
              <a:t>Scenario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'price forecasts'!$A$21</c:f>
              <c:strCache>
                <c:ptCount val="1"/>
                <c:pt idx="0">
                  <c:v>Low</c:v>
                </c:pt>
              </c:strCache>
            </c:strRef>
          </c:tx>
          <c:spPr>
            <a:ln w="28575" cap="rnd">
              <a:solidFill>
                <a:schemeClr val="accent1"/>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forecasts'!$G$21:$P$21</c:f>
              <c:numCache>
                <c:formatCode>_("$"* #,##0.00_);_("$"* \(#,##0.00\);_("$"* "-"??_);_(@_)</c:formatCode>
                <c:ptCount val="10"/>
                <c:pt idx="0">
                  <c:v>7.65</c:v>
                </c:pt>
                <c:pt idx="1">
                  <c:v>6.65</c:v>
                </c:pt>
                <c:pt idx="2">
                  <c:v>5.65</c:v>
                </c:pt>
                <c:pt idx="3">
                  <c:v>5.65</c:v>
                </c:pt>
                <c:pt idx="4">
                  <c:v>5.65</c:v>
                </c:pt>
                <c:pt idx="5">
                  <c:v>5.65</c:v>
                </c:pt>
                <c:pt idx="6">
                  <c:v>5.65</c:v>
                </c:pt>
                <c:pt idx="7">
                  <c:v>5.65</c:v>
                </c:pt>
                <c:pt idx="8">
                  <c:v>5.65</c:v>
                </c:pt>
                <c:pt idx="9">
                  <c:v>5.65</c:v>
                </c:pt>
              </c:numCache>
            </c:numRef>
          </c:val>
          <c:smooth val="0"/>
          <c:extLst>
            <c:ext xmlns:c16="http://schemas.microsoft.com/office/drawing/2014/chart" uri="{C3380CC4-5D6E-409C-BE32-E72D297353CC}">
              <c16:uniqueId val="{00000000-C99B-44B0-A8F4-AD90CE11094F}"/>
            </c:ext>
          </c:extLst>
        </c:ser>
        <c:ser>
          <c:idx val="1"/>
          <c:order val="1"/>
          <c:tx>
            <c:strRef>
              <c:f>'price forecasts'!$A$22</c:f>
              <c:strCache>
                <c:ptCount val="1"/>
                <c:pt idx="0">
                  <c:v>Mid</c:v>
                </c:pt>
              </c:strCache>
            </c:strRef>
          </c:tx>
          <c:spPr>
            <a:ln w="28575" cap="rnd">
              <a:solidFill>
                <a:schemeClr val="accent2"/>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forecasts'!$G$22:$P$22</c:f>
              <c:numCache>
                <c:formatCode>_("$"* #,##0.00_);_("$"* \(#,##0.00\);_("$"* "-"??_);_(@_)</c:formatCode>
                <c:ptCount val="10"/>
                <c:pt idx="0">
                  <c:v>7.65</c:v>
                </c:pt>
                <c:pt idx="1">
                  <c:v>7.8030000000000008</c:v>
                </c:pt>
                <c:pt idx="2">
                  <c:v>7.9590600000000009</c:v>
                </c:pt>
                <c:pt idx="3">
                  <c:v>8.1182412000000017</c:v>
                </c:pt>
                <c:pt idx="4">
                  <c:v>8.2806060240000026</c:v>
                </c:pt>
                <c:pt idx="5">
                  <c:v>8.4462181444800031</c:v>
                </c:pt>
                <c:pt idx="6">
                  <c:v>8.6151425073696029</c:v>
                </c:pt>
                <c:pt idx="7">
                  <c:v>8.7874453575169955</c:v>
                </c:pt>
                <c:pt idx="8">
                  <c:v>8.9631942646673348</c:v>
                </c:pt>
                <c:pt idx="9">
                  <c:v>9.1424581499606816</c:v>
                </c:pt>
              </c:numCache>
            </c:numRef>
          </c:val>
          <c:smooth val="0"/>
          <c:extLst>
            <c:ext xmlns:c16="http://schemas.microsoft.com/office/drawing/2014/chart" uri="{C3380CC4-5D6E-409C-BE32-E72D297353CC}">
              <c16:uniqueId val="{00000008-C99B-44B0-A8F4-AD90CE11094F}"/>
            </c:ext>
          </c:extLst>
        </c:ser>
        <c:ser>
          <c:idx val="2"/>
          <c:order val="2"/>
          <c:tx>
            <c:strRef>
              <c:f>'price forecasts'!$A$23</c:f>
              <c:strCache>
                <c:ptCount val="1"/>
                <c:pt idx="0">
                  <c:v>High</c:v>
                </c:pt>
              </c:strCache>
            </c:strRef>
          </c:tx>
          <c:spPr>
            <a:ln w="28575" cap="rnd">
              <a:solidFill>
                <a:schemeClr val="accent3"/>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forecasts'!$G$23:$P$23</c:f>
              <c:numCache>
                <c:formatCode>_("$"* #,##0.00_);_("$"* \(#,##0.00\);_("$"* "-"??_);_(@_)</c:formatCode>
                <c:ptCount val="10"/>
                <c:pt idx="0">
                  <c:v>11.16</c:v>
                </c:pt>
                <c:pt idx="1">
                  <c:v>11.97</c:v>
                </c:pt>
                <c:pt idx="2">
                  <c:v>12.4488</c:v>
                </c:pt>
                <c:pt idx="3">
                  <c:v>12.946752</c:v>
                </c:pt>
                <c:pt idx="4">
                  <c:v>13.46462208</c:v>
                </c:pt>
                <c:pt idx="5">
                  <c:v>14.0032069632</c:v>
                </c:pt>
                <c:pt idx="6">
                  <c:v>14.563335241728002</c:v>
                </c:pt>
                <c:pt idx="7">
                  <c:v>15.145868651397121</c:v>
                </c:pt>
                <c:pt idx="8">
                  <c:v>15.751703397453007</c:v>
                </c:pt>
                <c:pt idx="9">
                  <c:v>16.381771533351127</c:v>
                </c:pt>
              </c:numCache>
            </c:numRef>
          </c:val>
          <c:smooth val="0"/>
          <c:extLst>
            <c:ext xmlns:c16="http://schemas.microsoft.com/office/drawing/2014/chart" uri="{C3380CC4-5D6E-409C-BE32-E72D297353CC}">
              <c16:uniqueId val="{00000002-C99B-44B0-A8F4-AD90CE11094F}"/>
            </c:ext>
          </c:extLst>
        </c:ser>
        <c:dLbls>
          <c:showLegendKey val="0"/>
          <c:showVal val="0"/>
          <c:showCatName val="0"/>
          <c:showSerName val="0"/>
          <c:showPercent val="0"/>
          <c:showBubbleSize val="0"/>
        </c:dLbls>
        <c:smooth val="0"/>
        <c:axId val="888412904"/>
        <c:axId val="888410280"/>
      </c:lineChart>
      <c:catAx>
        <c:axId val="88841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410280"/>
        <c:crosses val="autoZero"/>
        <c:auto val="1"/>
        <c:lblAlgn val="ctr"/>
        <c:lblOffset val="100"/>
        <c:noMultiLvlLbl val="0"/>
      </c:catAx>
      <c:valAx>
        <c:axId val="888410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41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Fossil Heating Price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9763127135968"/>
          <c:y val="7.3484507266906446E-2"/>
          <c:w val="0.84500256116311456"/>
          <c:h val="0.79078729034407602"/>
        </c:manualLayout>
      </c:layout>
      <c:lineChart>
        <c:grouping val="standard"/>
        <c:varyColors val="0"/>
        <c:ser>
          <c:idx val="0"/>
          <c:order val="0"/>
          <c:tx>
            <c:strRef>
              <c:f>'price forecasts'!$A$12</c:f>
              <c:strCache>
                <c:ptCount val="1"/>
                <c:pt idx="0">
                  <c:v>low</c:v>
                </c:pt>
              </c:strCache>
            </c:strRef>
          </c:tx>
          <c:spPr>
            <a:ln w="28575" cap="rnd">
              <a:solidFill>
                <a:schemeClr val="accent1"/>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forecasts'!$G$12:$P$12</c:f>
              <c:numCache>
                <c:formatCode>_("$"* #,##0.00_);_("$"* \(#,##0.00\);_("$"* "-"??_);_(@_)</c:formatCode>
                <c:ptCount val="10"/>
                <c:pt idx="0">
                  <c:v>19.169363556113311</c:v>
                </c:pt>
                <c:pt idx="1">
                  <c:v>18.977669920552177</c:v>
                </c:pt>
                <c:pt idx="2">
                  <c:v>18.787893221346657</c:v>
                </c:pt>
                <c:pt idx="3">
                  <c:v>18.600014289133192</c:v>
                </c:pt>
                <c:pt idx="4">
                  <c:v>18.414014146241861</c:v>
                </c:pt>
                <c:pt idx="5">
                  <c:v>18.229874004779443</c:v>
                </c:pt>
                <c:pt idx="6">
                  <c:v>18.047575264731648</c:v>
                </c:pt>
                <c:pt idx="7">
                  <c:v>17.86709951208433</c:v>
                </c:pt>
                <c:pt idx="8">
                  <c:v>17.688428516963487</c:v>
                </c:pt>
                <c:pt idx="9">
                  <c:v>17.511544231793852</c:v>
                </c:pt>
              </c:numCache>
            </c:numRef>
          </c:val>
          <c:smooth val="0"/>
          <c:extLst>
            <c:ext xmlns:c16="http://schemas.microsoft.com/office/drawing/2014/chart" uri="{C3380CC4-5D6E-409C-BE32-E72D297353CC}">
              <c16:uniqueId val="{00000000-D7D9-418F-8035-58AB7D459D95}"/>
            </c:ext>
          </c:extLst>
        </c:ser>
        <c:ser>
          <c:idx val="1"/>
          <c:order val="1"/>
          <c:tx>
            <c:strRef>
              <c:f>'price forecasts'!$A$13</c:f>
              <c:strCache>
                <c:ptCount val="1"/>
                <c:pt idx="0">
                  <c:v>mid</c:v>
                </c:pt>
              </c:strCache>
            </c:strRef>
          </c:tx>
          <c:spPr>
            <a:ln w="28575" cap="rnd">
              <a:solidFill>
                <a:schemeClr val="accent2"/>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forecasts'!$G$13:$P$13</c:f>
              <c:numCache>
                <c:formatCode>_("$"* #,##0.00_);_("$"* \(#,##0.00\);_("$"* "-"??_);_(@_)</c:formatCode>
                <c:ptCount val="10"/>
                <c:pt idx="0">
                  <c:v>19.672801386879922</c:v>
                </c:pt>
                <c:pt idx="1">
                  <c:v>19.98756620907</c:v>
                </c:pt>
                <c:pt idx="2">
                  <c:v>20.307367268415121</c:v>
                </c:pt>
                <c:pt idx="3">
                  <c:v>20.632285144709762</c:v>
                </c:pt>
                <c:pt idx="4">
                  <c:v>20.962401707025119</c:v>
                </c:pt>
                <c:pt idx="5">
                  <c:v>21.297800134337521</c:v>
                </c:pt>
                <c:pt idx="6">
                  <c:v>21.638564936486922</c:v>
                </c:pt>
                <c:pt idx="7">
                  <c:v>21.984781975470714</c:v>
                </c:pt>
                <c:pt idx="8">
                  <c:v>22.336538487078247</c:v>
                </c:pt>
                <c:pt idx="9">
                  <c:v>22.693923102871498</c:v>
                </c:pt>
              </c:numCache>
            </c:numRef>
          </c:val>
          <c:smooth val="0"/>
          <c:extLst>
            <c:ext xmlns:c16="http://schemas.microsoft.com/office/drawing/2014/chart" uri="{C3380CC4-5D6E-409C-BE32-E72D297353CC}">
              <c16:uniqueId val="{00000001-D7D9-418F-8035-58AB7D459D95}"/>
            </c:ext>
          </c:extLst>
        </c:ser>
        <c:ser>
          <c:idx val="2"/>
          <c:order val="2"/>
          <c:tx>
            <c:strRef>
              <c:f>'price forecasts'!$A$14</c:f>
              <c:strCache>
                <c:ptCount val="1"/>
                <c:pt idx="0">
                  <c:v>high</c:v>
                </c:pt>
              </c:strCache>
            </c:strRef>
          </c:tx>
          <c:spPr>
            <a:ln w="28575" cap="rnd">
              <a:solidFill>
                <a:schemeClr val="accent3"/>
              </a:solidFill>
              <a:round/>
            </a:ln>
            <a:effectLst/>
          </c:spPr>
          <c:marker>
            <c:symbol val="none"/>
          </c:marker>
          <c:cat>
            <c:numRef>
              <c:f>'price forecasts'!$G$5:$P$5</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'price forecasts'!$G$14:$P$14</c:f>
              <c:numCache>
                <c:formatCode>_("$"* #,##0.00_);_("$"* \(#,##0.00\);_("$"* "-"??_);_(@_)</c:formatCode>
                <c:ptCount val="10"/>
                <c:pt idx="0">
                  <c:v>20.331143165574723</c:v>
                </c:pt>
                <c:pt idx="1">
                  <c:v>21.347700323853459</c:v>
                </c:pt>
                <c:pt idx="2">
                  <c:v>22.415085340046133</c:v>
                </c:pt>
                <c:pt idx="3">
                  <c:v>23.535839607048441</c:v>
                </c:pt>
                <c:pt idx="4">
                  <c:v>24.712631587400864</c:v>
                </c:pt>
                <c:pt idx="5">
                  <c:v>25.948263166770907</c:v>
                </c:pt>
                <c:pt idx="6">
                  <c:v>27.245676325109454</c:v>
                </c:pt>
                <c:pt idx="7">
                  <c:v>28.607960141364927</c:v>
                </c:pt>
                <c:pt idx="8">
                  <c:v>30.038358148433176</c:v>
                </c:pt>
                <c:pt idx="9">
                  <c:v>31.540276055854836</c:v>
                </c:pt>
              </c:numCache>
            </c:numRef>
          </c:val>
          <c:smooth val="0"/>
          <c:extLst>
            <c:ext xmlns:c16="http://schemas.microsoft.com/office/drawing/2014/chart" uri="{C3380CC4-5D6E-409C-BE32-E72D297353CC}">
              <c16:uniqueId val="{00000002-D7D9-418F-8035-58AB7D459D95}"/>
            </c:ext>
          </c:extLst>
        </c:ser>
        <c:dLbls>
          <c:showLegendKey val="0"/>
          <c:showVal val="0"/>
          <c:showCatName val="0"/>
          <c:showSerName val="0"/>
          <c:showPercent val="0"/>
          <c:showBubbleSize val="0"/>
        </c:dLbls>
        <c:smooth val="0"/>
        <c:axId val="377204640"/>
        <c:axId val="377205032"/>
      </c:lineChart>
      <c:catAx>
        <c:axId val="37720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5032"/>
        <c:crosses val="autoZero"/>
        <c:auto val="1"/>
        <c:lblAlgn val="ctr"/>
        <c:lblOffset val="100"/>
        <c:noMultiLvlLbl val="0"/>
      </c:catAx>
      <c:valAx>
        <c:axId val="37720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$/MMBtu for Residential</a:t>
                </a:r>
                <a:r>
                  <a:rPr lang="en-US" baseline="0"/>
                  <a:t> Heating</a:t>
                </a:r>
                <a:endParaRPr lang="en-US"/>
              </a:p>
            </c:rich>
          </c:tx>
          <c:layout>
            <c:manualLayout>
              <c:xMode val="edge"/>
              <c:yMode val="edge"/>
              <c:x val="2.6038668490839065E-2"/>
              <c:y val="0.293104176049708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0.xml"/><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211849</xdr:colOff>
      <xdr:row>1</xdr:row>
      <xdr:rowOff>0</xdr:rowOff>
    </xdr:from>
    <xdr:to>
      <xdr:col>16</xdr:col>
      <xdr:colOff>552449</xdr:colOff>
      <xdr:row>23</xdr:row>
      <xdr:rowOff>123825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11849" y="180975"/>
          <a:ext cx="10094200" cy="41052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Statutory</a:t>
          </a:r>
          <a:r>
            <a:rPr lang="en-US" sz="1600" b="1" u="sng" baseline="0"/>
            <a:t> Requirement</a:t>
          </a:r>
          <a:endParaRPr lang="en-US" sz="1600" b="1" u="sng"/>
        </a:p>
        <a:p>
          <a:endParaRPr lang="en-US" sz="1100" b="1" u="sng"/>
        </a:p>
        <a:p>
          <a:r>
            <a:rPr lang="en-US" sz="1100" b="1" u="sng"/>
            <a:t>30 V.S.A S8005b Renewable</a:t>
          </a:r>
          <a:r>
            <a:rPr lang="en-US" sz="1100" b="1" u="sng" baseline="0"/>
            <a:t> energy programs; reports</a:t>
          </a:r>
        </a:p>
        <a:p>
          <a:r>
            <a:rPr lang="en-US" sz="1100" b="1" u="sng"/>
            <a:t>(b)</a:t>
          </a:r>
          <a:r>
            <a:rPr lang="en-US" sz="1100" b="1" u="sng" baseline="0"/>
            <a:t> Annual RES Report</a:t>
          </a:r>
        </a:p>
        <a:p>
          <a:r>
            <a:rPr lang="en-US" sz="1100" b="0" u="none" baseline="0"/>
            <a:t>(2) Projections, looking at least 10 years ahead, of the impacts of the RES.</a:t>
          </a:r>
        </a:p>
        <a:p>
          <a:r>
            <a:rPr lang="en-US" sz="1100" b="0" u="none" baseline="0"/>
            <a:t>	(A) The Department shall employ an economic model to make these projections, to be known as the Consolidated RES Model, and shall consider at least 	three scenarios based on high, mid-range, and low energy price forecasts.</a:t>
          </a:r>
        </a:p>
        <a:p>
          <a:r>
            <a:rPr lang="en-US" sz="1100" b="0" u="none" baseline="0"/>
            <a:t>	(B) The Department shall make the model and associated documents available on the Department's website</a:t>
          </a:r>
        </a:p>
        <a:p>
          <a:r>
            <a:rPr lang="en-US" sz="1100" b="0" u="none" baseline="0"/>
            <a:t>	(C) In preparing these projections, the Department shall:</a:t>
          </a:r>
        </a:p>
        <a:p>
          <a:pPr lvl="1"/>
          <a:r>
            <a:rPr lang="en-US" sz="1100" b="0" u="none" baseline="0"/>
            <a:t>		(i) characterize each of the model's assumptions according to level of certainty, with the levels being high, medium and low; </a:t>
          </a:r>
        </a:p>
        <a:p>
          <a:r>
            <a:rPr lang="en-US" sz="1100" b="0" u="none" baseline="0"/>
            <a:t>		(ii) provide an opportunity for public comment.</a:t>
          </a:r>
        </a:p>
        <a:p>
          <a:r>
            <a:rPr lang="en-US" sz="1100" b="0" u="none" baseline="0"/>
            <a:t>	(D) The Department shall project, for the State, the impact of the RES in each of the following areas: electric utility rates; total energy consumption; 	electric energy consumption; fossil fuel consumption; and greenhouse gas emissions.  The report shall compare the amount or level in each of these 	areas with and without the program</a:t>
          </a:r>
          <a:endParaRPr lang="en-US" sz="1100" b="0" u="none"/>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366622</xdr:colOff>
      <xdr:row>8</xdr:row>
      <xdr:rowOff>312708</xdr:rowOff>
    </xdr:from>
    <xdr:to>
      <xdr:col>21</xdr:col>
      <xdr:colOff>324136</xdr:colOff>
      <xdr:row>53</xdr:row>
      <xdr:rowOff>174442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22407" t="10273" r="39321" b="8584"/>
        <a:stretch/>
      </xdr:blipFill>
      <xdr:spPr>
        <a:xfrm>
          <a:off x="14007141" y="3763274"/>
          <a:ext cx="6998179" cy="8346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259826</xdr:colOff>
      <xdr:row>1</xdr:row>
      <xdr:rowOff>314325</xdr:rowOff>
    </xdr:from>
    <xdr:to>
      <xdr:col>22</xdr:col>
      <xdr:colOff>402304</xdr:colOff>
      <xdr:row>20</xdr:row>
      <xdr:rowOff>134126</xdr:rowOff>
    </xdr:to>
    <xdr:pic>
      <xdr:nvPicPr>
        <xdr:cNvPr id="2" name="Picture 1">
          <a:extLst>
            <a:ext uri="{FF2B5EF4-FFF2-40B4-BE49-F238E27FC236}">
              <a16:creationId xmlns:a16="http://schemas.microsoft.com/office/drawing/2014/main" id="{EA698653-AC86-066C-9B6B-DF51CDD8D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8476" y="866775"/>
          <a:ext cx="5625068" cy="4159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1048647</xdr:colOff>
      <xdr:row>107</xdr:row>
      <xdr:rowOff>100854</xdr:rowOff>
    </xdr:from>
    <xdr:to>
      <xdr:col>7</xdr:col>
      <xdr:colOff>439046</xdr:colOff>
      <xdr:row>130</xdr:row>
      <xdr:rowOff>150608</xdr:rowOff>
    </xdr:to>
    <xdr:graphicFrame macro="">
      <xdr:nvGraphicFramePr>
        <xdr:cNvPr id="5" name="Chart 4">
          <a:extLst>
            <a:ext uri="{FF2B5EF4-FFF2-40B4-BE49-F238E27FC236}">
              <a16:creationId xmlns:a16="http://schemas.microsoft.com/office/drawing/2014/main" id="{F4F1021D-D279-47AB-6775-A87CAC9155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2016</xdr:colOff>
      <xdr:row>5</xdr:row>
      <xdr:rowOff>6561</xdr:rowOff>
    </xdr:from>
    <xdr:to>
      <xdr:col>30</xdr:col>
      <xdr:colOff>462643</xdr:colOff>
      <xdr:row>27</xdr:row>
      <xdr:rowOff>127001</xdr:rowOff>
    </xdr:to>
    <xdr:graphicFrame macro="">
      <xdr:nvGraphicFramePr>
        <xdr:cNvPr id="10" name="Chart 1">
          <a:extLst>
            <a:ext uri="{FF2B5EF4-FFF2-40B4-BE49-F238E27FC236}">
              <a16:creationId xmlns:a16="http://schemas.microsoft.com/office/drawing/2014/main" id="{69E7346B-5591-49AB-BBE5-338F19086D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27</xdr:col>
      <xdr:colOff>476153</xdr:colOff>
      <xdr:row>4</xdr:row>
      <xdr:rowOff>152015</xdr:rowOff>
    </xdr:from>
    <xdr:to>
      <xdr:col>40</xdr:col>
      <xdr:colOff>72950</xdr:colOff>
      <xdr:row>37</xdr:row>
      <xdr:rowOff>166407</xdr:rowOff>
    </xdr:to>
    <xdr:graphicFrame macro="">
      <xdr:nvGraphicFramePr>
        <xdr:cNvPr id="2" name="Chart 1">
          <a:extLst>
            <a:ext uri="{FF2B5EF4-FFF2-40B4-BE49-F238E27FC236}">
              <a16:creationId xmlns:a16="http://schemas.microsoft.com/office/drawing/2014/main" id="{21F414E1-09FF-45FD-A904-AD95B8F2BD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267633</xdr:colOff>
      <xdr:row>22</xdr:row>
      <xdr:rowOff>148019</xdr:rowOff>
    </xdr:from>
    <xdr:to>
      <xdr:col>30</xdr:col>
      <xdr:colOff>536923</xdr:colOff>
      <xdr:row>49</xdr:row>
      <xdr:rowOff>278178</xdr:rowOff>
    </xdr:to>
    <xdr:graphicFrame macro="">
      <xdr:nvGraphicFramePr>
        <xdr:cNvPr id="16" name="Chart 2">
          <a:extLst>
            <a:ext uri="{FF2B5EF4-FFF2-40B4-BE49-F238E27FC236}">
              <a16:creationId xmlns:a16="http://schemas.microsoft.com/office/drawing/2014/main" id="{1075571E-1445-424E-854D-8A92BA798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927576</xdr:colOff>
      <xdr:row>73</xdr:row>
      <xdr:rowOff>153310</xdr:rowOff>
    </xdr:from>
    <xdr:to>
      <xdr:col>11</xdr:col>
      <xdr:colOff>219075</xdr:colOff>
      <xdr:row>99</xdr:row>
      <xdr:rowOff>108088</xdr:rowOff>
    </xdr:to>
    <xdr:graphicFrame macro="">
      <xdr:nvGraphicFramePr>
        <xdr:cNvPr id="5" name="Chart 4">
          <a:extLst>
            <a:ext uri="{FF2B5EF4-FFF2-40B4-BE49-F238E27FC236}">
              <a16:creationId xmlns:a16="http://schemas.microsoft.com/office/drawing/2014/main" id="{9AAE94F7-A892-1C63-AAB1-64E648ECBD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401955</xdr:colOff>
      <xdr:row>51</xdr:row>
      <xdr:rowOff>173355</xdr:rowOff>
    </xdr:from>
    <xdr:to>
      <xdr:col>15</xdr:col>
      <xdr:colOff>390524</xdr:colOff>
      <xdr:row>70</xdr:row>
      <xdr:rowOff>47625</xdr:rowOff>
    </xdr:to>
    <xdr:graphicFrame macro="">
      <xdr:nvGraphicFramePr>
        <xdr:cNvPr id="6" name="Chart 5">
          <a:extLst>
            <a:ext uri="{FF2B5EF4-FFF2-40B4-BE49-F238E27FC236}">
              <a16:creationId xmlns:a16="http://schemas.microsoft.com/office/drawing/2014/main" id="{A4E8620D-600B-4B19-87A0-00CABBBCD7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1097552</xdr:colOff>
      <xdr:row>52</xdr:row>
      <xdr:rowOff>3266</xdr:rowOff>
    </xdr:from>
    <xdr:to>
      <xdr:col>5</xdr:col>
      <xdr:colOff>640352</xdr:colOff>
      <xdr:row>66</xdr:row>
      <xdr:rowOff>155666</xdr:rowOff>
    </xdr:to>
    <xdr:graphicFrame macro="">
      <xdr:nvGraphicFramePr>
        <xdr:cNvPr id="8" name="Chart 7">
          <a:extLst>
            <a:ext uri="{FF2B5EF4-FFF2-40B4-BE49-F238E27FC236}">
              <a16:creationId xmlns:a16="http://schemas.microsoft.com/office/drawing/2014/main" id="{B28431E0-5D50-5E10-1542-10207E25C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522341</xdr:colOff>
      <xdr:row>51</xdr:row>
      <xdr:rowOff>159438</xdr:rowOff>
    </xdr:from>
    <xdr:to>
      <xdr:col>36</xdr:col>
      <xdr:colOff>276225</xdr:colOff>
      <xdr:row>69</xdr:row>
      <xdr:rowOff>169545</xdr:rowOff>
    </xdr:to>
    <xdr:graphicFrame macro="">
      <xdr:nvGraphicFramePr>
        <xdr:cNvPr id="5" name="Chart 4">
          <a:extLst>
            <a:ext uri="{FF2B5EF4-FFF2-40B4-BE49-F238E27FC236}">
              <a16:creationId xmlns:a16="http://schemas.microsoft.com/office/drawing/2014/main" id="{D80631D0-4610-4A3A-94A8-2F3F847BA9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162261</xdr:colOff>
      <xdr:row>71</xdr:row>
      <xdr:rowOff>165543</xdr:rowOff>
    </xdr:from>
    <xdr:to>
      <xdr:col>27</xdr:col>
      <xdr:colOff>119454</xdr:colOff>
      <xdr:row>90</xdr:row>
      <xdr:rowOff>1</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591501</xdr:colOff>
      <xdr:row>75</xdr:row>
      <xdr:rowOff>105251</xdr:rowOff>
    </xdr:from>
    <xdr:to>
      <xdr:col>9</xdr:col>
      <xdr:colOff>666750</xdr:colOff>
      <xdr:row>82</xdr:row>
      <xdr:rowOff>142875</xdr:rowOff>
    </xdr:to>
    <xdr:sp macro="" textlink="">
      <xdr:nvSpPr>
        <xdr:cNvPr id="6" name="TextBox 5">
          <a:extLst>
            <a:ext uri="{FF2B5EF4-FFF2-40B4-BE49-F238E27FC236}">
              <a16:creationId xmlns:a16="http://schemas.microsoft.com/office/drawing/2014/main" id="{C36F374F-6621-4477-80E3-38065846A4DE}"/>
            </a:ext>
          </a:extLst>
        </xdr:cNvPr>
        <xdr:cNvSpPr txBox="1"/>
      </xdr:nvSpPr>
      <xdr:spPr>
        <a:xfrm>
          <a:off x="7128032" y="13452157"/>
          <a:ext cx="5266374" cy="1371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In 2016, Vermonters directly consumed around 103,000,000 mmBtu of fossil-fuel energy for heating buildings and transportation. In addition to CO2 reductions directly resulting from RES, Vermont’s electric mix was 30% nuclear in 2018 compared to 12% in 2016. This increase may be a result of utilities being incentivized to decrease their share of fossil fuel energy for Tier III purposes, but for purposes of this report, the reduction in emissions from increased nuclear has not been categorized as being attributable to RES, except as accounted for in the Tier III credit calculation.</a:t>
          </a:r>
          <a:endParaRPr lang="en-US" sz="1100"/>
        </a:p>
      </xdr:txBody>
    </xdr:sp>
    <xdr:clientData/>
  </xdr:twoCellAnchor>
  <xdr:twoCellAnchor>
    <xdr:from>
      <xdr:col>20</xdr:col>
      <xdr:colOff>83344</xdr:colOff>
      <xdr:row>58</xdr:row>
      <xdr:rowOff>119063</xdr:rowOff>
    </xdr:from>
    <xdr:to>
      <xdr:col>26</xdr:col>
      <xdr:colOff>797718</xdr:colOff>
      <xdr:row>75</xdr:row>
      <xdr:rowOff>127396</xdr:rowOff>
    </xdr:to>
    <xdr:graphicFrame macro="">
      <xdr:nvGraphicFramePr>
        <xdr:cNvPr id="4" name="Chart 3">
          <a:extLst>
            <a:ext uri="{FF2B5EF4-FFF2-40B4-BE49-F238E27FC236}">
              <a16:creationId xmlns:a16="http://schemas.microsoft.com/office/drawing/2014/main" id="{5C534A70-87A2-4871-B772-50A8215DE3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71045</xdr:colOff>
      <xdr:row>1</xdr:row>
      <xdr:rowOff>141867</xdr:rowOff>
    </xdr:from>
    <xdr:to>
      <xdr:col>12</xdr:col>
      <xdr:colOff>459426</xdr:colOff>
      <xdr:row>19</xdr:row>
      <xdr:rowOff>0</xdr:rowOff>
    </xdr:to>
    <xdr:pic>
      <xdr:nvPicPr>
        <xdr:cNvPr id="5" name="Picture 4">
          <a:extLst>
            <a:ext uri="{FF2B5EF4-FFF2-40B4-BE49-F238E27FC236}">
              <a16:creationId xmlns:a16="http://schemas.microsoft.com/office/drawing/2014/main" id="{851AE367-D038-D092-AEFB-456E329AA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91427" y="321161"/>
          <a:ext cx="3951851" cy="330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974912</xdr:colOff>
      <xdr:row>0</xdr:row>
      <xdr:rowOff>145676</xdr:rowOff>
    </xdr:from>
    <xdr:to>
      <xdr:col>18</xdr:col>
      <xdr:colOff>209774</xdr:colOff>
      <xdr:row>19</xdr:row>
      <xdr:rowOff>2801</xdr:rowOff>
    </xdr:to>
    <xdr:pic>
      <xdr:nvPicPr>
        <xdr:cNvPr id="13" name="Picture 12">
          <a:extLst>
            <a:ext uri="{FF2B5EF4-FFF2-40B4-BE49-F238E27FC236}">
              <a16:creationId xmlns:a16="http://schemas.microsoft.com/office/drawing/2014/main" id="{B92B18CD-C30D-06E2-CBB3-D33D53EDAB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58765" y="145676"/>
          <a:ext cx="6047815" cy="3487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323850</xdr:colOff>
      <xdr:row>17</xdr:row>
      <xdr:rowOff>38100</xdr:rowOff>
    </xdr:from>
    <xdr:to>
      <xdr:col>10</xdr:col>
      <xdr:colOff>1165413</xdr:colOff>
      <xdr:row>18</xdr:row>
      <xdr:rowOff>78441</xdr:rowOff>
    </xdr:to>
    <xdr:sp macro="" textlink="">
      <xdr:nvSpPr>
        <xdr:cNvPr id="14" name="Frame 13">
          <a:extLst>
            <a:ext uri="{FF2B5EF4-FFF2-40B4-BE49-F238E27FC236}">
              <a16:creationId xmlns:a16="http://schemas.microsoft.com/office/drawing/2014/main" id="{3CD748F9-549A-4006-4A9E-A579C257863F}"/>
            </a:ext>
          </a:extLst>
        </xdr:cNvPr>
        <xdr:cNvSpPr/>
      </xdr:nvSpPr>
      <xdr:spPr>
        <a:xfrm>
          <a:off x="13335000" y="3295650"/>
          <a:ext cx="2032188" cy="230841"/>
        </a:xfrm>
        <a:prstGeom prst="fram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17</xdr:col>
      <xdr:colOff>59840</xdr:colOff>
      <xdr:row>16</xdr:row>
      <xdr:rowOff>235323</xdr:rowOff>
    </xdr:from>
    <xdr:to>
      <xdr:col>17</xdr:col>
      <xdr:colOff>1109382</xdr:colOff>
      <xdr:row>18</xdr:row>
      <xdr:rowOff>112058</xdr:rowOff>
    </xdr:to>
    <xdr:sp macro="" textlink="">
      <xdr:nvSpPr>
        <xdr:cNvPr id="15" name="Frame 14">
          <a:extLst>
            <a:ext uri="{FF2B5EF4-FFF2-40B4-BE49-F238E27FC236}">
              <a16:creationId xmlns:a16="http://schemas.microsoft.com/office/drawing/2014/main" id="{A0C0C632-6BC1-41F4-A5CC-F54D85542762}"/>
            </a:ext>
          </a:extLst>
        </xdr:cNvPr>
        <xdr:cNvSpPr/>
      </xdr:nvSpPr>
      <xdr:spPr>
        <a:xfrm>
          <a:off x="22180252" y="3249705"/>
          <a:ext cx="1049542" cy="302559"/>
        </a:xfrm>
        <a:prstGeom prst="fram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18</xdr:col>
      <xdr:colOff>617333</xdr:colOff>
      <xdr:row>1</xdr:row>
      <xdr:rowOff>78441</xdr:rowOff>
    </xdr:from>
    <xdr:to>
      <xdr:col>27</xdr:col>
      <xdr:colOff>283958</xdr:colOff>
      <xdr:row>20</xdr:row>
      <xdr:rowOff>56701</xdr:rowOff>
    </xdr:to>
    <xdr:pic>
      <xdr:nvPicPr>
        <xdr:cNvPr id="16" name="Picture 15">
          <a:extLst>
            <a:ext uri="{FF2B5EF4-FFF2-40B4-BE49-F238E27FC236}">
              <a16:creationId xmlns:a16="http://schemas.microsoft.com/office/drawing/2014/main" id="{235FB307-3251-6280-086F-16CBC508D9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01208" y="268941"/>
          <a:ext cx="7579995" cy="365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653751</xdr:colOff>
      <xdr:row>15</xdr:row>
      <xdr:rowOff>56108</xdr:rowOff>
    </xdr:from>
    <xdr:to>
      <xdr:col>25</xdr:col>
      <xdr:colOff>861556</xdr:colOff>
      <xdr:row>16</xdr:row>
      <xdr:rowOff>187296</xdr:rowOff>
    </xdr:to>
    <xdr:sp macro="" textlink="">
      <xdr:nvSpPr>
        <xdr:cNvPr id="17" name="Frame 16">
          <a:extLst>
            <a:ext uri="{FF2B5EF4-FFF2-40B4-BE49-F238E27FC236}">
              <a16:creationId xmlns:a16="http://schemas.microsoft.com/office/drawing/2014/main" id="{13187C6C-76E9-4B9B-A4AF-06FC3B2CB0C1}"/>
            </a:ext>
          </a:extLst>
        </xdr:cNvPr>
        <xdr:cNvSpPr/>
      </xdr:nvSpPr>
      <xdr:spPr>
        <a:xfrm>
          <a:off x="29187930" y="2872787"/>
          <a:ext cx="1051447" cy="321688"/>
        </a:xfrm>
        <a:prstGeom prst="fram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28</xdr:col>
      <xdr:colOff>55764</xdr:colOff>
      <xdr:row>0</xdr:row>
      <xdr:rowOff>0</xdr:rowOff>
    </xdr:from>
    <xdr:to>
      <xdr:col>54</xdr:col>
      <xdr:colOff>60959</xdr:colOff>
      <xdr:row>34</xdr:row>
      <xdr:rowOff>38054</xdr:rowOff>
    </xdr:to>
    <xdr:pic>
      <xdr:nvPicPr>
        <xdr:cNvPr id="18" name="Picture 17">
          <a:extLst>
            <a:ext uri="{FF2B5EF4-FFF2-40B4-BE49-F238E27FC236}">
              <a16:creationId xmlns:a16="http://schemas.microsoft.com/office/drawing/2014/main" id="{ACAEF178-D50B-4B6D-5620-22821758B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973173" y="0"/>
          <a:ext cx="15760931" cy="6255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392642</xdr:colOff>
      <xdr:row>18</xdr:row>
      <xdr:rowOff>49877</xdr:rowOff>
    </xdr:from>
    <xdr:to>
      <xdr:col>40</xdr:col>
      <xdr:colOff>304800</xdr:colOff>
      <xdr:row>22</xdr:row>
      <xdr:rowOff>165689</xdr:rowOff>
    </xdr:to>
    <xdr:sp macro="" textlink="">
      <xdr:nvSpPr>
        <xdr:cNvPr id="19" name="Frame 18">
          <a:extLst>
            <a:ext uri="{FF2B5EF4-FFF2-40B4-BE49-F238E27FC236}">
              <a16:creationId xmlns:a16="http://schemas.microsoft.com/office/drawing/2014/main" id="{2C2736F9-D8F0-49DE-B247-A41BD418FCB3}"/>
            </a:ext>
          </a:extLst>
        </xdr:cNvPr>
        <xdr:cNvSpPr/>
      </xdr:nvSpPr>
      <xdr:spPr>
        <a:xfrm>
          <a:off x="38371415" y="3478877"/>
          <a:ext cx="1124430" cy="825857"/>
        </a:xfrm>
        <a:prstGeom prst="frame">
          <a:avLst>
            <a:gd name="adj1" fmla="val 5892"/>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253804</xdr:colOff>
      <xdr:row>1</xdr:row>
      <xdr:rowOff>23446</xdr:rowOff>
    </xdr:from>
    <xdr:to>
      <xdr:col>21</xdr:col>
      <xdr:colOff>205154</xdr:colOff>
      <xdr:row>18</xdr:row>
      <xdr:rowOff>87922</xdr:rowOff>
    </xdr:to>
    <xdr:graphicFrame macro="">
      <xdr:nvGraphicFramePr>
        <xdr:cNvPr id="2" name="Chart 1">
          <a:extLst>
            <a:ext uri="{FF2B5EF4-FFF2-40B4-BE49-F238E27FC236}">
              <a16:creationId xmlns:a16="http://schemas.microsoft.com/office/drawing/2014/main" id="{5B01D60E-3E49-2143-7D7F-85E94DF941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599342</xdr:colOff>
      <xdr:row>31</xdr:row>
      <xdr:rowOff>36195</xdr:rowOff>
    </xdr:from>
    <xdr:to>
      <xdr:col>12</xdr:col>
      <xdr:colOff>214386</xdr:colOff>
      <xdr:row>49</xdr:row>
      <xdr:rowOff>96861</xdr:rowOff>
    </xdr:to>
    <xdr:graphicFrame macro="">
      <xdr:nvGraphicFramePr>
        <xdr:cNvPr id="3" name="Chart 2">
          <a:extLst>
            <a:ext uri="{FF2B5EF4-FFF2-40B4-BE49-F238E27FC236}">
              <a16:creationId xmlns:a16="http://schemas.microsoft.com/office/drawing/2014/main" id="{6F2EDF15-5411-4465-92E5-B2117A93E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SD\PSD%20-%20UserSwap\JWoodward\Analysis\RE%20Policy\Rates%20&amp;%20Bills\btm_gen_av_cost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SD\PSD%20-%20UserSwap\MFischer\Legislative%20Reports\Section%208005b(b)%20Annual%20Report\2018_jwoodward\Consolidated%20RES%20Model%20201801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am.Jacobs\Downloads\Act%2056%20Tier%20III%20Planning%20Tool%20PY2022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SD\PSD%20-%20UserSwap\JWoodward\Legislative%20Reports\Section%208005b(b)%20Annual%20Report\2018\tier3possibiliti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SD\PSD%20-%20UserSwap\MFischer\Legislative%20Reports\2021\Tier%20III\Act%2056%20Tier%20III%20Planning%20Tool%20PY2021%2010%2015%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ser_inputs"/>
      <sheetName val="outputs"/>
      <sheetName val="avd_costs"/>
      <sheetName val="baseline"/>
      <sheetName val="op&amp;prog_cap"/>
      <sheetName val=" avd_lmp&amp;rec"/>
      <sheetName val="avd_cap"/>
      <sheetName val="lmp_hist"/>
      <sheetName val="gen_profile"/>
      <sheetName val="rn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ergy$"/>
      <sheetName val="rates"/>
      <sheetName val="CCHP"/>
      <sheetName val="EV"/>
      <sheetName val="ELC WS"/>
      <sheetName val="T1&amp;2"/>
      <sheetName val="RE gen"/>
      <sheetName val="COS"/>
      <sheetName val="load"/>
      <sheetName val="LRTP"/>
      <sheetName val="SO"/>
      <sheetName val="NM"/>
      <sheetName val="obl"/>
      <sheetName val="ACP"/>
      <sheetName val="AEO"/>
      <sheetName val="report1"/>
      <sheetName val="report2"/>
      <sheetName val="report3"/>
      <sheetName val="report4"/>
      <sheetName val="report5"/>
      <sheetName val="report6"/>
    </sheetNames>
    <sheetDataSet>
      <sheetData sheetId="0"/>
      <sheetData sheetId="1">
        <row r="1">
          <cell r="A1">
            <v>1.9E-2</v>
          </cell>
        </row>
        <row r="2">
          <cell r="A2">
            <v>0.06</v>
          </cell>
        </row>
        <row r="3">
          <cell r="A3">
            <v>180</v>
          </cell>
        </row>
        <row r="4">
          <cell r="A4">
            <v>0.02</v>
          </cell>
        </row>
        <row r="5">
          <cell r="A5">
            <v>18</v>
          </cell>
        </row>
        <row r="6">
          <cell r="A6">
            <v>20</v>
          </cell>
        </row>
        <row r="7">
          <cell r="A7">
            <v>5.0000000000000001E-3</v>
          </cell>
        </row>
        <row r="8">
          <cell r="A8">
            <v>5.0000000000000001E-3</v>
          </cell>
        </row>
        <row r="10">
          <cell r="A10">
            <v>-0.2</v>
          </cell>
        </row>
        <row r="11">
          <cell r="A11">
            <v>0.2</v>
          </cell>
        </row>
        <row r="13">
          <cell r="A13" t="str">
            <v>high</v>
          </cell>
          <cell r="C13">
            <v>21.707999999999995</v>
          </cell>
        </row>
        <row r="14">
          <cell r="C14">
            <v>24.119999999999997</v>
          </cell>
        </row>
      </sheetData>
      <sheetData sheetId="2"/>
      <sheetData sheetId="3">
        <row r="13">
          <cell r="C13">
            <v>2</v>
          </cell>
        </row>
        <row r="15">
          <cell r="C15">
            <v>0.2</v>
          </cell>
        </row>
        <row r="17">
          <cell r="C17">
            <v>24.429104785921233</v>
          </cell>
        </row>
        <row r="20">
          <cell r="C20">
            <v>1.1000000000000001</v>
          </cell>
        </row>
        <row r="21">
          <cell r="C21">
            <v>1.05</v>
          </cell>
        </row>
        <row r="22">
          <cell r="C22">
            <v>3</v>
          </cell>
        </row>
        <row r="23">
          <cell r="C23">
            <v>3</v>
          </cell>
        </row>
      </sheetData>
      <sheetData sheetId="4">
        <row r="3">
          <cell r="B3">
            <v>25000</v>
          </cell>
          <cell r="C3">
            <v>35000</v>
          </cell>
        </row>
        <row r="4">
          <cell r="B4">
            <v>0</v>
          </cell>
          <cell r="C4">
            <v>-0.03</v>
          </cell>
        </row>
        <row r="6">
          <cell r="B6">
            <v>47.889328063241109</v>
          </cell>
        </row>
        <row r="8">
          <cell r="B8">
            <v>173.73333333333335</v>
          </cell>
          <cell r="C8">
            <v>35.266666666666666</v>
          </cell>
        </row>
        <row r="9">
          <cell r="C9">
            <v>3.3333333333333335</v>
          </cell>
        </row>
        <row r="10">
          <cell r="C10">
            <v>36.921693553194785</v>
          </cell>
        </row>
        <row r="12">
          <cell r="C12">
            <v>1.1000000000000001</v>
          </cell>
        </row>
        <row r="13">
          <cell r="C13">
            <v>3</v>
          </cell>
        </row>
        <row r="14">
          <cell r="C14">
            <v>3</v>
          </cell>
        </row>
      </sheetData>
      <sheetData sheetId="5">
        <row r="1">
          <cell r="A1">
            <v>5.0000000000000001E-3</v>
          </cell>
          <cell r="K1">
            <v>0.09</v>
          </cell>
        </row>
        <row r="2">
          <cell r="A2">
            <v>1.9E-2</v>
          </cell>
        </row>
        <row r="3">
          <cell r="A3">
            <v>1.3</v>
          </cell>
        </row>
        <row r="4">
          <cell r="A4">
            <v>0</v>
          </cell>
        </row>
        <row r="20">
          <cell r="H20">
            <v>-1.2076999606314143E-4</v>
          </cell>
        </row>
      </sheetData>
      <sheetData sheetId="6">
        <row r="1">
          <cell r="M1" t="str">
            <v>low</v>
          </cell>
        </row>
      </sheetData>
      <sheetData sheetId="7">
        <row r="1">
          <cell r="B1">
            <v>1</v>
          </cell>
          <cell r="I1">
            <v>0.02</v>
          </cell>
        </row>
        <row r="2">
          <cell r="I2">
            <v>0.02</v>
          </cell>
        </row>
        <row r="3">
          <cell r="B3">
            <v>111.5</v>
          </cell>
        </row>
        <row r="6">
          <cell r="J6">
            <v>1</v>
          </cell>
          <cell r="K6">
            <v>111.5</v>
          </cell>
        </row>
        <row r="7">
          <cell r="J7">
            <v>1.02</v>
          </cell>
          <cell r="K7">
            <v>113.73</v>
          </cell>
        </row>
        <row r="8">
          <cell r="J8">
            <v>1.0404</v>
          </cell>
          <cell r="K8">
            <v>116.00460000000001</v>
          </cell>
        </row>
        <row r="9">
          <cell r="J9">
            <v>1.0612079999999999</v>
          </cell>
          <cell r="K9">
            <v>118.32469200000001</v>
          </cell>
        </row>
        <row r="10">
          <cell r="J10">
            <v>1.08243216</v>
          </cell>
          <cell r="K10">
            <v>120.69118584000002</v>
          </cell>
        </row>
        <row r="11">
          <cell r="J11">
            <v>1.1040808032</v>
          </cell>
          <cell r="K11">
            <v>123.10500955680001</v>
          </cell>
        </row>
        <row r="12">
          <cell r="J12">
            <v>1.1261624192640001</v>
          </cell>
          <cell r="K12">
            <v>125.56710974793602</v>
          </cell>
        </row>
        <row r="13">
          <cell r="J13">
            <v>1.14868566764928</v>
          </cell>
          <cell r="K13">
            <v>128.07845194289473</v>
          </cell>
        </row>
        <row r="14">
          <cell r="J14">
            <v>1.1716593810022657</v>
          </cell>
          <cell r="K14">
            <v>130.64002098175263</v>
          </cell>
        </row>
        <row r="15">
          <cell r="J15">
            <v>1.1950925686223111</v>
          </cell>
          <cell r="K15">
            <v>133.25282140138768</v>
          </cell>
        </row>
      </sheetData>
      <sheetData sheetId="8">
        <row r="3">
          <cell r="J3">
            <v>0.5</v>
          </cell>
          <cell r="K3">
            <v>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Planning Tool"/>
      <sheetName val="Summary"/>
      <sheetName val="Measures"/>
      <sheetName val="Savings Calculator"/>
      <sheetName val="Averages"/>
      <sheetName val="Utility Modeling"/>
      <sheetName val="kWh Consumption"/>
      <sheetName val="FR SO Table"/>
      <sheetName val="%Non-FF"/>
      <sheetName val="Original"/>
    </sheetNames>
    <sheetDataSet>
      <sheetData sheetId="0"/>
      <sheetData sheetId="1"/>
      <sheetData sheetId="2"/>
      <sheetData sheetId="3"/>
      <sheetData sheetId="4"/>
      <sheetData sheetId="5"/>
      <sheetData sheetId="6"/>
      <sheetData sheetId="7">
        <row r="2">
          <cell r="D2">
            <v>0.88000000000000012</v>
          </cell>
        </row>
        <row r="3">
          <cell r="D3">
            <v>0.88000000000000012</v>
          </cell>
        </row>
        <row r="4">
          <cell r="D4">
            <v>1.1000000000000001</v>
          </cell>
        </row>
        <row r="5">
          <cell r="D5">
            <v>1</v>
          </cell>
        </row>
        <row r="6">
          <cell r="D6">
            <v>0.88000000000000012</v>
          </cell>
        </row>
        <row r="7">
          <cell r="D7">
            <v>1</v>
          </cell>
        </row>
        <row r="8">
          <cell r="D8">
            <v>1</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0.89999999999999991</v>
          </cell>
        </row>
        <row r="19">
          <cell r="D19">
            <v>0.89999999999999991</v>
          </cell>
        </row>
        <row r="20">
          <cell r="D20">
            <v>0.89999999999999991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7">
          <cell r="A37" t="str">
            <v>#2 Fuel Oil</v>
          </cell>
          <cell r="B37">
            <v>161.30000000000001</v>
          </cell>
        </row>
        <row r="38">
          <cell r="A38" t="str">
            <v>Home Heating Average</v>
          </cell>
          <cell r="B38">
            <v>150.17500000000001</v>
          </cell>
        </row>
        <row r="39">
          <cell r="A39" t="str">
            <v>Diesel</v>
          </cell>
          <cell r="B39">
            <v>161.30000000000001</v>
          </cell>
        </row>
        <row r="40">
          <cell r="A40" t="str">
            <v>Gasoline (regular)</v>
          </cell>
          <cell r="B40">
            <v>157.19999999999999</v>
          </cell>
        </row>
        <row r="41">
          <cell r="A41" t="str">
            <v>Liquid Propane</v>
          </cell>
          <cell r="B41">
            <v>139.05000000000001</v>
          </cell>
        </row>
        <row r="42">
          <cell r="A42" t="str">
            <v>Natural Gas</v>
          </cell>
          <cell r="B42">
            <v>117</v>
          </cell>
        </row>
        <row r="43">
          <cell r="A43" t="str">
            <v>Coal (lignite)</v>
          </cell>
          <cell r="B43">
            <v>215.4</v>
          </cell>
        </row>
        <row r="44">
          <cell r="A44" t="str">
            <v>Kerosene</v>
          </cell>
          <cell r="B44">
            <v>159.4</v>
          </cell>
        </row>
      </sheetData>
      <sheetData sheetId="8">
        <row r="3">
          <cell r="AD3">
            <v>2.1000000000001018E-3</v>
          </cell>
          <cell r="AE3">
            <v>2.3333333333334094E-3</v>
          </cell>
          <cell r="AF3">
            <v>2.8000000000000247E-3</v>
          </cell>
          <cell r="AG3">
            <v>3.2307692307692593E-3</v>
          </cell>
          <cell r="AH3">
            <v>3.4999999999999476E-3</v>
          </cell>
          <cell r="AI3">
            <v>4.1999999999999815E-3</v>
          </cell>
          <cell r="AJ3">
            <v>5.2499999999999769E-3</v>
          </cell>
          <cell r="AK3">
            <v>6.0000000000000053E-3</v>
          </cell>
          <cell r="AL3">
            <v>7.0000000000000062E-3</v>
          </cell>
          <cell r="AM3">
            <v>8.3999999999999631E-3</v>
          </cell>
          <cell r="AN3">
            <v>1.0499999999999954E-2</v>
          </cell>
          <cell r="AO3">
            <v>1.9000000000000017E-2</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possible"/>
    </sheetNames>
    <sheetDataSet>
      <sheetData sheetId="0">
        <row r="17">
          <cell r="A17">
            <v>24.429104785921233</v>
          </cell>
        </row>
        <row r="38">
          <cell r="A38">
            <v>14.453726894874265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Planning Tool"/>
      <sheetName val="Summary"/>
      <sheetName val="Measures"/>
      <sheetName val="Savings Calculator"/>
      <sheetName val="Averages"/>
      <sheetName val="Utility Modeling"/>
      <sheetName val="kWh Consumption"/>
      <sheetName val="FR SO Table"/>
      <sheetName val="%Non-FF"/>
      <sheetName val="Original"/>
    </sheetNames>
    <sheetDataSet>
      <sheetData sheetId="0"/>
      <sheetData sheetId="1"/>
      <sheetData sheetId="2"/>
      <sheetData sheetId="3"/>
      <sheetData sheetId="4"/>
      <sheetData sheetId="5"/>
      <sheetData sheetId="6"/>
      <sheetData sheetId="7">
        <row r="2">
          <cell r="D2">
            <v>0.88000000000000012</v>
          </cell>
        </row>
        <row r="3">
          <cell r="D3">
            <v>0.88000000000000012</v>
          </cell>
        </row>
        <row r="4">
          <cell r="D4">
            <v>1.1000000000000001</v>
          </cell>
        </row>
        <row r="5">
          <cell r="D5">
            <v>1</v>
          </cell>
        </row>
        <row r="6">
          <cell r="D6">
            <v>0.88000000000000012</v>
          </cell>
        </row>
        <row r="7">
          <cell r="D7">
            <v>1</v>
          </cell>
        </row>
        <row r="8">
          <cell r="D8">
            <v>1</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0.89999999999999991</v>
          </cell>
        </row>
        <row r="19">
          <cell r="D19">
            <v>0.89999999999999991</v>
          </cell>
        </row>
        <row r="20">
          <cell r="D20">
            <v>0.89999999999999991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5">
          <cell r="A35" t="str">
            <v>#2 Fuel Oil</v>
          </cell>
          <cell r="B35">
            <v>161.30000000000001</v>
          </cell>
        </row>
        <row r="36">
          <cell r="A36" t="str">
            <v>Home Heating Average</v>
          </cell>
          <cell r="B36">
            <v>150.17500000000001</v>
          </cell>
        </row>
        <row r="37">
          <cell r="A37" t="str">
            <v>Diesel</v>
          </cell>
          <cell r="B37">
            <v>161.30000000000001</v>
          </cell>
        </row>
        <row r="38">
          <cell r="A38" t="str">
            <v>Gasoline (regular)</v>
          </cell>
          <cell r="B38">
            <v>157.19999999999999</v>
          </cell>
        </row>
        <row r="39">
          <cell r="A39" t="str">
            <v>Liquid Propane</v>
          </cell>
          <cell r="B39">
            <v>139.05000000000001</v>
          </cell>
        </row>
        <row r="40">
          <cell r="A40" t="str">
            <v>Natural Gas</v>
          </cell>
          <cell r="B40">
            <v>117</v>
          </cell>
        </row>
        <row r="41">
          <cell r="A41" t="str">
            <v>Coal (lignite)</v>
          </cell>
          <cell r="B41">
            <v>215.4</v>
          </cell>
        </row>
        <row r="42">
          <cell r="A42" t="str">
            <v>Kerosene</v>
          </cell>
          <cell r="B42">
            <v>159.4</v>
          </cell>
        </row>
      </sheetData>
      <sheetData sheetId="8">
        <row r="3">
          <cell r="AD3">
            <v>6.0000000000000053E-3</v>
          </cell>
          <cell r="AE3">
            <v>6.6666666666667096E-3</v>
          </cell>
          <cell r="AF3">
            <v>8.0000000000001181E-3</v>
          </cell>
          <cell r="AG3">
            <v>9.2307692307692646E-3</v>
          </cell>
          <cell r="AH3">
            <v>1.000000000000012E-2</v>
          </cell>
          <cell r="AI3">
            <v>1.2000000000000122E-2</v>
          </cell>
          <cell r="AJ3">
            <v>1.5000000000000124E-2</v>
          </cell>
          <cell r="AK3">
            <v>1.7142857142857237E-2</v>
          </cell>
          <cell r="AL3">
            <v>2.0000000000000129E-2</v>
          </cell>
          <cell r="AM3">
            <v>2.4000000000000243E-2</v>
          </cell>
          <cell r="AN3">
            <v>2.9000000000000137E-2</v>
          </cell>
          <cell r="AO3">
            <v>3.9000000000000035E-2</v>
          </cell>
        </row>
      </sheetData>
      <sheetData sheetId="9"/>
    </sheetDataSet>
  </externalBook>
</externalLink>
</file>

<file path=xl/persons/person.xml><?xml version="1.0" encoding="utf-8"?>
<personList xmlns="http://schemas.microsoft.com/office/spreadsheetml/2018/threadedcomments" xmlns:x="http://schemas.openxmlformats.org/spreadsheetml/2006/main">
  <person displayName="Jacobs, Adam" id="{010027C0-F471-4823-8C90-EB25B5CB7C73}" userId="S::Adam.Jacobs@vermont.gov::c5eb8695-6147-44ca-9633-69f1b52e70ed" providerId="AD"/>
  <person displayName="Fischer, Maria" id="{F2A163FD-180C-4A50-8293-BE9D91599E64}" userId="S::Maria.Fischer@vermont.gov::5e0e0bef-e993-4b9b-a0c4-80d4e26dead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obs, Adam" refreshedDate="44915.541627199076" createdVersion="8" refreshedVersion="8" minRefreshableVersion="3" recordCount="6" xr:uid="{7EF14899-3D37-4538-8989-F2EF7ACC56DD}">
  <cacheSource type="worksheet">
    <worksheetSource ref="B100:E106" sheet="Current Run &amp; Summary Results"/>
  </cacheSource>
  <cacheFields count="4">
    <cacheField name="Load Scenario" numFmtId="0">
      <sharedItems count="4">
        <s v="BAU"/>
        <s v="CAP"/>
        <s v="High" u="1"/>
        <s v="Baseline" u="1"/>
      </sharedItems>
    </cacheField>
    <cacheField name="Cost Scenario" numFmtId="0">
      <sharedItems count="5">
        <s v="Lower Bound"/>
        <s v="Likely Cost"/>
        <s v="Upper Bound"/>
        <s v="Low Cost" u="1"/>
        <s v="High Cost" u="1"/>
      </sharedItems>
    </cacheField>
    <cacheField name="10 year Cost" numFmtId="171">
      <sharedItems containsSemiMixedTypes="0" containsString="0" containsNumber="1" containsInteger="1" minValue="137000000" maxValue="325000000"/>
    </cacheField>
    <cacheField name="Levelized Annual Cost" numFmtId="171">
      <sharedItems containsSemiMixedTypes="0" containsString="0" containsNumber="1" containsInteger="1" minValue="13700000" maxValue="325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x v="0"/>
    <n v="137000000"/>
    <n v="13700000"/>
  </r>
  <r>
    <x v="1"/>
    <x v="0"/>
    <n v="159000000"/>
    <n v="15900000"/>
  </r>
  <r>
    <x v="0"/>
    <x v="1"/>
    <n v="147000000"/>
    <n v="14700000"/>
  </r>
  <r>
    <x v="1"/>
    <x v="1"/>
    <n v="178000000"/>
    <n v="17800000"/>
  </r>
  <r>
    <x v="0"/>
    <x v="2"/>
    <n v="271000000"/>
    <n v="27100000"/>
  </r>
  <r>
    <x v="1"/>
    <x v="2"/>
    <n v="325000000"/>
    <n v="325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7B64F3-5B3D-4ABB-9E77-C6776728F486}"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9">
  <location ref="B117:C126" firstHeaderRow="1" firstDataRow="1" firstDataCol="1"/>
  <pivotFields count="4">
    <pivotField axis="axisRow" showAll="0">
      <items count="5">
        <item m="1" x="3"/>
        <item m="1" x="2"/>
        <item x="0"/>
        <item x="1"/>
        <item t="default"/>
      </items>
    </pivotField>
    <pivotField axis="axisRow" showAll="0">
      <items count="6">
        <item m="1" x="3"/>
        <item x="0"/>
        <item x="1"/>
        <item m="1" x="4"/>
        <item x="2"/>
        <item t="default"/>
      </items>
    </pivotField>
    <pivotField dataField="1" numFmtId="171" showAll="0"/>
    <pivotField numFmtId="171" showAll="0"/>
  </pivotFields>
  <rowFields count="2">
    <field x="1"/>
    <field x="0"/>
  </rowFields>
  <rowItems count="9">
    <i>
      <x v="1"/>
    </i>
    <i r="1">
      <x v="2"/>
    </i>
    <i r="1">
      <x v="3"/>
    </i>
    <i>
      <x v="2"/>
    </i>
    <i r="1">
      <x v="2"/>
    </i>
    <i r="1">
      <x v="3"/>
    </i>
    <i>
      <x v="4"/>
    </i>
    <i r="1">
      <x v="2"/>
    </i>
    <i r="1">
      <x v="3"/>
    </i>
  </rowItems>
  <colItems count="1">
    <i/>
  </colItems>
  <dataFields count="1">
    <dataField name="Sum of 10 year Cost" fld="2" baseField="0" baseItem="0" numFmtId="167"/>
  </dataFields>
  <formats count="1">
    <format dxfId="0">
      <pivotArea outline="0" collapsedLevelsAreSubtotals="1" fieldPosition="0"/>
    </format>
  </formats>
  <chartFormats count="6">
    <chartFormat chart="2"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1">
      <pivotArea type="data" outline="0" fieldPosition="0">
        <references count="3">
          <reference field="4294967294" count="1" selected="0">
            <x v="0"/>
          </reference>
          <reference field="0" count="1" selected="0">
            <x v="3"/>
          </reference>
          <reference field="1" count="1" selected="0">
            <x v="1"/>
          </reference>
        </references>
      </pivotArea>
    </chartFormat>
    <chartFormat chart="4" format="12">
      <pivotArea type="data" outline="0" fieldPosition="0">
        <references count="3">
          <reference field="4294967294" count="1" selected="0">
            <x v="0"/>
          </reference>
          <reference field="0" count="1" selected="0">
            <x v="3"/>
          </reference>
          <reference field="1" count="1" selected="0">
            <x v="4"/>
          </reference>
        </references>
      </pivotArea>
    </chartFormat>
    <chartFormat chart="4" format="13">
      <pivotArea type="data" outline="0" fieldPosition="0">
        <references count="3">
          <reference field="4294967294" count="1" selected="0">
            <x v="0"/>
          </reference>
          <reference field="0" count="1" selected="0">
            <x v="2"/>
          </reference>
          <reference field="1" count="1" selected="0">
            <x v="2"/>
          </reference>
        </references>
      </pivotArea>
    </chartFormat>
    <chartFormat chart="4" format="14">
      <pivotArea type="data" outline="0" fieldPosition="0">
        <references count="3">
          <reference field="4294967294" count="1" selected="0">
            <x v="0"/>
          </reference>
          <reference field="0" count="1" selected="0">
            <x v="3"/>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6" dT="2022-10-11T19:29:00.84" personId="{010027C0-F471-4823-8C90-EB25B5CB7C73}" id="{089DF3AF-1A19-4DED-A294-C1FD0DBEB704}">
    <text>Actuals from 21-3604-INV</text>
  </threadedComment>
  <threadedComment ref="H16" dT="2022-10-11T19:28:39.70" personId="{010027C0-F471-4823-8C90-EB25B5CB7C73}" id="{BC1E1D84-6B92-43DB-8951-D7A5DAAC5813}">
    <text>Actuals from 22-4030-INV</text>
  </threadedComment>
</ThreadedComments>
</file>

<file path=xl/threadedComments/threadedComment2.xml><?xml version="1.0" encoding="utf-8"?>
<ThreadedComments xmlns="http://schemas.microsoft.com/office/spreadsheetml/2018/threadedcomments" xmlns:x="http://schemas.openxmlformats.org/spreadsheetml/2006/main">
  <threadedComment ref="E46" dT="2022-10-06T18:36:53.59" personId="{010027C0-F471-4823-8C90-EB25B5CB7C73}" id="{7E7E626D-B284-4A12-B0F2-D1DBCE873C29}">
    <text>actual</text>
  </threadedComment>
  <threadedComment ref="F46" dT="2022-10-06T18:36:47.96" personId="{010027C0-F471-4823-8C90-EB25B5CB7C73}" id="{7899BF73-3012-4B02-B537-EEAF9040BD30}">
    <text>Actual</text>
  </threadedComment>
</ThreadedComments>
</file>

<file path=xl/threadedComments/threadedComment3.xml><?xml version="1.0" encoding="utf-8"?>
<ThreadedComments xmlns="http://schemas.microsoft.com/office/spreadsheetml/2018/threadedcomments" xmlns:x="http://schemas.openxmlformats.org/spreadsheetml/2006/main">
  <threadedComment ref="E1" dT="2019-01-03T17:42:30.57" personId="{F2A163FD-180C-4A50-8293-BE9D91599E64}" id="{2D5082E3-CDF3-4D36-A401-8E9D1C75FDA4}">
    <text>These values were set with a trial and error method—low FF has incentives for CCHP and EVs around $1000, and high FF has incentives around $500 per unit, which seem like reasonable per measure incentives.</text>
  </threadedComment>
  <threadedComment ref="G6" dT="2018-12-27T20:18:29.14" personId="{F2A163FD-180C-4A50-8293-BE9D91599E64}" id="{4774CEDB-B83C-4DBA-AC5C-52F2327F202F}">
    <text>29 kwh of additional load per MWh of claimed savings based on VEC 2017 actual</text>
  </threadedComment>
</ThreadedComments>
</file>

<file path=xl/threadedComments/threadedComment4.xml><?xml version="1.0" encoding="utf-8"?>
<ThreadedComments xmlns="http://schemas.microsoft.com/office/spreadsheetml/2018/threadedcomments" xmlns:x="http://schemas.openxmlformats.org/spreadsheetml/2006/main">
  <threadedComment ref="B62" dT="2019-10-29T17:34:16.81" personId="{F2A163FD-180C-4A50-8293-BE9D91599E64}" id="{FFCEC4D2-2087-4F12-A7ED-63466D74372E}">
    <text>is this OK-- check for 2018</text>
  </threadedComment>
</ThreadedComments>
</file>

<file path=xl/threadedComments/threadedComment5.xml><?xml version="1.0" encoding="utf-8"?>
<ThreadedComments xmlns="http://schemas.microsoft.com/office/spreadsheetml/2018/threadedcomments" xmlns:x="http://schemas.openxmlformats.org/spreadsheetml/2006/main">
  <threadedComment ref="E64" dT="2019-10-28T20:00:30.39" personId="{F2A163FD-180C-4A50-8293-BE9D91599E64}" id="{F4AF4432-5B6C-4E75-B7A3-4158977E8E1A}">
    <text>percentages based on: https://factfinder.census.gov/faces/tableservices/jsf/pages/productview.xhtml?src=CF</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4.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bls.gov/charts/consumer-price-index/consumer-price-index-by-category-line-chart.ht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Normal="100" workbookViewId="0"/>
  </sheetViews>
  <sheetFormatPr defaultRowHeight="14.4" x14ac:dyDescent="0.3"/>
  <cols>
    <col min="16" max="16" width="8.88671875"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50"/>
  <sheetViews>
    <sheetView zoomScale="85" zoomScaleNormal="85" workbookViewId="0"/>
  </sheetViews>
  <sheetFormatPr defaultRowHeight="14.4" x14ac:dyDescent="0.3"/>
  <cols>
    <col min="1" max="1" width="19.33203125" customWidth="1"/>
    <col min="2" max="2" width="24" customWidth="1"/>
    <col min="5" max="5" width="12.6640625" bestFit="1" customWidth="1"/>
    <col min="6" max="13" width="9.5546875" bestFit="1" customWidth="1"/>
    <col min="14" max="14" width="9.5546875" customWidth="1"/>
    <col min="15" max="15" width="9.5546875" bestFit="1" customWidth="1"/>
    <col min="16" max="16" width="8.6640625" bestFit="1" customWidth="1"/>
    <col min="17" max="26" width="8.33203125" hidden="1" customWidth="1"/>
    <col min="27" max="27" width="7.6640625" hidden="1" customWidth="1"/>
    <col min="35" max="35" width="13.88671875" bestFit="1" customWidth="1"/>
  </cols>
  <sheetData>
    <row r="1" spans="1:31" x14ac:dyDescent="0.3">
      <c r="A1" s="150" t="s">
        <v>328</v>
      </c>
      <c r="B1" s="151" t="str">
        <f>FF_scenario</f>
        <v>mid</v>
      </c>
    </row>
    <row r="2" spans="1:31" x14ac:dyDescent="0.3">
      <c r="A2" s="152" t="s">
        <v>329</v>
      </c>
      <c r="B2" s="153" t="str">
        <f>REC_scenario</f>
        <v>mid</v>
      </c>
    </row>
    <row r="3" spans="1:31" ht="15" thickBot="1" x14ac:dyDescent="0.35">
      <c r="A3" s="154" t="s">
        <v>330</v>
      </c>
      <c r="B3" s="155">
        <f>1+SUMIF('Core Assumptions'!E19:E21,FF_scenario,'Core Assumptions'!D19:D21)-Mid_FF_esc</f>
        <v>1</v>
      </c>
    </row>
    <row r="5" spans="1:31" x14ac:dyDescent="0.3">
      <c r="E5" s="473">
        <f>base_year-1</f>
        <v>2020</v>
      </c>
      <c r="F5" s="8">
        <f>E5+1</f>
        <v>2021</v>
      </c>
      <c r="G5" s="8">
        <f t="shared" ref="G5:O5" si="0">F5+1</f>
        <v>2022</v>
      </c>
      <c r="H5" s="8">
        <f t="shared" si="0"/>
        <v>2023</v>
      </c>
      <c r="I5" s="8">
        <f t="shared" si="0"/>
        <v>2024</v>
      </c>
      <c r="J5" s="8">
        <f t="shared" si="0"/>
        <v>2025</v>
      </c>
      <c r="K5" s="8">
        <f t="shared" si="0"/>
        <v>2026</v>
      </c>
      <c r="L5" s="8">
        <f t="shared" si="0"/>
        <v>2027</v>
      </c>
      <c r="M5" s="8">
        <f t="shared" si="0"/>
        <v>2028</v>
      </c>
      <c r="N5" s="8">
        <f t="shared" si="0"/>
        <v>2029</v>
      </c>
      <c r="O5" s="8">
        <f t="shared" si="0"/>
        <v>2030</v>
      </c>
      <c r="P5" s="8">
        <v>2031</v>
      </c>
      <c r="Q5" s="8">
        <v>2032</v>
      </c>
      <c r="R5" s="8">
        <v>2033</v>
      </c>
      <c r="S5" s="8">
        <v>2034</v>
      </c>
      <c r="T5" s="8">
        <v>2035</v>
      </c>
      <c r="U5" s="8">
        <v>2036</v>
      </c>
      <c r="V5" s="8">
        <v>2037</v>
      </c>
      <c r="W5" s="8">
        <v>2038</v>
      </c>
      <c r="X5" s="8">
        <v>2039</v>
      </c>
      <c r="Y5" s="8">
        <v>2040</v>
      </c>
      <c r="Z5" s="8">
        <v>2041</v>
      </c>
      <c r="AA5" s="8">
        <v>2042</v>
      </c>
      <c r="AC5" t="s">
        <v>239</v>
      </c>
    </row>
    <row r="6" spans="1:31" x14ac:dyDescent="0.3">
      <c r="A6" s="112" t="s">
        <v>153</v>
      </c>
      <c r="B6" s="22" t="s">
        <v>331</v>
      </c>
      <c r="C6" s="26" t="s">
        <v>332</v>
      </c>
      <c r="D6" s="26"/>
      <c r="E6" s="474">
        <v>34.247000000000007</v>
      </c>
      <c r="F6" s="472">
        <v>36.131083333333336</v>
      </c>
      <c r="G6" s="797">
        <v>97.059650000000005</v>
      </c>
      <c r="H6" s="797">
        <v>104.08840000000001</v>
      </c>
      <c r="I6" s="797">
        <v>89.132349699335393</v>
      </c>
      <c r="J6" s="797">
        <v>85.227838560426832</v>
      </c>
      <c r="K6" s="797">
        <v>83.999541163172751</v>
      </c>
      <c r="L6" s="797">
        <v>81.33295096931063</v>
      </c>
      <c r="M6" s="797">
        <v>78.66636077544851</v>
      </c>
      <c r="N6" s="797">
        <v>75.99977058158639</v>
      </c>
      <c r="O6" s="797">
        <v>73.333180387724269</v>
      </c>
      <c r="P6" s="798">
        <v>68</v>
      </c>
      <c r="Q6" s="27"/>
      <c r="R6" s="27"/>
      <c r="S6" s="27"/>
      <c r="T6" s="27"/>
      <c r="U6" s="27"/>
      <c r="V6" s="27"/>
      <c r="W6" s="27"/>
      <c r="X6" s="27"/>
      <c r="Y6" s="27"/>
      <c r="Z6" s="27"/>
      <c r="AA6" s="27"/>
      <c r="AC6" s="2">
        <f>(P6/G6)^(1/($P$5-$G$5))-1</f>
        <v>-3.8764013781845463E-2</v>
      </c>
    </row>
    <row r="7" spans="1:31" s="20" customFormat="1" x14ac:dyDescent="0.3">
      <c r="A7" s="113" t="s">
        <v>153</v>
      </c>
      <c r="B7" s="28" t="s">
        <v>333</v>
      </c>
      <c r="C7" s="29" t="s">
        <v>334</v>
      </c>
      <c r="D7" s="29"/>
      <c r="E7" s="475">
        <v>5.3</v>
      </c>
      <c r="F7" s="477">
        <v>4.63</v>
      </c>
      <c r="G7" s="477">
        <v>3.8</v>
      </c>
      <c r="H7" s="477">
        <v>2</v>
      </c>
      <c r="I7" s="477">
        <v>2.6110000000000002</v>
      </c>
      <c r="J7" s="477">
        <v>2.5299999999999998</v>
      </c>
      <c r="K7" s="477">
        <v>2.7080524131274131</v>
      </c>
      <c r="L7" s="477">
        <v>3.4348208095822388</v>
      </c>
      <c r="M7" s="477">
        <v>3.6527879861879975</v>
      </c>
      <c r="N7" s="477">
        <v>3.9749478743484685</v>
      </c>
      <c r="O7" s="477">
        <v>4.0376562081113816</v>
      </c>
      <c r="P7" s="799">
        <v>3.8858108404722786</v>
      </c>
      <c r="AC7" s="2">
        <f>(P7/G7)^(1/($P$5-$G$5))-1</f>
        <v>2.4842590990712399E-3</v>
      </c>
    </row>
    <row r="8" spans="1:31" s="20" customFormat="1" x14ac:dyDescent="0.3">
      <c r="A8" s="113" t="s">
        <v>153</v>
      </c>
      <c r="B8" s="117" t="s">
        <v>335</v>
      </c>
      <c r="C8" s="118" t="s">
        <v>336</v>
      </c>
      <c r="D8" s="118"/>
      <c r="E8" s="476">
        <v>129.26</v>
      </c>
      <c r="F8" s="478">
        <v>140.97999999999999</v>
      </c>
      <c r="G8" s="478">
        <v>142.78</v>
      </c>
      <c r="H8" s="478">
        <v>140.94399999999999</v>
      </c>
      <c r="I8" s="478">
        <v>143.76288</v>
      </c>
      <c r="J8" s="478">
        <v>146.63813759999999</v>
      </c>
      <c r="K8" s="478">
        <v>149.570900352</v>
      </c>
      <c r="L8" s="478">
        <v>152.56231835904001</v>
      </c>
      <c r="M8" s="478">
        <v>155.6135647262208</v>
      </c>
      <c r="N8" s="478">
        <v>158.72583602074522</v>
      </c>
      <c r="O8" s="478">
        <v>161.90035274116013</v>
      </c>
      <c r="P8" s="800">
        <v>165.13835979598335</v>
      </c>
      <c r="AC8" s="2">
        <f>(P8/G8)^(1/($P$5-$G$5))-1</f>
        <v>1.6295647107022582E-2</v>
      </c>
    </row>
    <row r="9" spans="1:31" s="20" customFormat="1" x14ac:dyDescent="0.3">
      <c r="A9" s="113"/>
      <c r="B9" s="28" t="s">
        <v>337</v>
      </c>
      <c r="C9" s="29" t="s">
        <v>129</v>
      </c>
      <c r="D9">
        <f>(N9/E9)^(1/($N$5-$E$5))</f>
        <v>1.0654726804205217</v>
      </c>
      <c r="E9" s="474">
        <f>E6+(E7*12/8.76)+(E8/8.76)</f>
        <v>56.262981735159826</v>
      </c>
      <c r="F9" s="27">
        <f>F6+(F7*12/8.76)+(F8/8.76)</f>
        <v>58.567156392694059</v>
      </c>
      <c r="G9" s="27">
        <f t="shared" ref="G9:O9" si="1">G6+(G7*12/8.76)+(G8/8.76)</f>
        <v>118.56421621004566</v>
      </c>
      <c r="H9" s="27">
        <f t="shared" si="1"/>
        <v>122.91762374429223</v>
      </c>
      <c r="I9" s="27">
        <f t="shared" si="1"/>
        <v>109.12034969933541</v>
      </c>
      <c r="J9" s="27">
        <f t="shared" si="1"/>
        <v>105.4331054097419</v>
      </c>
      <c r="K9" s="27">
        <f t="shared" si="1"/>
        <v>104.783505696224</v>
      </c>
      <c r="L9" s="27">
        <f t="shared" si="1"/>
        <v>103.45397472205343</v>
      </c>
      <c r="M9" s="27">
        <f t="shared" si="1"/>
        <v>101.43428549696412</v>
      </c>
      <c r="N9" s="27">
        <f t="shared" si="1"/>
        <v>99.564292329637397</v>
      </c>
      <c r="O9" s="27">
        <f t="shared" si="1"/>
        <v>97.345991716319787</v>
      </c>
      <c r="P9" s="801">
        <f t="shared" ref="P9" si="2">O9</f>
        <v>97.345991716319787</v>
      </c>
      <c r="AC9" s="181">
        <f>(P9/G9)^(1/($P$5-$G$5))-1</f>
        <v>-2.167097645731686E-2</v>
      </c>
    </row>
    <row r="10" spans="1:31" s="20" customFormat="1" x14ac:dyDescent="0.3">
      <c r="A10" s="113"/>
      <c r="B10" s="28"/>
      <c r="C10" s="29"/>
      <c r="D10"/>
      <c r="E10" s="27"/>
      <c r="AC10" s="2"/>
    </row>
    <row r="11" spans="1:31" x14ac:dyDescent="0.3">
      <c r="A11" s="113" t="s">
        <v>338</v>
      </c>
      <c r="B11" s="178" t="s">
        <v>339</v>
      </c>
      <c r="C11" s="179" t="s">
        <v>340</v>
      </c>
      <c r="D11" s="184">
        <f>(N11/E11)^(1/($N$5-$E$5))</f>
        <v>1.0566803360857526</v>
      </c>
      <c r="E11" s="764">
        <f>'AEO- reference'!G68</f>
        <v>15.907307369027949</v>
      </c>
      <c r="F11" s="115">
        <f>'AEO- reference'!H68</f>
        <v>19.362993491023545</v>
      </c>
      <c r="G11" s="115">
        <f>'AEO- reference'!I68</f>
        <v>20.485148140617554</v>
      </c>
      <c r="H11" s="115">
        <f>'AEO- reference'!J68</f>
        <v>20.470676481697364</v>
      </c>
      <c r="I11" s="115">
        <f>'AEO- reference'!K68</f>
        <v>21.668943284093785</v>
      </c>
      <c r="J11" s="115">
        <f>'AEO- reference'!L68</f>
        <v>22.423332246175757</v>
      </c>
      <c r="K11" s="115">
        <f>'AEO- reference'!M68</f>
        <v>23.307068549124658</v>
      </c>
      <c r="L11" s="115">
        <f>'AEO- reference'!N68</f>
        <v>24.367221056717387</v>
      </c>
      <c r="M11" s="115">
        <f>'AEO- reference'!O68</f>
        <v>25.258020888866362</v>
      </c>
      <c r="N11" s="115">
        <f>'AEO- reference'!P68</f>
        <v>26.126985465417093</v>
      </c>
      <c r="O11" s="115">
        <f>'AEO- reference'!Q68</f>
        <v>26.863406469416198</v>
      </c>
      <c r="P11" s="115">
        <f>'AEO- reference'!R68</f>
        <v>27.964239238775637</v>
      </c>
      <c r="AC11" s="795">
        <f>(P11/G11)^(1/($P$5-$G$5))-1</f>
        <v>3.5185573822299476E-2</v>
      </c>
      <c r="AD11" t="s">
        <v>338</v>
      </c>
      <c r="AE11" s="241">
        <f>(P11-F11)/F11</f>
        <v>0.44421053757723605</v>
      </c>
    </row>
    <row r="12" spans="1:31" s="43" customFormat="1" x14ac:dyDescent="0.3">
      <c r="A12" s="43" t="s">
        <v>20</v>
      </c>
      <c r="B12" s="178" t="s">
        <v>339</v>
      </c>
      <c r="C12" s="179" t="s">
        <v>340</v>
      </c>
      <c r="D12" s="43">
        <f>(O12/F12)^(1/($O$5-$F$5))</f>
        <v>0.99</v>
      </c>
      <c r="E12" s="765">
        <v>18</v>
      </c>
      <c r="F12" s="679">
        <f>F11</f>
        <v>19.362993491023545</v>
      </c>
      <c r="G12" s="509">
        <f>F12*(1+Low_FF_esc)</f>
        <v>19.169363556113311</v>
      </c>
      <c r="H12" s="509">
        <f t="shared" ref="H12:AA12" si="3">G12*(1+Low_FF_esc)</f>
        <v>18.977669920552177</v>
      </c>
      <c r="I12" s="509">
        <f t="shared" si="3"/>
        <v>18.787893221346657</v>
      </c>
      <c r="J12" s="509">
        <f t="shared" si="3"/>
        <v>18.600014289133192</v>
      </c>
      <c r="K12" s="509">
        <f t="shared" si="3"/>
        <v>18.414014146241861</v>
      </c>
      <c r="L12" s="509">
        <f t="shared" si="3"/>
        <v>18.229874004779443</v>
      </c>
      <c r="M12" s="509">
        <f t="shared" si="3"/>
        <v>18.047575264731648</v>
      </c>
      <c r="N12" s="509">
        <f t="shared" si="3"/>
        <v>17.86709951208433</v>
      </c>
      <c r="O12" s="509">
        <f>N12*(1+Low_FF_esc)</f>
        <v>17.688428516963487</v>
      </c>
      <c r="P12" s="180">
        <f>O12*(1+Low_FF_esc)</f>
        <v>17.511544231793852</v>
      </c>
      <c r="Q12" s="180">
        <f t="shared" si="3"/>
        <v>17.336428789475914</v>
      </c>
      <c r="R12" s="180">
        <f t="shared" si="3"/>
        <v>17.163064501581154</v>
      </c>
      <c r="S12" s="180">
        <f t="shared" si="3"/>
        <v>16.991433856565344</v>
      </c>
      <c r="T12" s="180">
        <f t="shared" si="3"/>
        <v>16.82151951799969</v>
      </c>
      <c r="U12" s="180">
        <f t="shared" si="3"/>
        <v>16.653304322819693</v>
      </c>
      <c r="V12" s="180">
        <f t="shared" si="3"/>
        <v>16.486771279591498</v>
      </c>
      <c r="W12" s="180">
        <f t="shared" si="3"/>
        <v>16.321903566795584</v>
      </c>
      <c r="X12" s="180">
        <f t="shared" si="3"/>
        <v>16.158684531127626</v>
      </c>
      <c r="Y12" s="180">
        <f t="shared" si="3"/>
        <v>15.99709768581635</v>
      </c>
      <c r="Z12" s="180">
        <f t="shared" si="3"/>
        <v>15.837126708958186</v>
      </c>
      <c r="AA12" s="180">
        <f t="shared" si="3"/>
        <v>15.678755441868605</v>
      </c>
      <c r="AC12" s="181">
        <f>(P12/G12)^(1/($P$5-$G$5))-1</f>
        <v>-1.0000000000000009E-2</v>
      </c>
      <c r="AD12" s="43" t="s">
        <v>26</v>
      </c>
      <c r="AE12" s="241">
        <f t="shared" ref="AE12:AE14" si="4">(P12-F12)/F12</f>
        <v>-9.5617924991195313E-2</v>
      </c>
    </row>
    <row r="13" spans="1:31" s="43" customFormat="1" x14ac:dyDescent="0.3">
      <c r="A13" s="43" t="s">
        <v>8</v>
      </c>
      <c r="B13" s="178" t="s">
        <v>339</v>
      </c>
      <c r="C13" s="179" t="s">
        <v>340</v>
      </c>
      <c r="D13" s="43">
        <f>(O13/F13)^(1/($O$5-$F$5))</f>
        <v>1.016</v>
      </c>
      <c r="E13" s="765">
        <v>19</v>
      </c>
      <c r="F13" s="679">
        <f>F11</f>
        <v>19.362993491023545</v>
      </c>
      <c r="G13" s="509">
        <f>F13*(1+Mid_FF_esc)</f>
        <v>19.672801386879922</v>
      </c>
      <c r="H13" s="509">
        <f t="shared" ref="H13:AA13" si="5">G13*(1+Mid_FF_esc)</f>
        <v>19.98756620907</v>
      </c>
      <c r="I13" s="509">
        <f t="shared" si="5"/>
        <v>20.307367268415121</v>
      </c>
      <c r="J13" s="509">
        <f t="shared" si="5"/>
        <v>20.632285144709762</v>
      </c>
      <c r="K13" s="509">
        <f t="shared" si="5"/>
        <v>20.962401707025119</v>
      </c>
      <c r="L13" s="509">
        <f t="shared" si="5"/>
        <v>21.297800134337521</v>
      </c>
      <c r="M13" s="509">
        <f t="shared" si="5"/>
        <v>21.638564936486922</v>
      </c>
      <c r="N13" s="509">
        <f t="shared" si="5"/>
        <v>21.984781975470714</v>
      </c>
      <c r="O13" s="509">
        <f t="shared" si="5"/>
        <v>22.336538487078247</v>
      </c>
      <c r="P13" s="180">
        <f>O13*(1+Mid_FF_esc)</f>
        <v>22.693923102871498</v>
      </c>
      <c r="Q13" s="180">
        <f t="shared" si="5"/>
        <v>23.057025872517443</v>
      </c>
      <c r="R13" s="180">
        <f t="shared" si="5"/>
        <v>23.425938286477724</v>
      </c>
      <c r="S13" s="180">
        <f t="shared" si="5"/>
        <v>23.800753299061366</v>
      </c>
      <c r="T13" s="180">
        <f t="shared" si="5"/>
        <v>24.181565351846348</v>
      </c>
      <c r="U13" s="180">
        <f t="shared" si="5"/>
        <v>24.568470397475892</v>
      </c>
      <c r="V13" s="180">
        <f t="shared" si="5"/>
        <v>24.961565923835508</v>
      </c>
      <c r="W13" s="180">
        <f t="shared" si="5"/>
        <v>25.360950978616877</v>
      </c>
      <c r="X13" s="180">
        <f t="shared" si="5"/>
        <v>25.766726194274746</v>
      </c>
      <c r="Y13" s="180">
        <f t="shared" si="5"/>
        <v>26.178993813383141</v>
      </c>
      <c r="Z13" s="180">
        <f t="shared" si="5"/>
        <v>26.597857714397271</v>
      </c>
      <c r="AA13" s="180">
        <f t="shared" si="5"/>
        <v>27.023423437827628</v>
      </c>
      <c r="AC13" s="181">
        <f>(P13/G13)^(1/($P$5-$G$5))-1</f>
        <v>1.6000000000000014E-2</v>
      </c>
      <c r="AD13" s="43" t="s">
        <v>232</v>
      </c>
      <c r="AE13" s="241">
        <f t="shared" si="4"/>
        <v>0.17202555035677375</v>
      </c>
    </row>
    <row r="14" spans="1:31" s="43" customFormat="1" x14ac:dyDescent="0.3">
      <c r="A14" s="43" t="s">
        <v>12</v>
      </c>
      <c r="B14" s="178" t="s">
        <v>339</v>
      </c>
      <c r="C14" s="179" t="s">
        <v>340</v>
      </c>
      <c r="D14" s="43">
        <f>(O14/F14)^(1/($O$5-$F$5))</f>
        <v>1.05</v>
      </c>
      <c r="E14" s="765">
        <v>21</v>
      </c>
      <c r="F14" s="679">
        <f>F11</f>
        <v>19.362993491023545</v>
      </c>
      <c r="G14" s="509">
        <f t="shared" ref="G14:AA14" si="6">F14*(1+High_FF_esc)</f>
        <v>20.331143165574723</v>
      </c>
      <c r="H14" s="509">
        <f t="shared" si="6"/>
        <v>21.347700323853459</v>
      </c>
      <c r="I14" s="509">
        <f t="shared" si="6"/>
        <v>22.415085340046133</v>
      </c>
      <c r="J14" s="509">
        <f t="shared" si="6"/>
        <v>23.535839607048441</v>
      </c>
      <c r="K14" s="509">
        <f t="shared" si="6"/>
        <v>24.712631587400864</v>
      </c>
      <c r="L14" s="509">
        <f t="shared" si="6"/>
        <v>25.948263166770907</v>
      </c>
      <c r="M14" s="509">
        <f t="shared" si="6"/>
        <v>27.245676325109454</v>
      </c>
      <c r="N14" s="509">
        <f t="shared" si="6"/>
        <v>28.607960141364927</v>
      </c>
      <c r="O14" s="509">
        <f t="shared" si="6"/>
        <v>30.038358148433176</v>
      </c>
      <c r="P14" s="180">
        <f>O14*(1+High_FF_esc)</f>
        <v>31.540276055854836</v>
      </c>
      <c r="Q14" s="180">
        <f t="shared" si="6"/>
        <v>33.117289858647581</v>
      </c>
      <c r="R14" s="180">
        <f t="shared" si="6"/>
        <v>34.773154351579961</v>
      </c>
      <c r="S14" s="180">
        <f t="shared" si="6"/>
        <v>36.511812069158964</v>
      </c>
      <c r="T14" s="180">
        <f t="shared" si="6"/>
        <v>38.337402672616911</v>
      </c>
      <c r="U14" s="180">
        <f t="shared" si="6"/>
        <v>40.254272806247755</v>
      </c>
      <c r="V14" s="180">
        <f t="shared" si="6"/>
        <v>42.266986446560146</v>
      </c>
      <c r="W14" s="180">
        <f t="shared" si="6"/>
        <v>44.380335768888159</v>
      </c>
      <c r="X14" s="180">
        <f t="shared" si="6"/>
        <v>46.599352557332566</v>
      </c>
      <c r="Y14" s="180">
        <f t="shared" si="6"/>
        <v>48.929320185199195</v>
      </c>
      <c r="Z14" s="180">
        <f t="shared" si="6"/>
        <v>51.37578619445916</v>
      </c>
      <c r="AA14" s="180">
        <f t="shared" si="6"/>
        <v>53.944575504182119</v>
      </c>
      <c r="AC14" s="181">
        <f>(P14/G14)^(1/($P$5-$G$5))-1</f>
        <v>5.0000000000000044E-2</v>
      </c>
      <c r="AD14" s="43" t="s">
        <v>108</v>
      </c>
      <c r="AE14" s="241">
        <f t="shared" si="4"/>
        <v>0.62889462677744201</v>
      </c>
    </row>
    <row r="15" spans="1:31" s="43" customFormat="1" x14ac:dyDescent="0.3">
      <c r="B15" s="178"/>
      <c r="C15" s="179"/>
      <c r="E15" s="766"/>
      <c r="F15" s="183"/>
      <c r="G15" s="183"/>
      <c r="H15" s="183"/>
      <c r="I15" s="183"/>
      <c r="J15" s="183"/>
      <c r="K15" s="183"/>
      <c r="L15" s="183"/>
      <c r="M15" s="183"/>
      <c r="N15" s="183"/>
      <c r="O15" s="183"/>
      <c r="P15" s="180"/>
      <c r="Q15" s="180"/>
      <c r="R15" s="180"/>
      <c r="S15" s="180"/>
      <c r="T15" s="180"/>
      <c r="U15" s="180"/>
      <c r="V15" s="180"/>
      <c r="W15" s="180"/>
      <c r="X15" s="180"/>
      <c r="Y15" s="180"/>
      <c r="Z15" s="180"/>
      <c r="AA15" s="180"/>
      <c r="AC15" s="181"/>
    </row>
    <row r="16" spans="1:31" x14ac:dyDescent="0.3">
      <c r="A16" s="113" t="s">
        <v>338</v>
      </c>
      <c r="B16" s="178" t="s">
        <v>341</v>
      </c>
      <c r="C16" s="179" t="s">
        <v>340</v>
      </c>
      <c r="D16" s="184">
        <f>(N16/E16)^(1/($N$5-$E$5))</f>
        <v>1.0427674601684798</v>
      </c>
      <c r="E16" s="764">
        <f>'AEO- reference'!G86</f>
        <v>18.753333999999999</v>
      </c>
      <c r="F16" s="115">
        <f>'AEO- reference'!H86</f>
        <v>25.844168</v>
      </c>
      <c r="G16" s="115">
        <f>'AEO- reference'!I86</f>
        <v>25.379753000000001</v>
      </c>
      <c r="H16" s="115">
        <f>'AEO- reference'!J86</f>
        <v>23.113689000000001</v>
      </c>
      <c r="I16" s="115">
        <f>'AEO- reference'!K86</f>
        <v>23.481171</v>
      </c>
      <c r="J16" s="115">
        <f>'AEO- reference'!L86</f>
        <v>23.796037999999999</v>
      </c>
      <c r="K16" s="115">
        <f>'AEO- reference'!M86</f>
        <v>24.637022000000002</v>
      </c>
      <c r="L16" s="115">
        <f>'AEO- reference'!N86</f>
        <v>25.563745000000001</v>
      </c>
      <c r="M16" s="115">
        <f>'AEO- reference'!O86</f>
        <v>26.489612999999999</v>
      </c>
      <c r="N16" s="115">
        <f>'AEO- reference'!P86</f>
        <v>27.337935999999999</v>
      </c>
      <c r="O16" s="115">
        <f>'AEO- reference'!Q86</f>
        <v>28.665991000000002</v>
      </c>
      <c r="P16" s="115">
        <f>'AEO- reference'!R86</f>
        <v>30.266462000000001</v>
      </c>
      <c r="AC16" s="795">
        <f>(P16/G16)^(1/($P$5-$G$5))-1</f>
        <v>1.9758046051360223E-2</v>
      </c>
      <c r="AD16" t="s">
        <v>338</v>
      </c>
    </row>
    <row r="17" spans="1:35" s="43" customFormat="1" x14ac:dyDescent="0.3">
      <c r="A17" s="43" t="s">
        <v>20</v>
      </c>
      <c r="B17" s="178" t="s">
        <v>341</v>
      </c>
      <c r="C17" s="179" t="s">
        <v>340</v>
      </c>
      <c r="D17" s="43">
        <f>(N17/E17)^(1/($N$5-$E$5))</f>
        <v>1.0040289905876156</v>
      </c>
      <c r="E17" s="765">
        <v>23</v>
      </c>
      <c r="F17" s="509">
        <f>F16</f>
        <v>25.844168</v>
      </c>
      <c r="G17" s="509">
        <f>F17*(1+Low_FF_esc)</f>
        <v>25.585726319999999</v>
      </c>
      <c r="H17" s="509">
        <f t="shared" ref="H17:AA17" si="7">G17*(1+Low_FF_esc)</f>
        <v>25.3298690568</v>
      </c>
      <c r="I17" s="509">
        <f t="shared" si="7"/>
        <v>25.076570366231998</v>
      </c>
      <c r="J17" s="509">
        <f t="shared" si="7"/>
        <v>24.825804662569677</v>
      </c>
      <c r="K17" s="509">
        <f t="shared" si="7"/>
        <v>24.57754661594398</v>
      </c>
      <c r="L17" s="509">
        <f t="shared" si="7"/>
        <v>24.33177114978454</v>
      </c>
      <c r="M17" s="509">
        <f t="shared" si="7"/>
        <v>24.088453438286695</v>
      </c>
      <c r="N17" s="509">
        <f t="shared" si="7"/>
        <v>23.847568903903827</v>
      </c>
      <c r="O17" s="509">
        <f t="shared" si="7"/>
        <v>23.609093214864789</v>
      </c>
      <c r="P17" s="180">
        <f>O17*(1+Low_FF_esc)</f>
        <v>23.37300228271614</v>
      </c>
      <c r="Q17" s="180">
        <f t="shared" si="7"/>
        <v>23.13927225988898</v>
      </c>
      <c r="R17" s="180">
        <f t="shared" si="7"/>
        <v>22.907879537290089</v>
      </c>
      <c r="S17" s="180">
        <f t="shared" si="7"/>
        <v>22.67880074191719</v>
      </c>
      <c r="T17" s="180">
        <f t="shared" si="7"/>
        <v>22.452012734498016</v>
      </c>
      <c r="U17" s="180">
        <f t="shared" si="7"/>
        <v>22.227492607153035</v>
      </c>
      <c r="V17" s="180">
        <f t="shared" si="7"/>
        <v>22.005217681081504</v>
      </c>
      <c r="W17" s="180">
        <f t="shared" si="7"/>
        <v>21.78516550427069</v>
      </c>
      <c r="X17" s="180">
        <f t="shared" si="7"/>
        <v>21.567313849227983</v>
      </c>
      <c r="Y17" s="180">
        <f t="shared" si="7"/>
        <v>21.351640710735701</v>
      </c>
      <c r="Z17" s="180">
        <f t="shared" si="7"/>
        <v>21.138124303628345</v>
      </c>
      <c r="AA17" s="180">
        <f t="shared" si="7"/>
        <v>20.926743060592063</v>
      </c>
      <c r="AC17" s="181">
        <f>(P17/G17)^(1/($P$5-$G$5))-1</f>
        <v>-1.0000000000000009E-2</v>
      </c>
      <c r="AD17" s="43" t="s">
        <v>26</v>
      </c>
    </row>
    <row r="18" spans="1:35" s="43" customFormat="1" x14ac:dyDescent="0.3">
      <c r="A18" s="43" t="s">
        <v>8</v>
      </c>
      <c r="B18" s="178" t="s">
        <v>341</v>
      </c>
      <c r="C18" s="179" t="s">
        <v>340</v>
      </c>
      <c r="D18" s="43">
        <f>(N18/E18)^(1/($N$5-$E$5))</f>
        <v>1.0225866263138854</v>
      </c>
      <c r="E18" s="765">
        <v>24</v>
      </c>
      <c r="F18" s="509">
        <f>F16</f>
        <v>25.844168</v>
      </c>
      <c r="G18" s="509">
        <f t="shared" ref="G18:AA18" si="8">F18*(1+Mid_FF_esc)</f>
        <v>26.257674688000002</v>
      </c>
      <c r="H18" s="509">
        <f t="shared" si="8"/>
        <v>26.677797483008003</v>
      </c>
      <c r="I18" s="509">
        <f t="shared" si="8"/>
        <v>27.104642242736134</v>
      </c>
      <c r="J18" s="509">
        <f t="shared" si="8"/>
        <v>27.538316518619911</v>
      </c>
      <c r="K18" s="509">
        <f t="shared" si="8"/>
        <v>27.978929582917832</v>
      </c>
      <c r="L18" s="509">
        <f t="shared" si="8"/>
        <v>28.426592456244517</v>
      </c>
      <c r="M18" s="509">
        <f t="shared" si="8"/>
        <v>28.88141793554443</v>
      </c>
      <c r="N18" s="509">
        <f t="shared" si="8"/>
        <v>29.343520622513143</v>
      </c>
      <c r="O18" s="509">
        <f t="shared" si="8"/>
        <v>29.813016952473355</v>
      </c>
      <c r="P18" s="180">
        <f>O18*(1+Mid_FF_esc)</f>
        <v>30.290025223712927</v>
      </c>
      <c r="Q18" s="180">
        <f t="shared" si="8"/>
        <v>30.774665627292336</v>
      </c>
      <c r="R18" s="180">
        <f t="shared" si="8"/>
        <v>31.267060277329012</v>
      </c>
      <c r="S18" s="180">
        <f t="shared" si="8"/>
        <v>31.767333241766277</v>
      </c>
      <c r="T18" s="180">
        <f t="shared" si="8"/>
        <v>32.275610573634538</v>
      </c>
      <c r="U18" s="180">
        <f t="shared" si="8"/>
        <v>32.792020342812691</v>
      </c>
      <c r="V18" s="180">
        <f t="shared" si="8"/>
        <v>33.316692668297698</v>
      </c>
      <c r="W18" s="180">
        <f t="shared" si="8"/>
        <v>33.849759750990458</v>
      </c>
      <c r="X18" s="180">
        <f t="shared" si="8"/>
        <v>34.391355907006307</v>
      </c>
      <c r="Y18" s="180">
        <f t="shared" si="8"/>
        <v>34.941617601518409</v>
      </c>
      <c r="Z18" s="180">
        <f t="shared" si="8"/>
        <v>35.500683483142701</v>
      </c>
      <c r="AA18" s="180">
        <f t="shared" si="8"/>
        <v>36.068694418872987</v>
      </c>
      <c r="AC18" s="181">
        <f>(P18/G18)^(1/($P$5-$G$5))-1</f>
        <v>1.6000000000000014E-2</v>
      </c>
      <c r="AD18" s="43" t="s">
        <v>232</v>
      </c>
    </row>
    <row r="19" spans="1:35" s="43" customFormat="1" x14ac:dyDescent="0.3">
      <c r="A19" s="43" t="s">
        <v>12</v>
      </c>
      <c r="B19" s="178" t="s">
        <v>341</v>
      </c>
      <c r="C19" s="179" t="s">
        <v>340</v>
      </c>
      <c r="D19" s="43">
        <f>(N19/E19)^(1/($N$5-$E$5))</f>
        <v>1.0529489132896097</v>
      </c>
      <c r="E19" s="765">
        <v>24</v>
      </c>
      <c r="F19" s="180">
        <f>F16</f>
        <v>25.844168</v>
      </c>
      <c r="G19" s="180">
        <f t="shared" ref="G19:AA19" si="9">F19*(1+High_FF_esc)</f>
        <v>27.1363764</v>
      </c>
      <c r="H19" s="180">
        <f t="shared" si="9"/>
        <v>28.49319522</v>
      </c>
      <c r="I19" s="180">
        <f t="shared" si="9"/>
        <v>29.917854981000001</v>
      </c>
      <c r="J19" s="180">
        <f t="shared" si="9"/>
        <v>31.413747730050002</v>
      </c>
      <c r="K19" s="180">
        <f t="shared" si="9"/>
        <v>32.984435116552504</v>
      </c>
      <c r="L19" s="180">
        <f t="shared" si="9"/>
        <v>34.633656872380129</v>
      </c>
      <c r="M19" s="180">
        <f t="shared" si="9"/>
        <v>36.365339715999134</v>
      </c>
      <c r="N19" s="180">
        <f t="shared" si="9"/>
        <v>38.183606701799093</v>
      </c>
      <c r="O19" s="180">
        <f t="shared" si="9"/>
        <v>40.09278703688905</v>
      </c>
      <c r="P19" s="180">
        <f>O19*(1+High_FF_esc)</f>
        <v>42.097426388733503</v>
      </c>
      <c r="Q19" s="180">
        <f t="shared" si="9"/>
        <v>44.202297708170178</v>
      </c>
      <c r="R19" s="180">
        <f t="shared" si="9"/>
        <v>46.412412593578686</v>
      </c>
      <c r="S19" s="180">
        <f t="shared" si="9"/>
        <v>48.733033223257621</v>
      </c>
      <c r="T19" s="180">
        <f t="shared" si="9"/>
        <v>51.169684884420505</v>
      </c>
      <c r="U19" s="180">
        <f t="shared" si="9"/>
        <v>53.728169128641532</v>
      </c>
      <c r="V19" s="180">
        <f t="shared" si="9"/>
        <v>56.414577585073609</v>
      </c>
      <c r="W19" s="180">
        <f t="shared" si="9"/>
        <v>59.235306464327294</v>
      </c>
      <c r="X19" s="180">
        <f t="shared" si="9"/>
        <v>62.197071787543663</v>
      </c>
      <c r="Y19" s="180">
        <f t="shared" si="9"/>
        <v>65.306925376920844</v>
      </c>
      <c r="Z19" s="180">
        <f t="shared" si="9"/>
        <v>68.572271645766889</v>
      </c>
      <c r="AA19" s="180">
        <f t="shared" si="9"/>
        <v>72.000885228055239</v>
      </c>
      <c r="AC19" s="181">
        <f>(P19/G19)^(1/($P$5-$G$5))-1</f>
        <v>5.0000000000000044E-2</v>
      </c>
      <c r="AD19" s="43" t="s">
        <v>108</v>
      </c>
    </row>
    <row r="20" spans="1:35" x14ac:dyDescent="0.3">
      <c r="B20" s="28"/>
      <c r="C20" s="29"/>
      <c r="E20" s="81"/>
      <c r="F20" s="15"/>
      <c r="G20" s="15"/>
      <c r="H20" s="15"/>
      <c r="I20" s="15"/>
      <c r="J20" s="15"/>
      <c r="K20" s="15"/>
      <c r="L20" s="15"/>
      <c r="M20" s="15"/>
      <c r="N20" s="15"/>
      <c r="O20" s="15"/>
      <c r="P20" s="27"/>
      <c r="Q20" s="27"/>
      <c r="R20" s="27"/>
      <c r="S20" s="27"/>
      <c r="T20" s="27"/>
      <c r="U20" s="27"/>
      <c r="V20" s="27"/>
      <c r="W20" s="27"/>
      <c r="X20" s="27"/>
      <c r="Y20" s="27"/>
      <c r="Z20" s="27"/>
      <c r="AA20" s="27"/>
      <c r="AC20" s="2"/>
    </row>
    <row r="21" spans="1:35" x14ac:dyDescent="0.3">
      <c r="A21" t="s">
        <v>26</v>
      </c>
      <c r="B21" s="22" t="s">
        <v>142</v>
      </c>
      <c r="C21" t="s">
        <v>129</v>
      </c>
      <c r="D21" s="20"/>
      <c r="E21" s="497">
        <v>1</v>
      </c>
      <c r="F21" s="730">
        <f>F22</f>
        <v>7.5</v>
      </c>
      <c r="G21" s="730">
        <f>G22</f>
        <v>7.65</v>
      </c>
      <c r="H21" s="730">
        <f>G21-1</f>
        <v>6.65</v>
      </c>
      <c r="I21" s="730">
        <f>H21-1</f>
        <v>5.65</v>
      </c>
      <c r="J21" s="730">
        <f>I21</f>
        <v>5.65</v>
      </c>
      <c r="K21" s="730">
        <f t="shared" ref="K21:P21" si="10">J21</f>
        <v>5.65</v>
      </c>
      <c r="L21" s="730">
        <f t="shared" si="10"/>
        <v>5.65</v>
      </c>
      <c r="M21" s="730">
        <f t="shared" si="10"/>
        <v>5.65</v>
      </c>
      <c r="N21" s="730">
        <f t="shared" si="10"/>
        <v>5.65</v>
      </c>
      <c r="O21" s="730">
        <f t="shared" si="10"/>
        <v>5.65</v>
      </c>
      <c r="P21" s="730">
        <f t="shared" si="10"/>
        <v>5.65</v>
      </c>
      <c r="Q21" s="7"/>
      <c r="R21" s="7"/>
      <c r="S21" s="7"/>
      <c r="AC21" s="27">
        <f>AVERAGE(G21:P21)</f>
        <v>5.9499999999999993</v>
      </c>
    </row>
    <row r="22" spans="1:35" x14ac:dyDescent="0.3">
      <c r="A22" t="s">
        <v>232</v>
      </c>
      <c r="B22" s="22" t="s">
        <v>142</v>
      </c>
      <c r="C22" t="s">
        <v>129</v>
      </c>
      <c r="D22" s="20"/>
      <c r="E22" s="497">
        <v>1</v>
      </c>
      <c r="F22" s="730">
        <v>7.5</v>
      </c>
      <c r="G22" s="730">
        <f>F22*1.02</f>
        <v>7.65</v>
      </c>
      <c r="H22" s="730">
        <f t="shared" ref="H22:P22" si="11">G22*1.02</f>
        <v>7.8030000000000008</v>
      </c>
      <c r="I22" s="730">
        <f t="shared" si="11"/>
        <v>7.9590600000000009</v>
      </c>
      <c r="J22" s="730">
        <f t="shared" si="11"/>
        <v>8.1182412000000017</v>
      </c>
      <c r="K22" s="730">
        <f t="shared" si="11"/>
        <v>8.2806060240000026</v>
      </c>
      <c r="L22" s="730">
        <f t="shared" si="11"/>
        <v>8.4462181444800031</v>
      </c>
      <c r="M22" s="730">
        <f t="shared" si="11"/>
        <v>8.6151425073696029</v>
      </c>
      <c r="N22" s="730">
        <f t="shared" si="11"/>
        <v>8.7874453575169955</v>
      </c>
      <c r="O22" s="730">
        <f t="shared" si="11"/>
        <v>8.9631942646673348</v>
      </c>
      <c r="P22" s="730">
        <f t="shared" si="11"/>
        <v>9.1424581499606816</v>
      </c>
      <c r="Q22" s="7"/>
      <c r="R22" s="7"/>
      <c r="S22" s="7"/>
      <c r="AC22" s="27">
        <f>AVERAGE(G22:P22)</f>
        <v>8.3765365647994621</v>
      </c>
    </row>
    <row r="23" spans="1:35" x14ac:dyDescent="0.3">
      <c r="A23" t="s">
        <v>108</v>
      </c>
      <c r="B23" s="22" t="s">
        <v>142</v>
      </c>
      <c r="C23" t="s">
        <v>129</v>
      </c>
      <c r="D23" s="20"/>
      <c r="E23" s="497">
        <v>1</v>
      </c>
      <c r="F23" s="730">
        <f>requirements!F16</f>
        <v>10.7</v>
      </c>
      <c r="G23" s="730">
        <f>requirements!G16</f>
        <v>11.16</v>
      </c>
      <c r="H23" s="730">
        <f>requirements!H16</f>
        <v>11.97</v>
      </c>
      <c r="I23" s="730">
        <f>requirements!I16</f>
        <v>12.4488</v>
      </c>
      <c r="J23" s="730">
        <f>requirements!J16</f>
        <v>12.946752</v>
      </c>
      <c r="K23" s="730">
        <f>requirements!K16</f>
        <v>13.46462208</v>
      </c>
      <c r="L23" s="730">
        <f>requirements!L16</f>
        <v>14.0032069632</v>
      </c>
      <c r="M23" s="730">
        <f>requirements!M16</f>
        <v>14.563335241728002</v>
      </c>
      <c r="N23" s="730">
        <f>requirements!N16</f>
        <v>15.145868651397121</v>
      </c>
      <c r="O23" s="730">
        <f>requirements!O16</f>
        <v>15.751703397453007</v>
      </c>
      <c r="P23" s="730">
        <f>requirements!P16</f>
        <v>16.381771533351127</v>
      </c>
      <c r="Q23" s="7"/>
      <c r="R23" s="7"/>
      <c r="S23" s="7"/>
      <c r="AC23" s="27">
        <f>AVERAGE(G23:P23)</f>
        <v>13.783605986712924</v>
      </c>
    </row>
    <row r="24" spans="1:35" x14ac:dyDescent="0.3">
      <c r="B24" s="22"/>
      <c r="F24" s="15"/>
      <c r="G24" s="15"/>
      <c r="H24" s="15"/>
      <c r="I24" s="15"/>
      <c r="J24" s="15"/>
      <c r="K24" s="15"/>
      <c r="L24" s="15"/>
      <c r="M24" s="15"/>
      <c r="N24" s="15"/>
      <c r="O24" s="15"/>
    </row>
    <row r="25" spans="1:35" x14ac:dyDescent="0.3">
      <c r="A25" t="s">
        <v>26</v>
      </c>
      <c r="B25" s="22" t="s">
        <v>143</v>
      </c>
      <c r="C25" t="s">
        <v>129</v>
      </c>
      <c r="D25" s="30"/>
      <c r="E25" s="497">
        <v>35</v>
      </c>
      <c r="F25" s="731">
        <v>30</v>
      </c>
      <c r="G25" s="730">
        <f>G26</f>
        <v>33.010649580647502</v>
      </c>
      <c r="H25" s="730">
        <f>H26</f>
        <v>34.758620689655174</v>
      </c>
      <c r="I25" s="730">
        <f t="shared" ref="I25:J25" si="12">I26</f>
        <v>32.482758620689658</v>
      </c>
      <c r="J25" s="730">
        <f t="shared" si="12"/>
        <v>33.375</v>
      </c>
      <c r="K25" s="730">
        <f>J25*(0.9)</f>
        <v>30.037500000000001</v>
      </c>
      <c r="L25" s="730">
        <f>K25*(0.9)</f>
        <v>27.033750000000001</v>
      </c>
      <c r="M25" s="730">
        <f t="shared" ref="M25" si="13">L25*(0.9)</f>
        <v>24.330375</v>
      </c>
      <c r="N25" s="730">
        <f>M25</f>
        <v>24.330375</v>
      </c>
      <c r="O25" s="730">
        <f>N25</f>
        <v>24.330375</v>
      </c>
      <c r="P25" s="730">
        <f>O25</f>
        <v>24.330375</v>
      </c>
      <c r="Q25" s="7"/>
      <c r="R25" s="7"/>
      <c r="S25" s="7"/>
      <c r="AC25" s="27">
        <f>AVERAGE(G25:P25)</f>
        <v>28.801977889099231</v>
      </c>
    </row>
    <row r="26" spans="1:35" x14ac:dyDescent="0.3">
      <c r="A26" t="s">
        <v>232</v>
      </c>
      <c r="B26" s="22" t="s">
        <v>143</v>
      </c>
      <c r="C26" t="s">
        <v>129</v>
      </c>
      <c r="D26" s="20"/>
      <c r="E26" s="497">
        <v>41</v>
      </c>
      <c r="F26" s="731">
        <v>40</v>
      </c>
      <c r="G26" s="730">
        <v>33.010649580647502</v>
      </c>
      <c r="H26" s="730">
        <v>34.758620689655174</v>
      </c>
      <c r="I26" s="730">
        <v>32.482758620689658</v>
      </c>
      <c r="J26" s="730">
        <v>33.375</v>
      </c>
      <c r="K26" s="730">
        <f>J26</f>
        <v>33.375</v>
      </c>
      <c r="L26" s="730">
        <f t="shared" ref="L26:P26" si="14">K26</f>
        <v>33.375</v>
      </c>
      <c r="M26" s="730">
        <f t="shared" si="14"/>
        <v>33.375</v>
      </c>
      <c r="N26" s="730">
        <f t="shared" si="14"/>
        <v>33.375</v>
      </c>
      <c r="O26" s="730">
        <f t="shared" si="14"/>
        <v>33.375</v>
      </c>
      <c r="P26" s="730">
        <f t="shared" si="14"/>
        <v>33.375</v>
      </c>
      <c r="Q26" s="7"/>
      <c r="R26" s="7"/>
      <c r="S26" s="7"/>
      <c r="AC26" s="27">
        <f>AVERAGE(G26:P26)</f>
        <v>33.387702889099231</v>
      </c>
    </row>
    <row r="27" spans="1:35" x14ac:dyDescent="0.3">
      <c r="A27" t="s">
        <v>108</v>
      </c>
      <c r="B27" s="22" t="s">
        <v>143</v>
      </c>
      <c r="C27" t="s">
        <v>129</v>
      </c>
      <c r="D27" s="20"/>
      <c r="E27" s="497">
        <v>42</v>
      </c>
      <c r="F27" s="731">
        <v>42</v>
      </c>
      <c r="G27" s="730">
        <f>G26</f>
        <v>33.010649580647502</v>
      </c>
      <c r="H27" s="730">
        <f>H26</f>
        <v>34.758620689655174</v>
      </c>
      <c r="I27" s="730">
        <f t="shared" ref="I27:J27" si="15">I26</f>
        <v>32.482758620689658</v>
      </c>
      <c r="J27" s="730">
        <f t="shared" si="15"/>
        <v>33.375</v>
      </c>
      <c r="K27" s="730">
        <f>J27*1.1</f>
        <v>36.712500000000006</v>
      </c>
      <c r="L27" s="730">
        <f>K27*1.05</f>
        <v>38.548125000000006</v>
      </c>
      <c r="M27" s="730">
        <f t="shared" ref="M27" si="16">L27*1.05</f>
        <v>40.47553125000001</v>
      </c>
      <c r="N27" s="730">
        <f>M27</f>
        <v>40.47553125000001</v>
      </c>
      <c r="O27" s="730">
        <f>N27</f>
        <v>40.47553125000001</v>
      </c>
      <c r="P27" s="730">
        <f>O27</f>
        <v>40.47553125000001</v>
      </c>
      <c r="Q27" s="7"/>
      <c r="R27" s="7"/>
      <c r="S27" s="7"/>
      <c r="AC27" s="27">
        <f>AVERAGE(G27:P27)</f>
        <v>37.078977889099242</v>
      </c>
    </row>
    <row r="29" spans="1:35" x14ac:dyDescent="0.3">
      <c r="H29" s="27"/>
    </row>
    <row r="30" spans="1:35" ht="15" thickBot="1" x14ac:dyDescent="0.35"/>
    <row r="31" spans="1:35" x14ac:dyDescent="0.3">
      <c r="A31" s="138" t="s">
        <v>342</v>
      </c>
      <c r="B31" s="119"/>
      <c r="C31" s="119"/>
      <c r="D31" s="119"/>
      <c r="E31" s="119"/>
      <c r="F31" s="119"/>
      <c r="G31" s="119"/>
      <c r="H31" s="119"/>
      <c r="I31" s="119"/>
      <c r="J31" s="119"/>
      <c r="K31" s="119"/>
      <c r="L31" s="119"/>
      <c r="M31" s="119"/>
      <c r="N31" s="119"/>
      <c r="O31" s="537"/>
      <c r="P31" s="119"/>
      <c r="AD31" t="s">
        <v>343</v>
      </c>
      <c r="AI31" s="78"/>
    </row>
    <row r="32" spans="1:35" x14ac:dyDescent="0.3">
      <c r="A32" s="120"/>
      <c r="B32" s="121"/>
      <c r="C32" s="121"/>
      <c r="D32" s="121"/>
      <c r="E32" s="121"/>
      <c r="F32" s="121"/>
      <c r="G32" s="121"/>
      <c r="H32" s="121"/>
      <c r="I32" s="121"/>
      <c r="J32" s="121"/>
      <c r="K32" s="121"/>
      <c r="L32" s="121"/>
      <c r="M32" s="121"/>
      <c r="N32" s="121"/>
      <c r="O32" s="122"/>
      <c r="P32" s="121"/>
      <c r="AC32" t="s">
        <v>344</v>
      </c>
      <c r="AD32" s="27">
        <f>AVERAGE(G6:P6)</f>
        <v>83.68400421370049</v>
      </c>
      <c r="AI32" s="27"/>
    </row>
    <row r="33" spans="1:30" x14ac:dyDescent="0.3">
      <c r="A33" s="120"/>
      <c r="B33" s="121" t="s">
        <v>345</v>
      </c>
      <c r="C33" s="123" t="s">
        <v>332</v>
      </c>
      <c r="D33" s="512">
        <f>(O33/F33)^(1/($O$5-$F$5))</f>
        <v>1.0746103767575559</v>
      </c>
      <c r="E33" s="124">
        <f>(E6*CCHP_LMP_multiplier+('price forecasts'!E7*12/8.76*FCM_coincidence)+('price forecasts'!E8/8.76*RNS_coincidence))*($B$3^(E$5-base_year))</f>
        <v>43.175695433789961</v>
      </c>
      <c r="F33" s="124">
        <f>(F6*CCHP_LMP_multiplier+('price forecasts'!F7*12/8.76*FCM_coincidence)+('price forecasts'!F8/8.76*RNS_coincidence))*($B$3^(F$5-base_year))</f>
        <v>45.353209931506854</v>
      </c>
      <c r="G33" s="124">
        <f>(G6*CCHP_LMP_multiplier+('price forecasts'!G7*12/8.76*FCM_coincidence)+('price forecasts'!G8/8.76*RNS_coincidence))*($B$3^(G$5-base_year))</f>
        <v>112.14175655251144</v>
      </c>
      <c r="H33" s="124">
        <f>(H6*CCHP_LMP_multiplier+('price forecasts'!H7*12/8.76*FCM_coincidence)+('price forecasts'!H8/8.76*RNS_coincidence))*($B$3^(H$5-base_year))</f>
        <v>119.20454593607307</v>
      </c>
      <c r="I33" s="124">
        <f>(I6*CCHP_LMP_multiplier+('price forecasts'!I7*12/8.76*FCM_coincidence)+('price forecasts'!I8/8.76*RNS_coincidence))*($B$3^(I$5-base_year))</f>
        <v>103.04258466926893</v>
      </c>
      <c r="J33" s="124">
        <f>(J6*CCHP_LMP_multiplier+('price forecasts'!J7*12/8.76*FCM_coincidence)+('price forecasts'!J8/8.76*RNS_coincidence))*($B$3^(J$5-base_year))</f>
        <v>98.801939128798296</v>
      </c>
      <c r="K33" s="124">
        <f>(K6*CCHP_LMP_multiplier+('price forecasts'!K7*12/8.76*FCM_coincidence)+('price forecasts'!K8/8.76*RNS_coincidence))*($B$3^(K$5-base_year))</f>
        <v>97.595486412752848</v>
      </c>
      <c r="L33" s="124">
        <f>(L6*CCHP_LMP_multiplier+('price forecasts'!L7*12/8.76*FCM_coincidence)+('price forecasts'!L8/8.76*RNS_coincidence))*($B$3^(L$5-base_year))</f>
        <v>94.996502004427384</v>
      </c>
      <c r="M33" s="124">
        <f>(M6*CCHP_LMP_multiplier+('price forecasts'!M7*12/8.76*FCM_coincidence)+('price forecasts'!M8/8.76*RNS_coincidence))*($B$3^(M$5-base_year))</f>
        <v>92.224978033372267</v>
      </c>
      <c r="N33" s="124">
        <f>(N6*CCHP_LMP_multiplier+('price forecasts'!N7*12/8.76*FCM_coincidence)+('price forecasts'!N8/8.76*RNS_coincidence))*($B$3^(N$5-base_year))</f>
        <v>89.490878076757795</v>
      </c>
      <c r="O33" s="125">
        <f>(O6*CCHP_LMP_multiplier+('price forecasts'!O7*12/8.76*FCM_coincidence)+('price forecasts'!O8/8.76*RNS_coincidence))*($B$3^(O$5-base_year))</f>
        <v>86.669701258645574</v>
      </c>
      <c r="P33" s="808">
        <f>(P6*CCHP_LMP_multiplier+('price forecasts'!P7*12/8.76*FCM_coincidence)+('price forecasts'!P8/8.76*RNS_coincidence))*($B$3^(P$5-base_year))</f>
        <v>80.843609871051683</v>
      </c>
      <c r="AC33" s="584" t="s">
        <v>39</v>
      </c>
      <c r="AD33" s="27">
        <f>AVERAGE(G33:P33)</f>
        <v>97.501198194365926</v>
      </c>
    </row>
    <row r="34" spans="1:30" x14ac:dyDescent="0.3">
      <c r="A34" s="120"/>
      <c r="B34" s="121" t="s">
        <v>346</v>
      </c>
      <c r="C34" s="123" t="s">
        <v>332</v>
      </c>
      <c r="D34" s="512">
        <f t="shared" ref="D34:D36" si="17">(O34/F34)^(1/($O$5-$F$5))</f>
        <v>1.0725899883013519</v>
      </c>
      <c r="E34" s="124">
        <f>(E6*EV_LMP_multiplier+('price forecasts'!E7*12/8.76*FCM_coincidence)+('price forecasts'!E8/8.76*RNS_coincidence))*($B$3^(E$5-base_year))</f>
        <v>34.02328675067379</v>
      </c>
      <c r="F34" s="124">
        <f>(F6*EV_LMP_multiplier+('price forecasts'!F7*12/8.76*FCM_coincidence)+('price forecasts'!F8/8.76*RNS_coincidence))*($B$3^(F$5-base_year))</f>
        <v>35.697285592721151</v>
      </c>
      <c r="G34" s="124">
        <f>(G6*EV_LMP_multiplier+('price forecasts'!G7*12/8.76*FCM_coincidence)+('price forecasts'!G8/8.76*RNS_coincidence))*($B$3^(G$5-base_year))</f>
        <v>86.202854358444327</v>
      </c>
      <c r="H34" s="124">
        <f>(H6*EV_LMP_multiplier+('price forecasts'!H7*12/8.76*FCM_coincidence)+('price forecasts'!H8/8.76*RNS_coincidence))*($B$3^(H$5-base_year))</f>
        <v>91.387231252402401</v>
      </c>
      <c r="I34" s="124">
        <f>(I6*EV_LMP_multiplier+('price forecasts'!I7*12/8.76*FCM_coincidence)+('price forecasts'!I8/8.76*RNS_coincidence))*($B$3^(I$5-base_year))</f>
        <v>79.222229854694106</v>
      </c>
      <c r="J34" s="124">
        <f>(J6*EV_LMP_multiplier+('price forecasts'!J7*12/8.76*FCM_coincidence)+('price forecasts'!J8/8.76*RNS_coincidence))*($B$3^(J$5-base_year))</f>
        <v>76.025053279419552</v>
      </c>
      <c r="K34" s="124">
        <f>(K6*EV_LMP_multiplier+('price forecasts'!K7*12/8.76*FCM_coincidence)+('price forecasts'!K8/8.76*RNS_coincidence))*($B$3^(K$5-base_year))</f>
        <v>75.146859382075803</v>
      </c>
      <c r="L34" s="124">
        <f>(L6*EV_LMP_multiplier+('price forecasts'!L7*12/8.76*FCM_coincidence)+('price forecasts'!L8/8.76*RNS_coincidence))*($B$3^(L$5-base_year))</f>
        <v>73.260513255778449</v>
      </c>
      <c r="M34" s="124">
        <f>(M6*EV_LMP_multiplier+('price forecasts'!M7*12/8.76*FCM_coincidence)+('price forecasts'!M8/8.76*RNS_coincidence))*($B$3^(M$5-base_year))</f>
        <v>71.201627566751412</v>
      </c>
      <c r="N34" s="124">
        <f>(N6*EV_LMP_multiplier+('price forecasts'!N7*12/8.76*FCM_coincidence)+('price forecasts'!N8/8.76*RNS_coincidence))*($B$3^(N$5-base_year))</f>
        <v>69.180165892165036</v>
      </c>
      <c r="O34" s="125">
        <f>(O6*EV_LMP_multiplier+('price forecasts'!O7*12/8.76*FCM_coincidence)+('price forecasts'!O8/8.76*RNS_coincidence))*($B$3^(O$5-base_year))</f>
        <v>67.07162735608091</v>
      </c>
      <c r="P34" s="808">
        <f>(P6*EV_LMP_multiplier+('price forecasts'!P7*12/8.76*FCM_coincidence)+('price forecasts'!P8/8.76*RNS_coincidence))*($B$3^(P$5-base_year))</f>
        <v>62.670812532543209</v>
      </c>
      <c r="AC34" s="102" t="s">
        <v>40</v>
      </c>
      <c r="AD34" s="27">
        <f>AVERAGE(G34:P34)</f>
        <v>75.136897473035532</v>
      </c>
    </row>
    <row r="35" spans="1:30" x14ac:dyDescent="0.3">
      <c r="A35" s="120"/>
      <c r="B35" s="121" t="s">
        <v>347</v>
      </c>
      <c r="C35" s="123" t="s">
        <v>332</v>
      </c>
      <c r="D35" s="512">
        <f t="shared" si="17"/>
        <v>1.0739671274769609</v>
      </c>
      <c r="E35" s="124">
        <f>(E6*Custom_LMP_multiplier+('price forecasts'!E7*12/8.76*FCM_coincidence)+('price forecasts'!E8/8.76*RNS_coincidence))*($B$3^(E$5-base_year))</f>
        <v>39.75099543378996</v>
      </c>
      <c r="F35" s="124">
        <f>(F6*Custom_LMP_multiplier+('price forecasts'!F7*12/8.76*FCM_coincidence)+('price forecasts'!F8/8.76*RNS_coincidence))*($B$3^(F$5-base_year))</f>
        <v>41.740101598173517</v>
      </c>
      <c r="G35" s="124">
        <f>(G6*Custom_LMP_multiplier+('price forecasts'!G7*12/8.76*FCM_coincidence)+('price forecasts'!G8/8.76*RNS_coincidence))*($B$3^(G$5-base_year))</f>
        <v>102.43579155251143</v>
      </c>
      <c r="H35" s="124">
        <f>(H6*Custom_LMP_multiplier+('price forecasts'!H7*12/8.76*FCM_coincidence)+('price forecasts'!H8/8.76*RNS_coincidence))*($B$3^(H$5-base_year))</f>
        <v>108.79570593607306</v>
      </c>
      <c r="I35" s="124">
        <f>(I6*Custom_LMP_multiplier+('price forecasts'!I7*12/8.76*FCM_coincidence)+('price forecasts'!I8/8.76*RNS_coincidence))*($B$3^(I$5-base_year))</f>
        <v>94.129349699335393</v>
      </c>
      <c r="J35" s="124">
        <f>(J6*Custom_LMP_multiplier+('price forecasts'!J7*12/8.76*FCM_coincidence)+('price forecasts'!J8/8.76*RNS_coincidence))*($B$3^(J$5-base_year))</f>
        <v>90.279155272755602</v>
      </c>
      <c r="K35" s="124">
        <f>(K6*Custom_LMP_multiplier+('price forecasts'!K7*12/8.76*FCM_coincidence)+('price forecasts'!K8/8.76*RNS_coincidence))*($B$3^(K$5-base_year))</f>
        <v>89.195532296435559</v>
      </c>
      <c r="L35" s="124">
        <f>(L6*Custom_LMP_multiplier+('price forecasts'!L7*12/8.76*FCM_coincidence)+('price forecasts'!L8/8.76*RNS_coincidence))*($B$3^(L$5-base_year))</f>
        <v>86.86320690749632</v>
      </c>
      <c r="M35" s="124">
        <f>(M6*Custom_LMP_multiplier+('price forecasts'!M7*12/8.76*FCM_coincidence)+('price forecasts'!M8/8.76*RNS_coincidence))*($B$3^(M$5-base_year))</f>
        <v>84.358341955827413</v>
      </c>
      <c r="N35" s="124">
        <f>(N6*Custom_LMP_multiplier+('price forecasts'!N7*12/8.76*FCM_coincidence)+('price forecasts'!N8/8.76*RNS_coincidence))*($B$3^(N$5-base_year))</f>
        <v>81.890901018599152</v>
      </c>
      <c r="O35" s="125">
        <f>(O6*Custom_LMP_multiplier+('price forecasts'!O7*12/8.76*FCM_coincidence)+('price forecasts'!O8/8.76*RNS_coincidence))*($B$3^(O$5-base_year))</f>
        <v>79.336383219873142</v>
      </c>
      <c r="P35" s="808">
        <f>(P6*Custom_LMP_multiplier+('price forecasts'!P7*12/8.76*FCM_coincidence)+('price forecasts'!P8/8.76*RNS_coincidence))*($B$3^(P$5-base_year))</f>
        <v>74.043609871051672</v>
      </c>
      <c r="AB35" s="27"/>
    </row>
    <row r="36" spans="1:30" x14ac:dyDescent="0.3">
      <c r="A36" s="120"/>
      <c r="B36" s="121" t="s">
        <v>348</v>
      </c>
      <c r="C36" s="123" t="s">
        <v>332</v>
      </c>
      <c r="D36" s="512">
        <f t="shared" si="17"/>
        <v>1.0739671274769609</v>
      </c>
      <c r="E36" s="124">
        <f>(E6*Custom_LMP_multiplier+('price forecasts'!E7*12/8.76*FCM_coincidence)+('price forecasts'!E8/8.76*RNS_coincidence))*($B$3^(E$5-base_year))</f>
        <v>39.75099543378996</v>
      </c>
      <c r="F36" s="124">
        <f>(F6*Custom_LMP_multiplier+('price forecasts'!F7*12/8.76*FCM_coincidence)+('price forecasts'!F8/8.76*RNS_coincidence))*($B$3^(F$5-base_year))</f>
        <v>41.740101598173517</v>
      </c>
      <c r="G36" s="124">
        <f>(G6*Custom_LMP_multiplier+('price forecasts'!G7*12/8.76*FCM_coincidence)+('price forecasts'!G8/8.76*RNS_coincidence))*($B$3^(G$5-base_year))</f>
        <v>102.43579155251143</v>
      </c>
      <c r="H36" s="124">
        <f>(H6*Custom_LMP_multiplier+('price forecasts'!H7*12/8.76*FCM_coincidence)+('price forecasts'!H8/8.76*RNS_coincidence))*($B$3^(H$5-base_year))</f>
        <v>108.79570593607306</v>
      </c>
      <c r="I36" s="124">
        <f>(I6*Custom_LMP_multiplier+('price forecasts'!I7*12/8.76*FCM_coincidence)+('price forecasts'!I8/8.76*RNS_coincidence))*($B$3^(I$5-base_year))</f>
        <v>94.129349699335393</v>
      </c>
      <c r="J36" s="124">
        <f>(J6*Custom_LMP_multiplier+('price forecasts'!J7*12/8.76*FCM_coincidence)+('price forecasts'!J8/8.76*RNS_coincidence))*($B$3^(J$5-base_year))</f>
        <v>90.279155272755602</v>
      </c>
      <c r="K36" s="124">
        <f>(K6*Custom_LMP_multiplier+('price forecasts'!K7*12/8.76*FCM_coincidence)+('price forecasts'!K8/8.76*RNS_coincidence))*($B$3^(K$5-base_year))</f>
        <v>89.195532296435559</v>
      </c>
      <c r="L36" s="124">
        <f>(L6*Custom_LMP_multiplier+('price forecasts'!L7*12/8.76*FCM_coincidence)+('price forecasts'!L8/8.76*RNS_coincidence))*($B$3^(L$5-base_year))</f>
        <v>86.86320690749632</v>
      </c>
      <c r="M36" s="124">
        <f>(M6*Custom_LMP_multiplier+('price forecasts'!M7*12/8.76*FCM_coincidence)+('price forecasts'!M8/8.76*RNS_coincidence))*($B$3^(M$5-base_year))</f>
        <v>84.358341955827413</v>
      </c>
      <c r="N36" s="124">
        <f>(N6*Custom_LMP_multiplier+('price forecasts'!N7*12/8.76*FCM_coincidence)+('price forecasts'!N8/8.76*RNS_coincidence))*($B$3^(N$5-base_year))</f>
        <v>81.890901018599152</v>
      </c>
      <c r="O36" s="125">
        <f>(O6*Custom_LMP_multiplier+('price forecasts'!O7*12/8.76*FCM_coincidence)+('price forecasts'!O8/8.76*RNS_coincidence))*($B$3^(O$5-base_year))</f>
        <v>79.336383219873142</v>
      </c>
      <c r="P36" s="808">
        <f>(P6*Custom_LMP_multiplier+('price forecasts'!P7*12/8.76*FCM_coincidence)+('price forecasts'!P8/8.76*RNS_coincidence))*($B$3^(P$5-base_year))</f>
        <v>74.043609871051672</v>
      </c>
      <c r="AC36" s="181">
        <f>(N36/E36)^(1/($N$5-$E$5))-1</f>
        <v>8.3618484183285657E-2</v>
      </c>
    </row>
    <row r="37" spans="1:30" x14ac:dyDescent="0.3">
      <c r="A37" s="120"/>
      <c r="B37" s="121"/>
      <c r="C37" s="123"/>
      <c r="D37" s="121"/>
      <c r="E37" s="124"/>
      <c r="F37" s="124"/>
      <c r="G37" s="124"/>
      <c r="H37" s="124"/>
      <c r="I37" s="124"/>
      <c r="J37" s="124"/>
      <c r="K37" s="124"/>
      <c r="L37" s="124"/>
      <c r="M37" s="124"/>
      <c r="N37" s="124"/>
      <c r="O37" s="125"/>
      <c r="P37" s="808"/>
    </row>
    <row r="38" spans="1:30" x14ac:dyDescent="0.3">
      <c r="A38" s="120"/>
      <c r="B38" s="121" t="s">
        <v>349</v>
      </c>
      <c r="C38" s="123"/>
      <c r="D38" s="121"/>
      <c r="E38" s="126">
        <v>1</v>
      </c>
      <c r="F38" s="126">
        <f>F33/E33</f>
        <v>1.0504338025326336</v>
      </c>
      <c r="G38" s="126">
        <f>G33/F33</f>
        <v>2.4726310821630868</v>
      </c>
      <c r="H38" s="126">
        <f>H33/G33</f>
        <v>1.0629809056027619</v>
      </c>
      <c r="I38" s="126">
        <f t="shared" ref="I38:O38" si="18">I33/H33</f>
        <v>0.86441824730852579</v>
      </c>
      <c r="J38" s="126">
        <f t="shared" si="18"/>
        <v>0.95884569904683925</v>
      </c>
      <c r="K38" s="126">
        <f t="shared" si="18"/>
        <v>0.98778917978044223</v>
      </c>
      <c r="L38" s="126">
        <f t="shared" si="18"/>
        <v>0.97336982985735854</v>
      </c>
      <c r="M38" s="126">
        <f t="shared" si="18"/>
        <v>0.97082498920932958</v>
      </c>
      <c r="N38" s="126">
        <f>N33/M33</f>
        <v>0.97035401889035833</v>
      </c>
      <c r="O38" s="127">
        <f t="shared" si="18"/>
        <v>0.96847525827501157</v>
      </c>
      <c r="P38" s="809">
        <f>P33/O33</f>
        <v>0.93277822234315455</v>
      </c>
      <c r="AB38" s="2">
        <f>(O38/F38)^(1/($O$5-$F$5))-1</f>
        <v>-8.9855604904836017E-3</v>
      </c>
    </row>
    <row r="39" spans="1:30" x14ac:dyDescent="0.3">
      <c r="A39" s="120"/>
      <c r="B39" s="121" t="s">
        <v>350</v>
      </c>
      <c r="C39" s="121"/>
      <c r="D39" s="121"/>
      <c r="E39" s="121"/>
      <c r="F39" s="512">
        <f>F9/E9</f>
        <v>1.0409536534764618</v>
      </c>
      <c r="G39" s="512">
        <f>G9/F9</f>
        <v>2.0244147661032064</v>
      </c>
      <c r="H39" s="512">
        <f>H9/G9</f>
        <v>1.0367177186625531</v>
      </c>
      <c r="I39" s="512">
        <f t="shared" ref="I39:P39" si="19">I9/H9</f>
        <v>0.88775186482892365</v>
      </c>
      <c r="J39" s="512">
        <f t="shared" si="19"/>
        <v>0.96620937982921473</v>
      </c>
      <c r="K39" s="512">
        <f t="shared" si="19"/>
        <v>0.99383875006817468</v>
      </c>
      <c r="L39" s="512">
        <f t="shared" si="19"/>
        <v>0.98731163874183614</v>
      </c>
      <c r="M39" s="512">
        <f t="shared" si="19"/>
        <v>0.98047741297020685</v>
      </c>
      <c r="N39" s="512">
        <f t="shared" si="19"/>
        <v>0.98156448622706871</v>
      </c>
      <c r="O39" s="512">
        <f t="shared" si="19"/>
        <v>0.97771991783988921</v>
      </c>
      <c r="P39" s="807">
        <f t="shared" si="19"/>
        <v>1</v>
      </c>
      <c r="AB39" s="2">
        <f>(O39/F39)^(1/($O$5-$F$5))-1</f>
        <v>-6.9390682676762072E-3</v>
      </c>
    </row>
    <row r="40" spans="1:30" x14ac:dyDescent="0.3">
      <c r="A40" s="120"/>
      <c r="B40" s="128" t="s">
        <v>339</v>
      </c>
      <c r="C40" s="129" t="s">
        <v>340</v>
      </c>
      <c r="D40" s="121"/>
      <c r="E40" s="130">
        <f>SUMIF($A12:$A14,FF_scenario,E$12:E$14)</f>
        <v>19</v>
      </c>
      <c r="F40" s="130">
        <f t="shared" ref="F40:N40" si="20">SUMIF($A12:$A14,FF_scenario,F$12:F$14)</f>
        <v>19.362993491023545</v>
      </c>
      <c r="G40" s="130">
        <f t="shared" si="20"/>
        <v>19.672801386879922</v>
      </c>
      <c r="H40" s="130">
        <f t="shared" si="20"/>
        <v>19.98756620907</v>
      </c>
      <c r="I40" s="130">
        <f t="shared" si="20"/>
        <v>20.307367268415121</v>
      </c>
      <c r="J40" s="130">
        <f t="shared" si="20"/>
        <v>20.632285144709762</v>
      </c>
      <c r="K40" s="130">
        <f t="shared" si="20"/>
        <v>20.962401707025119</v>
      </c>
      <c r="L40" s="130">
        <f t="shared" si="20"/>
        <v>21.297800134337521</v>
      </c>
      <c r="M40" s="130">
        <f t="shared" si="20"/>
        <v>21.638564936486922</v>
      </c>
      <c r="N40" s="130">
        <f t="shared" si="20"/>
        <v>21.984781975470714</v>
      </c>
      <c r="O40" s="131">
        <f>SUMIF($A12:$A14,FF_scenario,O$12:O$14)</f>
        <v>22.336538487078247</v>
      </c>
      <c r="P40" s="810">
        <f t="shared" ref="P40" si="21">SUMIF($A12:$A14,FF_scenario,P$12:P$14)</f>
        <v>22.693923102871498</v>
      </c>
    </row>
    <row r="41" spans="1:30" x14ac:dyDescent="0.3">
      <c r="A41" s="120"/>
      <c r="B41" s="128" t="s">
        <v>341</v>
      </c>
      <c r="C41" s="129" t="s">
        <v>340</v>
      </c>
      <c r="D41" s="121"/>
      <c r="E41" s="130">
        <f t="shared" ref="E41:N41" si="22">SUMIF($A17:$A19,FF_scenario,E$17:E$19)</f>
        <v>24</v>
      </c>
      <c r="F41" s="130">
        <f t="shared" si="22"/>
        <v>25.844168</v>
      </c>
      <c r="G41" s="130">
        <f t="shared" si="22"/>
        <v>26.257674688000002</v>
      </c>
      <c r="H41" s="130">
        <f t="shared" si="22"/>
        <v>26.677797483008003</v>
      </c>
      <c r="I41" s="130">
        <f t="shared" si="22"/>
        <v>27.104642242736134</v>
      </c>
      <c r="J41" s="130">
        <f t="shared" si="22"/>
        <v>27.538316518619911</v>
      </c>
      <c r="K41" s="130">
        <f t="shared" si="22"/>
        <v>27.978929582917832</v>
      </c>
      <c r="L41" s="130">
        <f t="shared" si="22"/>
        <v>28.426592456244517</v>
      </c>
      <c r="M41" s="130">
        <f t="shared" si="22"/>
        <v>28.88141793554443</v>
      </c>
      <c r="N41" s="130">
        <f t="shared" si="22"/>
        <v>29.343520622513143</v>
      </c>
      <c r="O41" s="131">
        <f>SUMIF($A17:$A19,FF_scenario,O$17:O$19)</f>
        <v>29.813016952473355</v>
      </c>
      <c r="P41" s="810">
        <f t="shared" ref="P41" si="23">SUMIF($A17:$A19,FF_scenario,P$17:P$19)</f>
        <v>30.290025223712927</v>
      </c>
    </row>
    <row r="42" spans="1:30" x14ac:dyDescent="0.3">
      <c r="A42" s="120"/>
      <c r="B42" s="132" t="s">
        <v>142</v>
      </c>
      <c r="C42" s="121" t="s">
        <v>129</v>
      </c>
      <c r="D42" s="121"/>
      <c r="E42" s="130">
        <f t="shared" ref="E42:N42" si="24">SUMIF($A21:$A23,REC_scenario,E$21:E$23)</f>
        <v>1</v>
      </c>
      <c r="F42" s="130">
        <f>SUMIF($A21:$A23,REC_scenario,F$21:F$23)</f>
        <v>7.5</v>
      </c>
      <c r="G42" s="130">
        <f t="shared" si="24"/>
        <v>7.65</v>
      </c>
      <c r="H42" s="130">
        <f t="shared" si="24"/>
        <v>7.8030000000000008</v>
      </c>
      <c r="I42" s="130">
        <f t="shared" si="24"/>
        <v>7.9590600000000009</v>
      </c>
      <c r="J42" s="130">
        <f t="shared" si="24"/>
        <v>8.1182412000000017</v>
      </c>
      <c r="K42" s="130">
        <f t="shared" si="24"/>
        <v>8.2806060240000026</v>
      </c>
      <c r="L42" s="130">
        <f t="shared" si="24"/>
        <v>8.4462181444800031</v>
      </c>
      <c r="M42" s="130">
        <f t="shared" si="24"/>
        <v>8.6151425073696029</v>
      </c>
      <c r="N42" s="130">
        <f t="shared" si="24"/>
        <v>8.7874453575169955</v>
      </c>
      <c r="O42" s="131">
        <f>SUMIF($A21:$A23,REC_scenario,O$21:O$23)</f>
        <v>8.9631942646673348</v>
      </c>
      <c r="P42" s="810">
        <f t="shared" ref="P42" si="25">SUMIF($A21:$A23,REC_scenario,P$21:P$23)</f>
        <v>9.1424581499606816</v>
      </c>
    </row>
    <row r="43" spans="1:30" ht="15" thickBot="1" x14ac:dyDescent="0.35">
      <c r="A43" s="133"/>
      <c r="B43" s="134" t="s">
        <v>143</v>
      </c>
      <c r="C43" s="135" t="s">
        <v>129</v>
      </c>
      <c r="D43" s="135"/>
      <c r="E43" s="136">
        <f t="shared" ref="E43:N43" si="26">SUMIF($A25:$A27,REC_scenario,E$25:E$27)</f>
        <v>41</v>
      </c>
      <c r="F43" s="136">
        <f t="shared" si="26"/>
        <v>40</v>
      </c>
      <c r="G43" s="136">
        <f t="shared" si="26"/>
        <v>33.010649580647502</v>
      </c>
      <c r="H43" s="136">
        <f t="shared" si="26"/>
        <v>34.758620689655174</v>
      </c>
      <c r="I43" s="136">
        <f t="shared" si="26"/>
        <v>32.482758620689658</v>
      </c>
      <c r="J43" s="136">
        <f t="shared" si="26"/>
        <v>33.375</v>
      </c>
      <c r="K43" s="136">
        <f t="shared" si="26"/>
        <v>33.375</v>
      </c>
      <c r="L43" s="136">
        <f t="shared" si="26"/>
        <v>33.375</v>
      </c>
      <c r="M43" s="136">
        <f t="shared" si="26"/>
        <v>33.375</v>
      </c>
      <c r="N43" s="136">
        <f t="shared" si="26"/>
        <v>33.375</v>
      </c>
      <c r="O43" s="137">
        <f>SUMIF($A25:$A27,REC_scenario,O$25:O$27)</f>
        <v>33.375</v>
      </c>
      <c r="P43" s="811">
        <f t="shared" ref="P43" si="27">SUMIF($A25:$A27,REC_scenario,P$25:P$27)</f>
        <v>33.375</v>
      </c>
    </row>
    <row r="46" spans="1:30" x14ac:dyDescent="0.3">
      <c r="E46">
        <f>1.034^10</f>
        <v>1.397028891079547</v>
      </c>
    </row>
    <row r="49" spans="2:2" x14ac:dyDescent="0.3">
      <c r="B49" t="s">
        <v>351</v>
      </c>
    </row>
    <row r="50" spans="2:2" x14ac:dyDescent="0.3">
      <c r="B50" t="s">
        <v>352</v>
      </c>
    </row>
  </sheetData>
  <pageMargins left="0.7" right="0.7" top="0.75" bottom="0.75" header="0.3" footer="0.3"/>
  <pageSetup orientation="portrait"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A93"/>
  <sheetViews>
    <sheetView zoomScale="85" zoomScaleNormal="85" workbookViewId="0">
      <selection activeCell="A2" sqref="A2"/>
    </sheetView>
  </sheetViews>
  <sheetFormatPr defaultRowHeight="14.4" x14ac:dyDescent="0.3"/>
  <cols>
    <col min="2" max="2" width="47.6640625" customWidth="1"/>
    <col min="3" max="3" width="17.44140625" bestFit="1" customWidth="1"/>
    <col min="4" max="4" width="23.6640625" bestFit="1" customWidth="1"/>
    <col min="5" max="5" width="24.88671875" customWidth="1"/>
    <col min="6" max="7" width="16.33203125" bestFit="1" customWidth="1"/>
    <col min="8" max="14" width="17.33203125" bestFit="1" customWidth="1"/>
    <col min="15" max="15" width="16" customWidth="1"/>
    <col min="16" max="16" width="16" style="668" customWidth="1"/>
    <col min="17" max="17" width="14.5546875" bestFit="1" customWidth="1"/>
    <col min="18" max="18" width="18.33203125" bestFit="1" customWidth="1"/>
    <col min="19" max="25" width="12.33203125" bestFit="1" customWidth="1"/>
    <col min="26" max="27" width="13.88671875" bestFit="1" customWidth="1"/>
  </cols>
  <sheetData>
    <row r="1" spans="2:9" x14ac:dyDescent="0.3">
      <c r="B1" s="288" t="s">
        <v>986</v>
      </c>
    </row>
    <row r="2" spans="2:9" x14ac:dyDescent="0.3">
      <c r="B2" t="s">
        <v>353</v>
      </c>
      <c r="C2" s="1105">
        <f>loads!H10</f>
        <v>5382463.5149999997</v>
      </c>
      <c r="G2" s="48" t="s">
        <v>354</v>
      </c>
      <c r="H2" s="10">
        <v>103000000</v>
      </c>
      <c r="I2" t="s">
        <v>355</v>
      </c>
    </row>
    <row r="3" spans="2:9" x14ac:dyDescent="0.3">
      <c r="G3" s="48" t="s">
        <v>356</v>
      </c>
      <c r="H3" s="31">
        <v>22000000</v>
      </c>
      <c r="I3" t="s">
        <v>355</v>
      </c>
    </row>
    <row r="4" spans="2:9" ht="15" thickBot="1" x14ac:dyDescent="0.35">
      <c r="B4" t="s">
        <v>357</v>
      </c>
      <c r="G4" s="48" t="s">
        <v>358</v>
      </c>
      <c r="H4" s="10">
        <f>SUM(H2:H3)</f>
        <v>125000000</v>
      </c>
      <c r="I4" t="s">
        <v>355</v>
      </c>
    </row>
    <row r="5" spans="2:9" ht="15" customHeight="1" x14ac:dyDescent="0.3">
      <c r="B5" s="141" t="s">
        <v>359</v>
      </c>
      <c r="C5" s="863" t="s">
        <v>360</v>
      </c>
      <c r="D5" s="861" t="s">
        <v>361</v>
      </c>
      <c r="H5" s="395"/>
    </row>
    <row r="6" spans="2:9" ht="15" customHeight="1" x14ac:dyDescent="0.3">
      <c r="B6" s="158" t="s">
        <v>263</v>
      </c>
      <c r="C6" s="864">
        <v>-1.4926139628678486E-4</v>
      </c>
      <c r="D6" s="862">
        <v>0</v>
      </c>
      <c r="E6" s="231"/>
      <c r="H6" s="396">
        <f>N62/H4</f>
        <v>0.12143672519031037</v>
      </c>
    </row>
    <row r="7" spans="2:9" ht="15" customHeight="1" x14ac:dyDescent="0.3">
      <c r="B7" s="158" t="s">
        <v>362</v>
      </c>
      <c r="C7" s="864">
        <v>1.2087642289332534E-3</v>
      </c>
      <c r="D7" s="862">
        <v>0</v>
      </c>
      <c r="E7" s="102"/>
    </row>
    <row r="8" spans="2:9" ht="15" customHeight="1" x14ac:dyDescent="0.3">
      <c r="B8" s="158" t="s">
        <v>266</v>
      </c>
      <c r="C8" s="864">
        <v>3.4975262069911178E-3</v>
      </c>
      <c r="D8" s="862">
        <v>0</v>
      </c>
      <c r="E8" s="102"/>
    </row>
    <row r="9" spans="2:9" ht="15" customHeight="1" x14ac:dyDescent="0.3">
      <c r="B9" s="158" t="s">
        <v>363</v>
      </c>
      <c r="C9" s="864">
        <v>0.20241852902268084</v>
      </c>
      <c r="D9" s="862">
        <v>0.51590000000000003</v>
      </c>
      <c r="E9" s="102"/>
    </row>
    <row r="10" spans="2:9" ht="15" customHeight="1" x14ac:dyDescent="0.4">
      <c r="B10" s="158" t="s">
        <v>267</v>
      </c>
      <c r="C10" s="864">
        <v>0.14292602103244564</v>
      </c>
      <c r="D10" s="862">
        <v>0.1721</v>
      </c>
      <c r="E10" s="754"/>
    </row>
    <row r="11" spans="2:9" ht="15" customHeight="1" x14ac:dyDescent="0.3">
      <c r="B11" s="158" t="s">
        <v>268</v>
      </c>
      <c r="C11" s="864">
        <v>0</v>
      </c>
      <c r="D11" s="862">
        <v>0</v>
      </c>
      <c r="E11" s="102"/>
    </row>
    <row r="12" spans="2:9" ht="15" customHeight="1" x14ac:dyDescent="0.3">
      <c r="B12" s="158" t="s">
        <v>364</v>
      </c>
      <c r="C12" s="864">
        <v>2.9463828131980571E-3</v>
      </c>
      <c r="D12" s="862">
        <v>0</v>
      </c>
      <c r="E12" s="102"/>
    </row>
    <row r="13" spans="2:9" ht="15" customHeight="1" x14ac:dyDescent="0.3">
      <c r="B13" s="158" t="s">
        <v>365</v>
      </c>
      <c r="C13" s="864">
        <v>0.12831583693235105</v>
      </c>
      <c r="D13" s="862">
        <v>0.1847798921133173</v>
      </c>
      <c r="E13" s="102"/>
    </row>
    <row r="14" spans="2:9" ht="15" customHeight="1" x14ac:dyDescent="0.3">
      <c r="B14" s="158" t="s">
        <v>270</v>
      </c>
      <c r="C14" s="864">
        <v>1.29194030786006E-4</v>
      </c>
      <c r="D14" s="862">
        <v>2.6599999999999999E-2</v>
      </c>
      <c r="E14" s="102"/>
    </row>
    <row r="15" spans="2:9" ht="15" customHeight="1" x14ac:dyDescent="0.3">
      <c r="B15" s="158" t="s">
        <v>366</v>
      </c>
      <c r="C15" s="864">
        <v>0.51870700712890083</v>
      </c>
      <c r="D15" s="862">
        <v>0.10057375480730377</v>
      </c>
      <c r="E15" s="102"/>
    </row>
    <row r="16" spans="2:9" ht="15" customHeight="1" thickBot="1" x14ac:dyDescent="0.35">
      <c r="B16" s="158" t="s">
        <v>272</v>
      </c>
      <c r="C16" s="864">
        <v>0</v>
      </c>
      <c r="D16" s="862">
        <v>0</v>
      </c>
      <c r="E16" s="102"/>
    </row>
    <row r="17" spans="2:16" ht="18.75" customHeight="1" thickBot="1" x14ac:dyDescent="0.35">
      <c r="B17" s="865" t="s">
        <v>44</v>
      </c>
      <c r="C17" s="866">
        <v>1</v>
      </c>
      <c r="D17" s="867">
        <f>SUM(D6:D16)</f>
        <v>0.99995364692062116</v>
      </c>
    </row>
    <row r="18" spans="2:16" ht="15" customHeight="1" x14ac:dyDescent="0.3">
      <c r="C18" s="304"/>
      <c r="D18" s="305"/>
      <c r="H18" s="14"/>
      <c r="I18" s="3"/>
    </row>
    <row r="19" spans="2:16" ht="15" customHeight="1" x14ac:dyDescent="0.3">
      <c r="B19" s="306" t="s">
        <v>367</v>
      </c>
      <c r="C19" s="307">
        <f>SUM(C6,C8,C9,C10,C11,C14,C16)</f>
        <v>0.3488220088966168</v>
      </c>
      <c r="D19" s="877"/>
    </row>
    <row r="20" spans="2:16" x14ac:dyDescent="0.3">
      <c r="B20" s="17" t="s">
        <v>368</v>
      </c>
      <c r="C20" s="308">
        <f>C13</f>
        <v>0.12831583693235105</v>
      </c>
    </row>
    <row r="21" spans="2:16" x14ac:dyDescent="0.3">
      <c r="B21" s="251" t="s">
        <v>369</v>
      </c>
      <c r="C21" s="309">
        <f>1-C20-C19</f>
        <v>0.5228621541710321</v>
      </c>
      <c r="E21" s="306" t="s">
        <v>370</v>
      </c>
      <c r="F21" s="79"/>
      <c r="G21" s="457"/>
    </row>
    <row r="22" spans="2:16" x14ac:dyDescent="0.3">
      <c r="B22" s="306" t="s">
        <v>371</v>
      </c>
      <c r="C22" s="310">
        <f>C19*$C$2</f>
        <v>1877521.7361150451</v>
      </c>
      <c r="E22" s="17"/>
      <c r="F22" s="459" t="s">
        <v>372</v>
      </c>
      <c r="G22" s="460" t="s">
        <v>373</v>
      </c>
    </row>
    <row r="23" spans="2:16" x14ac:dyDescent="0.3">
      <c r="B23" s="17" t="s">
        <v>374</v>
      </c>
      <c r="C23" s="311">
        <f>C20*$C$2</f>
        <v>690655.31068506895</v>
      </c>
      <c r="E23" s="739" t="s">
        <v>375</v>
      </c>
      <c r="F23" s="741">
        <v>5.6642999999999999</v>
      </c>
      <c r="G23" s="742">
        <v>7.7279999999999998</v>
      </c>
    </row>
    <row r="24" spans="2:16" x14ac:dyDescent="0.3">
      <c r="B24" s="251" t="s">
        <v>376</v>
      </c>
      <c r="C24" s="312">
        <f>C21*$C$2</f>
        <v>2814286.468199885</v>
      </c>
      <c r="E24" s="739" t="s">
        <v>377</v>
      </c>
      <c r="F24" s="71">
        <v>5.2229999999999999</v>
      </c>
      <c r="G24" s="458">
        <v>7.8150000000000004</v>
      </c>
    </row>
    <row r="25" spans="2:16" x14ac:dyDescent="0.3">
      <c r="B25" t="s">
        <v>378</v>
      </c>
      <c r="C25" s="10">
        <f>C24*G23</f>
        <v>21748805.826248709</v>
      </c>
      <c r="E25" s="739" t="s">
        <v>379</v>
      </c>
      <c r="F25" s="71">
        <v>5.5152999999999999</v>
      </c>
      <c r="G25" s="458">
        <v>7.8550000000000004</v>
      </c>
    </row>
    <row r="26" spans="2:16" x14ac:dyDescent="0.3">
      <c r="B26" s="743" t="s">
        <v>380</v>
      </c>
      <c r="C26" s="744">
        <v>778.15466000000004</v>
      </c>
      <c r="E26" s="739" t="s">
        <v>381</v>
      </c>
      <c r="F26" s="71">
        <v>5.4279999999999999</v>
      </c>
      <c r="G26" s="458">
        <v>8.0429999999999993</v>
      </c>
    </row>
    <row r="27" spans="2:16" x14ac:dyDescent="0.3">
      <c r="B27" s="738" t="s">
        <v>382</v>
      </c>
      <c r="C27" s="736">
        <v>654</v>
      </c>
      <c r="D27" t="s">
        <v>383</v>
      </c>
      <c r="E27" s="740" t="s">
        <v>384</v>
      </c>
      <c r="F27" s="13">
        <v>6.625</v>
      </c>
      <c r="G27" s="57">
        <v>7.9249999999999998</v>
      </c>
    </row>
    <row r="28" spans="2:16" x14ac:dyDescent="0.3">
      <c r="B28" s="737" t="s">
        <v>385</v>
      </c>
      <c r="C28" s="736">
        <v>706</v>
      </c>
      <c r="D28" t="s">
        <v>386</v>
      </c>
    </row>
    <row r="29" spans="2:16" x14ac:dyDescent="0.3">
      <c r="B29" s="17" t="s">
        <v>387</v>
      </c>
      <c r="C29" s="311">
        <f>C2*C21*C26</f>
        <v>2189950129.8046823</v>
      </c>
      <c r="D29" t="s">
        <v>388</v>
      </c>
      <c r="E29" s="12"/>
    </row>
    <row r="30" spans="2:16" x14ac:dyDescent="0.3">
      <c r="B30" s="17" t="s">
        <v>389</v>
      </c>
      <c r="C30" s="498">
        <f>C29/C2</f>
        <v>406.86762180582701</v>
      </c>
      <c r="E30" s="2"/>
    </row>
    <row r="31" spans="2:16" x14ac:dyDescent="0.3">
      <c r="B31" s="251" t="s">
        <v>984</v>
      </c>
      <c r="C31" s="499">
        <f>D15*C2*C26/C2</f>
        <v>78.261935977000817</v>
      </c>
    </row>
    <row r="32" spans="2:16" s="8" customFormat="1" x14ac:dyDescent="0.3">
      <c r="D32" s="500">
        <f>base_year-2</f>
        <v>2019</v>
      </c>
      <c r="E32" s="9">
        <f>D32+1</f>
        <v>2020</v>
      </c>
      <c r="F32" s="9">
        <f t="shared" ref="F32:P32" si="0">E32+1</f>
        <v>2021</v>
      </c>
      <c r="G32" s="9">
        <f t="shared" si="0"/>
        <v>2022</v>
      </c>
      <c r="H32" s="9">
        <f t="shared" si="0"/>
        <v>2023</v>
      </c>
      <c r="I32" s="9">
        <f t="shared" si="0"/>
        <v>2024</v>
      </c>
      <c r="J32" s="9">
        <f t="shared" si="0"/>
        <v>2025</v>
      </c>
      <c r="K32" s="9">
        <f t="shared" si="0"/>
        <v>2026</v>
      </c>
      <c r="L32" s="9">
        <f t="shared" si="0"/>
        <v>2027</v>
      </c>
      <c r="M32" s="9">
        <f t="shared" si="0"/>
        <v>2028</v>
      </c>
      <c r="N32" s="9">
        <f t="shared" si="0"/>
        <v>2029</v>
      </c>
      <c r="O32" s="9">
        <f t="shared" si="0"/>
        <v>2030</v>
      </c>
      <c r="P32" s="644">
        <f t="shared" si="0"/>
        <v>2031</v>
      </c>
    </row>
    <row r="33" spans="2:17" s="8" customFormat="1" x14ac:dyDescent="0.3">
      <c r="B33" s="22" t="s">
        <v>390</v>
      </c>
      <c r="C33" s="598"/>
      <c r="D33" s="501">
        <f>requirements!D4</f>
        <v>5405687</v>
      </c>
      <c r="E33" s="197">
        <f>requirements!E4</f>
        <v>5300757</v>
      </c>
      <c r="F33" s="197">
        <f>requirements!F4</f>
        <v>5382463.5149999997</v>
      </c>
      <c r="G33" s="197">
        <f>requirements!G4</f>
        <v>5396350.1980272476</v>
      </c>
      <c r="H33" s="197">
        <f>requirements!H4</f>
        <v>5437205.3761997484</v>
      </c>
      <c r="I33" s="197">
        <f>requirements!I4</f>
        <v>5429474.104653893</v>
      </c>
      <c r="J33" s="197">
        <f>requirements!J4</f>
        <v>5396532.8107977593</v>
      </c>
      <c r="K33" s="197">
        <f>requirements!K4</f>
        <v>5387125.2790909372</v>
      </c>
      <c r="L33" s="197">
        <f>requirements!L4</f>
        <v>5388064.7513005529</v>
      </c>
      <c r="M33" s="197">
        <f>requirements!M4</f>
        <v>5407973.6418243386</v>
      </c>
      <c r="N33" s="197">
        <f>requirements!N4</f>
        <v>5438406.527506954</v>
      </c>
      <c r="O33" s="197">
        <f>requirements!O4</f>
        <v>5467998.0350961694</v>
      </c>
      <c r="P33" s="646">
        <f>requirements!P4</f>
        <v>5508262.0327288657</v>
      </c>
    </row>
    <row r="34" spans="2:17" s="8" customFormat="1" x14ac:dyDescent="0.3">
      <c r="D34" s="500"/>
      <c r="E34" s="9"/>
      <c r="F34" s="9"/>
      <c r="G34" s="9"/>
      <c r="H34" s="9"/>
      <c r="I34" s="9"/>
      <c r="J34" s="9"/>
      <c r="K34" s="9"/>
      <c r="L34" s="9"/>
      <c r="M34" s="9"/>
      <c r="N34" s="9"/>
      <c r="O34" s="9"/>
      <c r="P34" s="644"/>
    </row>
    <row r="35" spans="2:17" x14ac:dyDescent="0.3">
      <c r="D35" s="502"/>
      <c r="F35" s="10"/>
    </row>
    <row r="36" spans="2:17" s="15" customFormat="1" x14ac:dyDescent="0.3">
      <c r="B36" s="15" t="s">
        <v>391</v>
      </c>
      <c r="C36" s="15" t="s">
        <v>124</v>
      </c>
      <c r="D36" s="503">
        <f>SUM(requirements!D7:D8)</f>
        <v>0.55000000000000004</v>
      </c>
      <c r="E36" s="745">
        <f>SUM(requirements!E7:E8)</f>
        <v>0.59</v>
      </c>
      <c r="F36" s="745">
        <f>SUM(requirements!F7:F8)</f>
        <v>0.59</v>
      </c>
      <c r="G36" s="745">
        <f>SUM(requirements!G7:G8)</f>
        <v>0.59</v>
      </c>
      <c r="H36" s="745">
        <f>SUM(requirements!H7:H8)</f>
        <v>0.63</v>
      </c>
      <c r="I36" s="745">
        <f>SUM(requirements!I7:I8)</f>
        <v>0.63000000000000012</v>
      </c>
      <c r="J36" s="745">
        <f>SUM(requirements!J7:J8)</f>
        <v>0.63</v>
      </c>
      <c r="K36" s="745">
        <f>SUM(requirements!K7:K8)</f>
        <v>0.67</v>
      </c>
      <c r="L36" s="745">
        <f>SUM(requirements!L7:L8)</f>
        <v>0.67</v>
      </c>
      <c r="M36" s="745">
        <f>SUM(requirements!M7:M8)</f>
        <v>0.67</v>
      </c>
      <c r="N36" s="745">
        <f>SUM(requirements!N7:N8)</f>
        <v>0.71000000000000008</v>
      </c>
      <c r="O36" s="745">
        <f>SUM(requirements!O7:O8)</f>
        <v>0.71000000000000008</v>
      </c>
      <c r="P36" s="746">
        <f>SUM(requirements!P7:P8)</f>
        <v>0.71000000000000008</v>
      </c>
    </row>
    <row r="37" spans="2:17" s="15" customFormat="1" x14ac:dyDescent="0.3">
      <c r="B37" s="15" t="s">
        <v>392</v>
      </c>
      <c r="D37" s="503">
        <v>0.11</v>
      </c>
      <c r="E37" s="745">
        <v>0.1</v>
      </c>
      <c r="F37" s="745">
        <f>D9+D10+D14-F36</f>
        <v>0.12460000000000004</v>
      </c>
      <c r="G37" s="745"/>
      <c r="H37" s="745"/>
      <c r="I37" s="745"/>
      <c r="J37" s="745"/>
      <c r="K37" s="745"/>
      <c r="L37" s="745"/>
      <c r="M37" s="745"/>
      <c r="N37" s="745"/>
      <c r="O37" s="745"/>
      <c r="P37" s="746"/>
    </row>
    <row r="38" spans="2:17" s="15" customFormat="1" x14ac:dyDescent="0.3">
      <c r="B38" s="15" t="s">
        <v>393</v>
      </c>
      <c r="C38" s="15" t="s">
        <v>124</v>
      </c>
      <c r="D38" s="503">
        <v>0.28000000000000003</v>
      </c>
      <c r="E38" s="745">
        <v>0.26</v>
      </c>
      <c r="F38" s="745">
        <f>D13</f>
        <v>0.1847798921133173</v>
      </c>
      <c r="G38" s="747">
        <f>F38</f>
        <v>0.1847798921133173</v>
      </c>
      <c r="H38" s="747">
        <f t="shared" ref="H38:N38" si="1">G38</f>
        <v>0.1847798921133173</v>
      </c>
      <c r="I38" s="747">
        <f t="shared" si="1"/>
        <v>0.1847798921133173</v>
      </c>
      <c r="J38" s="747">
        <f t="shared" si="1"/>
        <v>0.1847798921133173</v>
      </c>
      <c r="K38" s="747">
        <f t="shared" si="1"/>
        <v>0.1847798921133173</v>
      </c>
      <c r="L38" s="747">
        <f t="shared" si="1"/>
        <v>0.1847798921133173</v>
      </c>
      <c r="M38" s="747">
        <f t="shared" si="1"/>
        <v>0.1847798921133173</v>
      </c>
      <c r="N38" s="747">
        <f t="shared" si="1"/>
        <v>0.1847798921133173</v>
      </c>
      <c r="O38" s="747">
        <f>N38</f>
        <v>0.1847798921133173</v>
      </c>
      <c r="P38" s="748">
        <f>O38</f>
        <v>0.1847798921133173</v>
      </c>
    </row>
    <row r="39" spans="2:17" x14ac:dyDescent="0.3">
      <c r="B39" t="s">
        <v>394</v>
      </c>
      <c r="C39" t="s">
        <v>124</v>
      </c>
      <c r="D39" s="504"/>
      <c r="E39" s="749">
        <f>1-E36-E38</f>
        <v>0.15000000000000002</v>
      </c>
      <c r="F39" s="749">
        <f>1-F36-F38</f>
        <v>0.22522010788668273</v>
      </c>
      <c r="G39" s="749">
        <f>1-G36-G38</f>
        <v>0.22522010788668273</v>
      </c>
      <c r="H39" s="749">
        <f t="shared" ref="H39:N39" si="2">1-H36-H38</f>
        <v>0.18522010788668269</v>
      </c>
      <c r="I39" s="749">
        <f t="shared" si="2"/>
        <v>0.18522010788668258</v>
      </c>
      <c r="J39" s="749">
        <f t="shared" si="2"/>
        <v>0.18522010788668269</v>
      </c>
      <c r="K39" s="749">
        <f t="shared" si="2"/>
        <v>0.14522010788668266</v>
      </c>
      <c r="L39" s="749">
        <f t="shared" si="2"/>
        <v>0.14522010788668266</v>
      </c>
      <c r="M39" s="749">
        <f t="shared" si="2"/>
        <v>0.14522010788668266</v>
      </c>
      <c r="N39" s="749">
        <f t="shared" si="2"/>
        <v>0.10522010788668262</v>
      </c>
      <c r="O39" s="749">
        <f>1-O36-O38</f>
        <v>0.10522010788668262</v>
      </c>
      <c r="P39" s="750">
        <f>1-P36-P38</f>
        <v>0.10522010788668262</v>
      </c>
    </row>
    <row r="40" spans="2:17" x14ac:dyDescent="0.3">
      <c r="D40" s="502"/>
    </row>
    <row r="41" spans="2:17" s="43" customFormat="1" x14ac:dyDescent="0.3">
      <c r="B41" s="43" t="s">
        <v>395</v>
      </c>
      <c r="C41" s="43" t="s">
        <v>122</v>
      </c>
      <c r="D41" s="751">
        <f>D39*D33</f>
        <v>0</v>
      </c>
      <c r="E41" s="752">
        <f>E39*E33</f>
        <v>795113.55000000016</v>
      </c>
      <c r="F41" s="752">
        <f>F39*F33</f>
        <v>1212239.0135444335</v>
      </c>
      <c r="G41" s="752">
        <f>G39*G33</f>
        <v>1215366.5737940185</v>
      </c>
      <c r="H41" s="752">
        <f>H39*H33</f>
        <v>1007079.7663817685</v>
      </c>
      <c r="I41" s="752">
        <f t="shared" ref="I41:N41" si="3">I39*I33</f>
        <v>1005647.7794319434</v>
      </c>
      <c r="J41" s="752">
        <f t="shared" si="3"/>
        <v>999546.38942998403</v>
      </c>
      <c r="K41" s="752">
        <f t="shared" si="3"/>
        <v>782318.91422866134</v>
      </c>
      <c r="L41" s="752">
        <f t="shared" si="3"/>
        <v>782455.34448429826</v>
      </c>
      <c r="M41" s="752">
        <f t="shared" si="3"/>
        <v>785346.51571406657</v>
      </c>
      <c r="N41" s="752">
        <f t="shared" si="3"/>
        <v>572229.72155592067</v>
      </c>
      <c r="O41" s="752">
        <f>O39*O33</f>
        <v>575343.3431769876</v>
      </c>
      <c r="P41" s="753">
        <f>P39*P33</f>
        <v>579579.92535184894</v>
      </c>
    </row>
    <row r="42" spans="2:17" x14ac:dyDescent="0.3">
      <c r="D42" s="505"/>
      <c r="E42" s="10"/>
      <c r="F42" s="10"/>
      <c r="G42" s="10"/>
      <c r="H42" s="10"/>
      <c r="I42" s="10"/>
      <c r="J42" s="10"/>
      <c r="K42" s="10"/>
      <c r="L42" s="10"/>
      <c r="M42" s="10"/>
      <c r="N42" s="10"/>
    </row>
    <row r="43" spans="2:17" x14ac:dyDescent="0.3">
      <c r="B43" t="s">
        <v>396</v>
      </c>
      <c r="C43" t="s">
        <v>388</v>
      </c>
      <c r="D43" s="506">
        <f>D41*$C$26</f>
        <v>0</v>
      </c>
      <c r="E43" s="12">
        <f>E41*$C$26</f>
        <v>618721314.16164315</v>
      </c>
      <c r="F43" s="12">
        <f>F41*$C$26</f>
        <v>943309437.4234041</v>
      </c>
      <c r="G43" s="12">
        <f>G41*$C$26</f>
        <v>945743163.00604939</v>
      </c>
      <c r="H43" s="12">
        <f t="shared" ref="H43:N43" si="4">H41*$C$26</f>
        <v>783663813.20168459</v>
      </c>
      <c r="I43" s="12">
        <f t="shared" si="4"/>
        <v>782549505.88361895</v>
      </c>
      <c r="J43" s="12">
        <f t="shared" si="4"/>
        <v>777801680.82111681</v>
      </c>
      <c r="K43" s="12">
        <f t="shared" si="4"/>
        <v>608765108.71317315</v>
      </c>
      <c r="L43" s="12">
        <f t="shared" si="4"/>
        <v>608871272.55236197</v>
      </c>
      <c r="M43" s="12">
        <f t="shared" si="4"/>
        <v>611121050.91766417</v>
      </c>
      <c r="N43" s="12">
        <f t="shared" si="4"/>
        <v>445283224.41924214</v>
      </c>
      <c r="O43" s="12">
        <f>O41*$C$26</f>
        <v>447706103.59315211</v>
      </c>
      <c r="P43" s="659">
        <f>P41*$C$26</f>
        <v>451002819.75499344</v>
      </c>
      <c r="Q43" t="s">
        <v>397</v>
      </c>
    </row>
    <row r="44" spans="2:17" x14ac:dyDescent="0.3">
      <c r="D44" s="506"/>
      <c r="E44" s="12"/>
      <c r="F44" s="12"/>
    </row>
    <row r="45" spans="2:17" x14ac:dyDescent="0.3">
      <c r="B45" s="314" t="s">
        <v>398</v>
      </c>
      <c r="C45" t="s">
        <v>388</v>
      </c>
      <c r="D45" s="505">
        <f t="shared" ref="D45:M45" si="5">(SUM(D36:D37)-$C19)*D33*$C$26</f>
        <v>1308957937.2414844</v>
      </c>
      <c r="E45" s="10">
        <f>(SUM(E36:E37)-$C19)*E33*$C$26</f>
        <v>1407293966.7900972</v>
      </c>
      <c r="F45" s="10">
        <f>(SUM(F36:F37)-$C19)*F33*$C$26</f>
        <v>1532020538.6954157</v>
      </c>
      <c r="G45" s="10">
        <f t="shared" si="5"/>
        <v>1012753427.2753341</v>
      </c>
      <c r="H45" s="10">
        <f t="shared" si="5"/>
        <v>1189660340.9348824</v>
      </c>
      <c r="I45" s="10">
        <f t="shared" si="5"/>
        <v>1187968738.998461</v>
      </c>
      <c r="J45" s="10">
        <f t="shared" si="5"/>
        <v>1180761185.0864334</v>
      </c>
      <c r="K45" s="10">
        <f t="shared" si="5"/>
        <v>1346383483.0841625</v>
      </c>
      <c r="L45" s="10">
        <f t="shared" si="5"/>
        <v>1346618281.7569821</v>
      </c>
      <c r="M45" s="10">
        <f t="shared" si="5"/>
        <v>1351594034.1256516</v>
      </c>
      <c r="N45" s="10">
        <f>(SUM(N36:N37)-$C19)*N33*$C$26</f>
        <v>1528476863.3860543</v>
      </c>
      <c r="O45" s="10">
        <f>(SUM(O36:O37)-$C19)*O33*$C$26</f>
        <v>1536793625.7454069</v>
      </c>
      <c r="P45" s="654">
        <f>(SUM(P36:P37)-$C19)*P33*$C$26</f>
        <v>1548109916.371665</v>
      </c>
      <c r="Q45" t="s">
        <v>399</v>
      </c>
    </row>
    <row r="46" spans="2:17" x14ac:dyDescent="0.3">
      <c r="B46" s="314" t="s">
        <v>400</v>
      </c>
      <c r="C46" t="s">
        <v>388</v>
      </c>
      <c r="D46" s="505">
        <f t="shared" ref="D46:O46" si="6">(D38-$C20)*D$33*$C$26</f>
        <v>638053444.90210676</v>
      </c>
      <c r="E46" s="10">
        <f>(E38-$C20)*E$33*$C$26</f>
        <v>543171989.51661241</v>
      </c>
      <c r="F46" s="10">
        <f>(F38-$C20)*F$33*$C$26</f>
        <v>236493431.36892608</v>
      </c>
      <c r="G46" s="10">
        <f>(G38-$C20)*G$33*$C$26</f>
        <v>237103581.22136706</v>
      </c>
      <c r="H46" s="10">
        <f t="shared" si="6"/>
        <v>238898666.54768232</v>
      </c>
      <c r="I46" s="10">
        <f t="shared" si="6"/>
        <v>238558971.73477203</v>
      </c>
      <c r="J46" s="10">
        <f t="shared" si="6"/>
        <v>237111604.81884986</v>
      </c>
      <c r="K46" s="10">
        <f t="shared" si="6"/>
        <v>236698258.87644666</v>
      </c>
      <c r="L46" s="10">
        <f t="shared" si="6"/>
        <v>236739537.1881173</v>
      </c>
      <c r="M46" s="10">
        <f t="shared" si="6"/>
        <v>237614289.39435092</v>
      </c>
      <c r="N46" s="10">
        <f t="shared" si="6"/>
        <v>238951442.45474467</v>
      </c>
      <c r="O46" s="10">
        <f t="shared" si="6"/>
        <v>240251627.23995513</v>
      </c>
      <c r="P46" s="654">
        <f t="shared" ref="P46" si="7">(P38-$C20)*P$33*$C$26</f>
        <v>242020737.41306636</v>
      </c>
    </row>
    <row r="47" spans="2:17" x14ac:dyDescent="0.3">
      <c r="B47" t="s">
        <v>401</v>
      </c>
      <c r="C47" t="s">
        <v>388</v>
      </c>
      <c r="D47" s="506">
        <f>D46+D45</f>
        <v>1947011382.1435912</v>
      </c>
      <c r="E47" s="12">
        <f>E46+E45</f>
        <v>1950465956.3067098</v>
      </c>
      <c r="F47" s="12">
        <f>F46+F45</f>
        <v>1768513970.0643418</v>
      </c>
      <c r="G47" s="12">
        <f t="shared" ref="G47:O47" si="8">G46+G45</f>
        <v>1249857008.4967012</v>
      </c>
      <c r="H47" s="12">
        <f t="shared" si="8"/>
        <v>1428559007.4825647</v>
      </c>
      <c r="I47" s="12">
        <f t="shared" si="8"/>
        <v>1426527710.733233</v>
      </c>
      <c r="J47" s="12">
        <f t="shared" si="8"/>
        <v>1417872789.9052832</v>
      </c>
      <c r="K47" s="12">
        <f t="shared" si="8"/>
        <v>1583081741.9606092</v>
      </c>
      <c r="L47" s="12">
        <f t="shared" si="8"/>
        <v>1583357818.9450994</v>
      </c>
      <c r="M47" s="12">
        <f t="shared" si="8"/>
        <v>1589208323.5200026</v>
      </c>
      <c r="N47" s="12">
        <f>N46+N45</f>
        <v>1767428305.8407989</v>
      </c>
      <c r="O47" s="12">
        <f t="shared" si="8"/>
        <v>1777045252.9853621</v>
      </c>
      <c r="P47" s="659">
        <f t="shared" ref="P47" si="9">P46+P45</f>
        <v>1790130653.7847314</v>
      </c>
    </row>
    <row r="48" spans="2:17" x14ac:dyDescent="0.3">
      <c r="B48" s="314" t="s">
        <v>402</v>
      </c>
      <c r="C48" t="s">
        <v>388</v>
      </c>
      <c r="D48" s="507">
        <v>8418554</v>
      </c>
      <c r="E48" s="12">
        <f>'Tier III'!E90</f>
        <v>57951012.877081104</v>
      </c>
      <c r="F48" s="12">
        <f>'Tier III'!F90</f>
        <v>90779746.284538567</v>
      </c>
      <c r="G48" s="12">
        <f>'Tier III'!G90</f>
        <v>128278801.98676416</v>
      </c>
      <c r="H48" s="12">
        <f>'Tier III'!H90</f>
        <v>170741045.32059336</v>
      </c>
      <c r="I48" s="12">
        <f>'Tier III'!I90</f>
        <v>217756754.32333532</v>
      </c>
      <c r="J48" s="12">
        <f>'Tier III'!J90</f>
        <v>269085612.17797905</v>
      </c>
      <c r="K48" s="12">
        <f>'Tier III'!K90</f>
        <v>324961042.90576327</v>
      </c>
      <c r="L48" s="12">
        <f>'Tier III'!L90</f>
        <v>373715457.13718426</v>
      </c>
      <c r="M48" s="12">
        <f>'Tier III'!M90</f>
        <v>425271879.87411475</v>
      </c>
      <c r="N48" s="12">
        <f>'Tier III'!N90</f>
        <v>479316069.64392203</v>
      </c>
      <c r="O48" s="12">
        <f>'Tier III'!O90</f>
        <v>554818456.40875506</v>
      </c>
      <c r="P48" s="659">
        <f>'Tier III'!P90</f>
        <v>635613972.01208043</v>
      </c>
    </row>
    <row r="49" spans="2:17" x14ac:dyDescent="0.3">
      <c r="B49" s="315" t="s">
        <v>403</v>
      </c>
      <c r="C49" t="s">
        <v>388</v>
      </c>
      <c r="D49" s="508">
        <f>D48+D47</f>
        <v>1955429936.1435912</v>
      </c>
      <c r="E49" s="313">
        <f>E48+E47</f>
        <v>2008416969.1837909</v>
      </c>
      <c r="F49" s="313">
        <f t="shared" ref="F49:O49" si="10">F48+F47</f>
        <v>1859293716.3488803</v>
      </c>
      <c r="G49" s="313">
        <f t="shared" si="10"/>
        <v>1378135810.4834654</v>
      </c>
      <c r="H49" s="313">
        <f t="shared" si="10"/>
        <v>1599300052.803158</v>
      </c>
      <c r="I49" s="313">
        <f t="shared" si="10"/>
        <v>1644284465.0565684</v>
      </c>
      <c r="J49" s="313">
        <f t="shared" si="10"/>
        <v>1686958402.0832622</v>
      </c>
      <c r="K49" s="313">
        <f t="shared" si="10"/>
        <v>1908042784.8663726</v>
      </c>
      <c r="L49" s="313">
        <f t="shared" si="10"/>
        <v>1957073276.0822835</v>
      </c>
      <c r="M49" s="313">
        <f t="shared" si="10"/>
        <v>2014480203.3941174</v>
      </c>
      <c r="N49" s="313">
        <f t="shared" si="10"/>
        <v>2246744375.4847207</v>
      </c>
      <c r="O49" s="313">
        <f t="shared" si="10"/>
        <v>2331863709.3941174</v>
      </c>
      <c r="P49" s="720">
        <f t="shared" ref="P49" si="11">P48+P47</f>
        <v>2425744625.7968121</v>
      </c>
    </row>
    <row r="50" spans="2:17" x14ac:dyDescent="0.3">
      <c r="B50" s="315" t="s">
        <v>404</v>
      </c>
      <c r="C50" t="s">
        <v>388</v>
      </c>
      <c r="D50" s="508"/>
      <c r="E50" s="313">
        <f>E45+E48</f>
        <v>1465244979.6671784</v>
      </c>
      <c r="F50" s="313">
        <f t="shared" ref="F50:O50" si="12">F45+F48</f>
        <v>1622800284.9799542</v>
      </c>
      <c r="G50" s="313">
        <f t="shared" si="12"/>
        <v>1141032229.2620983</v>
      </c>
      <c r="H50" s="313">
        <f t="shared" si="12"/>
        <v>1360401386.2554758</v>
      </c>
      <c r="I50" s="313">
        <f t="shared" si="12"/>
        <v>1405725493.3217964</v>
      </c>
      <c r="J50" s="313">
        <f t="shared" si="12"/>
        <v>1449846797.2644124</v>
      </c>
      <c r="K50" s="313">
        <f t="shared" si="12"/>
        <v>1671344525.9899259</v>
      </c>
      <c r="L50" s="313">
        <f t="shared" si="12"/>
        <v>1720333738.8941665</v>
      </c>
      <c r="M50" s="313">
        <f t="shared" si="12"/>
        <v>1776865913.9997663</v>
      </c>
      <c r="N50" s="313">
        <f t="shared" si="12"/>
        <v>2007792933.0299764</v>
      </c>
      <c r="O50" s="313">
        <f t="shared" si="12"/>
        <v>2091612082.1541619</v>
      </c>
      <c r="P50" s="720">
        <f>P45+P48</f>
        <v>2183723888.3837452</v>
      </c>
    </row>
    <row r="51" spans="2:17" x14ac:dyDescent="0.3">
      <c r="D51" s="506"/>
      <c r="E51" s="12"/>
      <c r="F51" s="12"/>
      <c r="G51" s="12"/>
      <c r="H51" s="12"/>
      <c r="I51" s="12"/>
      <c r="J51" s="12"/>
      <c r="K51" s="12"/>
      <c r="L51" s="12"/>
      <c r="M51" s="12"/>
      <c r="N51" s="12"/>
    </row>
    <row r="52" spans="2:17" x14ac:dyDescent="0.3">
      <c r="B52" s="314" t="s">
        <v>398</v>
      </c>
      <c r="C52" t="s">
        <v>405</v>
      </c>
      <c r="D52" s="506">
        <f>D45/2204</f>
        <v>593901.06045439397</v>
      </c>
      <c r="E52" s="12">
        <f t="shared" ref="D52:E55" si="13">E45/2204</f>
        <v>638518.13375231274</v>
      </c>
      <c r="F52" s="12">
        <f t="shared" ref="F52:O52" si="14">F45/2204</f>
        <v>695109.13733911782</v>
      </c>
      <c r="G52" s="12">
        <f t="shared" si="14"/>
        <v>459506.99967120425</v>
      </c>
      <c r="H52" s="12">
        <f t="shared" si="14"/>
        <v>539773.29443506466</v>
      </c>
      <c r="I52" s="12">
        <f t="shared" si="14"/>
        <v>539005.77994485525</v>
      </c>
      <c r="J52" s="12">
        <f t="shared" si="14"/>
        <v>535735.56492124929</v>
      </c>
      <c r="K52" s="12">
        <f t="shared" si="14"/>
        <v>610881.7981325601</v>
      </c>
      <c r="L52" s="12">
        <f t="shared" si="14"/>
        <v>610988.33110570873</v>
      </c>
      <c r="M52" s="12">
        <f t="shared" si="14"/>
        <v>613245.93199893448</v>
      </c>
      <c r="N52" s="12">
        <f t="shared" si="14"/>
        <v>693501.29917697562</v>
      </c>
      <c r="O52" s="12">
        <f t="shared" si="14"/>
        <v>697274.78482096503</v>
      </c>
      <c r="P52" s="659">
        <f t="shared" ref="P52" si="15">P45/2204</f>
        <v>702409.2179544759</v>
      </c>
    </row>
    <row r="53" spans="2:17" x14ac:dyDescent="0.3">
      <c r="B53" s="314" t="s">
        <v>400</v>
      </c>
      <c r="C53" t="s">
        <v>405</v>
      </c>
      <c r="D53" s="506">
        <f t="shared" si="13"/>
        <v>289497.9332586691</v>
      </c>
      <c r="E53" s="12">
        <f t="shared" si="13"/>
        <v>246448.27110554103</v>
      </c>
      <c r="F53" s="12">
        <f>F46/2204</f>
        <v>107301.91985885939</v>
      </c>
      <c r="G53" s="12">
        <f t="shared" ref="G53:O53" si="16">G46/2204</f>
        <v>107578.75735996691</v>
      </c>
      <c r="H53" s="12">
        <f t="shared" si="16"/>
        <v>108393.22438642573</v>
      </c>
      <c r="I53" s="12">
        <f t="shared" si="16"/>
        <v>108239.09788329039</v>
      </c>
      <c r="J53" s="12">
        <f t="shared" si="16"/>
        <v>107582.39783069413</v>
      </c>
      <c r="K53" s="12">
        <f t="shared" si="16"/>
        <v>107394.8542996582</v>
      </c>
      <c r="L53" s="12">
        <f t="shared" si="16"/>
        <v>107413.58311620567</v>
      </c>
      <c r="M53" s="12">
        <f t="shared" si="16"/>
        <v>107810.47613173816</v>
      </c>
      <c r="N53" s="12">
        <f t="shared" si="16"/>
        <v>108417.16989779704</v>
      </c>
      <c r="O53" s="12">
        <f t="shared" si="16"/>
        <v>109007.09039925369</v>
      </c>
      <c r="P53" s="659">
        <f t="shared" ref="P53" si="17">P46/2204</f>
        <v>109809.77196600106</v>
      </c>
    </row>
    <row r="54" spans="2:17" x14ac:dyDescent="0.3">
      <c r="B54" t="s">
        <v>401</v>
      </c>
      <c r="C54" t="s">
        <v>405</v>
      </c>
      <c r="D54" s="506">
        <f t="shared" si="13"/>
        <v>883398.99371306319</v>
      </c>
      <c r="E54" s="12">
        <f t="shared" si="13"/>
        <v>884966.40485785378</v>
      </c>
      <c r="F54" s="12">
        <f>F47/2204</f>
        <v>802411.05719797721</v>
      </c>
      <c r="G54" s="12">
        <f t="shared" ref="G54:O54" si="18">G47/2204</f>
        <v>567085.75703117112</v>
      </c>
      <c r="H54" s="12">
        <f t="shared" si="18"/>
        <v>648166.51882149035</v>
      </c>
      <c r="I54" s="12">
        <f t="shared" si="18"/>
        <v>647244.87782814563</v>
      </c>
      <c r="J54" s="12">
        <f t="shared" si="18"/>
        <v>643317.96275194339</v>
      </c>
      <c r="K54" s="12">
        <f t="shared" si="18"/>
        <v>718276.65243221831</v>
      </c>
      <c r="L54" s="12">
        <f t="shared" si="18"/>
        <v>718401.91422191437</v>
      </c>
      <c r="M54" s="12">
        <f t="shared" si="18"/>
        <v>721056.40813067264</v>
      </c>
      <c r="N54" s="12">
        <f>N47/2204</f>
        <v>801918.46907477267</v>
      </c>
      <c r="O54" s="12">
        <f t="shared" si="18"/>
        <v>806281.87522021867</v>
      </c>
      <c r="P54" s="659">
        <f t="shared" ref="P54" si="19">P47/2204</f>
        <v>812218.98992047703</v>
      </c>
    </row>
    <row r="55" spans="2:17" x14ac:dyDescent="0.3">
      <c r="B55" s="314" t="s">
        <v>402</v>
      </c>
      <c r="C55" t="s">
        <v>405</v>
      </c>
      <c r="D55" s="506">
        <f t="shared" si="13"/>
        <v>3819.6705989110706</v>
      </c>
      <c r="E55" s="12">
        <f t="shared" si="13"/>
        <v>26293.563011379811</v>
      </c>
      <c r="F55" s="12">
        <f>F48/2204</f>
        <v>41188.632615489369</v>
      </c>
      <c r="G55" s="12">
        <f>G48/2204</f>
        <v>58202.723224484645</v>
      </c>
      <c r="H55" s="12">
        <f t="shared" ref="H55:O55" si="20">H48/2204</f>
        <v>77468.713847819134</v>
      </c>
      <c r="I55" s="12">
        <f t="shared" si="20"/>
        <v>98800.705228373554</v>
      </c>
      <c r="J55" s="12">
        <f t="shared" si="20"/>
        <v>122089.66069781264</v>
      </c>
      <c r="K55" s="12">
        <f t="shared" si="20"/>
        <v>147441.48952167117</v>
      </c>
      <c r="L55" s="12">
        <f t="shared" si="20"/>
        <v>169562.36712213443</v>
      </c>
      <c r="M55" s="12">
        <f t="shared" si="20"/>
        <v>192954.57344560561</v>
      </c>
      <c r="N55" s="12">
        <f t="shared" si="20"/>
        <v>217475.53069143469</v>
      </c>
      <c r="O55" s="12">
        <f t="shared" si="20"/>
        <v>251732.51198219377</v>
      </c>
      <c r="P55" s="659">
        <f t="shared" ref="P55" si="21">P48/2204</f>
        <v>288391.09437934682</v>
      </c>
      <c r="Q55" s="12">
        <f>ROUND(P55,-4)</f>
        <v>290000</v>
      </c>
    </row>
    <row r="56" spans="2:17" s="22" customFormat="1" x14ac:dyDescent="0.3">
      <c r="B56" s="315" t="s">
        <v>403</v>
      </c>
      <c r="C56" s="22" t="s">
        <v>405</v>
      </c>
      <c r="D56" s="508">
        <f>D55+D54</f>
        <v>887218.66431197431</v>
      </c>
      <c r="E56" s="313">
        <f>E55+E54</f>
        <v>911259.96786923357</v>
      </c>
      <c r="F56" s="313">
        <f>F55+F54</f>
        <v>843599.68981346663</v>
      </c>
      <c r="G56" s="313">
        <f t="shared" ref="G56:O56" si="22">G55+G54</f>
        <v>625288.48025565571</v>
      </c>
      <c r="H56" s="313">
        <f t="shared" si="22"/>
        <v>725635.23266930948</v>
      </c>
      <c r="I56" s="313">
        <f t="shared" si="22"/>
        <v>746045.58305651916</v>
      </c>
      <c r="J56" s="313">
        <f t="shared" si="22"/>
        <v>765407.62344975607</v>
      </c>
      <c r="K56" s="313">
        <f t="shared" si="22"/>
        <v>865718.14195388951</v>
      </c>
      <c r="L56" s="313">
        <f t="shared" si="22"/>
        <v>887964.2813440488</v>
      </c>
      <c r="M56" s="313">
        <f t="shared" si="22"/>
        <v>914010.98157627822</v>
      </c>
      <c r="N56" s="313">
        <f t="shared" si="22"/>
        <v>1019393.9997662073</v>
      </c>
      <c r="O56" s="313">
        <f t="shared" si="22"/>
        <v>1058014.3872024124</v>
      </c>
      <c r="P56" s="720">
        <f t="shared" ref="P56" si="23">P55+P54</f>
        <v>1100610.0842998237</v>
      </c>
    </row>
    <row r="57" spans="2:17" s="22" customFormat="1" x14ac:dyDescent="0.3">
      <c r="B57" s="315" t="s">
        <v>404</v>
      </c>
      <c r="C57" s="22" t="s">
        <v>405</v>
      </c>
      <c r="D57" s="508"/>
      <c r="E57" s="313">
        <f>E52+E55</f>
        <v>664811.69676369254</v>
      </c>
      <c r="F57" s="313">
        <f>F52+F55</f>
        <v>736297.76995460724</v>
      </c>
      <c r="G57" s="313">
        <f t="shared" ref="G57:N57" si="24">G52+G55</f>
        <v>517709.7228956889</v>
      </c>
      <c r="H57" s="313">
        <f t="shared" si="24"/>
        <v>617242.00828288379</v>
      </c>
      <c r="I57" s="313">
        <f t="shared" si="24"/>
        <v>637806.48517322878</v>
      </c>
      <c r="J57" s="313">
        <f t="shared" si="24"/>
        <v>657825.22561906197</v>
      </c>
      <c r="K57" s="313">
        <f t="shared" si="24"/>
        <v>758323.2876542313</v>
      </c>
      <c r="L57" s="313">
        <f t="shared" si="24"/>
        <v>780550.69822784315</v>
      </c>
      <c r="M57" s="313">
        <f t="shared" si="24"/>
        <v>806200.50544454006</v>
      </c>
      <c r="N57" s="313">
        <f t="shared" si="24"/>
        <v>910976.82986841025</v>
      </c>
      <c r="O57" s="313">
        <f>O52+O55</f>
        <v>949007.29680315882</v>
      </c>
      <c r="P57" s="720">
        <f>P52+P55</f>
        <v>990800.31233382272</v>
      </c>
      <c r="Q57" s="313">
        <f>ROUND(P57,-3)</f>
        <v>991000</v>
      </c>
    </row>
    <row r="58" spans="2:17" x14ac:dyDescent="0.3">
      <c r="D58" s="502"/>
      <c r="E58" s="242"/>
      <c r="Q58" s="15">
        <f>Q57/8600000</f>
        <v>0.11523255813953488</v>
      </c>
    </row>
    <row r="59" spans="2:17" x14ac:dyDescent="0.3">
      <c r="B59" t="s">
        <v>406</v>
      </c>
      <c r="C59" t="s">
        <v>122</v>
      </c>
      <c r="D59" s="506">
        <f>(SUM(D36:D37)-$C19)*D$33</f>
        <v>1682130.8211936743</v>
      </c>
      <c r="E59" s="12">
        <f>(SUM(E36:E37)-$C19)*E$33</f>
        <v>1808501.6245871959</v>
      </c>
      <c r="F59" s="12">
        <f>(SUM(F36:F37)-$C19)*F$33</f>
        <v>1968786.6917039547</v>
      </c>
      <c r="G59" s="12">
        <f t="shared" ref="G59:O59" si="25">(SUM(G36:G37)-$C19)*G$33</f>
        <v>1301480.9000505556</v>
      </c>
      <c r="H59" s="12">
        <f t="shared" si="25"/>
        <v>1528822.4848963602</v>
      </c>
      <c r="I59" s="12">
        <f t="shared" si="25"/>
        <v>1526648.6214944224</v>
      </c>
      <c r="J59" s="12">
        <f t="shared" si="25"/>
        <v>1517386.254663608</v>
      </c>
      <c r="K59" s="12">
        <f t="shared" si="25"/>
        <v>1730226.07496068</v>
      </c>
      <c r="L59" s="12">
        <f t="shared" si="25"/>
        <v>1730527.8127576618</v>
      </c>
      <c r="M59" s="12">
        <f t="shared" si="25"/>
        <v>1736922.1102211885</v>
      </c>
      <c r="N59" s="12">
        <f t="shared" si="25"/>
        <v>1964232.7444084883</v>
      </c>
      <c r="O59" s="12">
        <f t="shared" si="25"/>
        <v>1974920.5456732814</v>
      </c>
      <c r="P59" s="659">
        <f t="shared" ref="P59" si="26">(SUM(P36:P37)-$C19)*P$33</f>
        <v>1989463.0154520501</v>
      </c>
    </row>
    <row r="60" spans="2:17" x14ac:dyDescent="0.3">
      <c r="B60" t="s">
        <v>407</v>
      </c>
      <c r="C60" t="s">
        <v>122</v>
      </c>
      <c r="D60" s="506">
        <f>(D38-$C20)*D$33</f>
        <v>819957.10840067023</v>
      </c>
      <c r="E60" s="12">
        <f t="shared" ref="E60:N60" si="27">(E38-$C20)*E$33</f>
        <v>698025.74916998169</v>
      </c>
      <c r="F60" s="12">
        <f t="shared" si="27"/>
        <v>303915.71692049759</v>
      </c>
      <c r="G60" s="12">
        <f t="shared" si="27"/>
        <v>304699.81535722868</v>
      </c>
      <c r="H60" s="12">
        <f t="shared" si="27"/>
        <v>307006.664391989</v>
      </c>
      <c r="I60" s="12">
        <f t="shared" si="27"/>
        <v>306570.12544880476</v>
      </c>
      <c r="J60" s="12">
        <f t="shared" si="27"/>
        <v>304710.12641477963</v>
      </c>
      <c r="K60" s="12">
        <f t="shared" si="27"/>
        <v>304178.93902536889</v>
      </c>
      <c r="L60" s="12">
        <f t="shared" si="27"/>
        <v>304231.98543605366</v>
      </c>
      <c r="M60" s="12">
        <f t="shared" si="27"/>
        <v>305356.12212918047</v>
      </c>
      <c r="N60" s="12">
        <f t="shared" si="27"/>
        <v>307074.4862656797</v>
      </c>
      <c r="O60" s="12">
        <f>(O38-$C20)*O$33</f>
        <v>308745.34278308519</v>
      </c>
      <c r="P60" s="659">
        <f>(P38-$C20)*P$33</f>
        <v>311018.81136722403</v>
      </c>
    </row>
    <row r="61" spans="2:17" x14ac:dyDescent="0.3">
      <c r="D61" s="506"/>
      <c r="E61" s="12"/>
      <c r="F61" s="12"/>
      <c r="G61" s="12"/>
      <c r="H61" s="12"/>
      <c r="I61" s="12"/>
      <c r="J61" s="12"/>
      <c r="K61" s="12"/>
      <c r="L61" s="12"/>
      <c r="M61" s="12"/>
      <c r="N61" s="12"/>
    </row>
    <row r="62" spans="2:17" x14ac:dyDescent="0.3">
      <c r="B62" t="s">
        <v>408</v>
      </c>
      <c r="C62" t="s">
        <v>409</v>
      </c>
      <c r="D62" s="506">
        <f>D59*$G$24</f>
        <v>13145852.367628565</v>
      </c>
      <c r="E62" s="12">
        <f>E59*$G$23</f>
        <v>13976100.55480985</v>
      </c>
      <c r="F62" s="12">
        <f>F59*$G$23</f>
        <v>15214783.553488161</v>
      </c>
      <c r="G62" s="12">
        <f t="shared" ref="G62:P62" si="28">G59*$G$23</f>
        <v>10057844.395590693</v>
      </c>
      <c r="H62" s="12">
        <f t="shared" si="28"/>
        <v>11814740.163279071</v>
      </c>
      <c r="I62" s="12">
        <f t="shared" si="28"/>
        <v>11797940.546908896</v>
      </c>
      <c r="J62" s="12">
        <f t="shared" si="28"/>
        <v>11726360.976040363</v>
      </c>
      <c r="K62" s="12">
        <f t="shared" si="28"/>
        <v>13371187.107296135</v>
      </c>
      <c r="L62" s="12">
        <f t="shared" si="28"/>
        <v>13373518.936991209</v>
      </c>
      <c r="M62" s="12">
        <f t="shared" si="28"/>
        <v>13422934.067789344</v>
      </c>
      <c r="N62" s="12">
        <f t="shared" si="28"/>
        <v>15179590.648788797</v>
      </c>
      <c r="O62" s="12">
        <f t="shared" si="28"/>
        <v>15262185.976963118</v>
      </c>
      <c r="P62" s="659">
        <f t="shared" si="28"/>
        <v>15374570.183413442</v>
      </c>
      <c r="Q62" s="636">
        <f>ROUND(O62,-6)/125000000</f>
        <v>0.12</v>
      </c>
    </row>
    <row r="63" spans="2:17" x14ac:dyDescent="0.3">
      <c r="B63" t="s">
        <v>407</v>
      </c>
      <c r="D63" s="506">
        <f>D60*$G$24</f>
        <v>6407964.8021512385</v>
      </c>
      <c r="E63" s="12">
        <f t="shared" ref="E63:P63" si="29">E60*$G$24</f>
        <v>5455071.2297634073</v>
      </c>
      <c r="F63" s="12">
        <f t="shared" si="29"/>
        <v>2375101.327733689</v>
      </c>
      <c r="G63" s="12">
        <f t="shared" si="29"/>
        <v>2381229.0570167424</v>
      </c>
      <c r="H63" s="12">
        <f t="shared" si="29"/>
        <v>2399257.0822233944</v>
      </c>
      <c r="I63" s="12">
        <f t="shared" si="29"/>
        <v>2395845.5303824092</v>
      </c>
      <c r="J63" s="12">
        <f t="shared" si="29"/>
        <v>2381309.6379315029</v>
      </c>
      <c r="K63" s="12">
        <f t="shared" si="29"/>
        <v>2377158.408483258</v>
      </c>
      <c r="L63" s="12">
        <f t="shared" si="29"/>
        <v>2377572.9661827595</v>
      </c>
      <c r="M63" s="12">
        <f t="shared" si="29"/>
        <v>2386358.0944395456</v>
      </c>
      <c r="N63" s="12">
        <f t="shared" si="29"/>
        <v>2399787.110166287</v>
      </c>
      <c r="O63" s="12">
        <f t="shared" si="29"/>
        <v>2412844.853849811</v>
      </c>
      <c r="P63" s="659">
        <f t="shared" si="29"/>
        <v>2430612.010834856</v>
      </c>
    </row>
    <row r="64" spans="2:17" x14ac:dyDescent="0.3">
      <c r="D64" s="15"/>
      <c r="E64" s="15"/>
      <c r="F64" s="15"/>
      <c r="G64" s="15"/>
      <c r="H64" s="15"/>
      <c r="I64" s="15"/>
      <c r="J64" s="15"/>
      <c r="K64" s="15"/>
      <c r="L64" s="15"/>
      <c r="M64" s="15"/>
      <c r="N64" s="15"/>
    </row>
    <row r="65" spans="2:27" x14ac:dyDescent="0.3">
      <c r="B65" t="s">
        <v>410</v>
      </c>
      <c r="C65" t="s">
        <v>411</v>
      </c>
      <c r="D65" s="15"/>
      <c r="E65" s="514">
        <v>121</v>
      </c>
      <c r="F65" s="514">
        <v>123</v>
      </c>
      <c r="G65" s="514">
        <v>124</v>
      </c>
      <c r="H65" s="514">
        <v>126</v>
      </c>
      <c r="I65" s="514">
        <v>128</v>
      </c>
      <c r="J65" s="514">
        <v>129</v>
      </c>
      <c r="K65" s="514">
        <v>131</v>
      </c>
      <c r="L65" s="514">
        <v>132</v>
      </c>
      <c r="M65" s="514">
        <v>134</v>
      </c>
      <c r="N65" s="514">
        <v>136</v>
      </c>
      <c r="O65" s="514">
        <v>137</v>
      </c>
      <c r="P65" s="721">
        <v>138</v>
      </c>
      <c r="Q65" s="514">
        <v>139</v>
      </c>
      <c r="R65" s="514" t="s">
        <v>412</v>
      </c>
    </row>
    <row r="66" spans="2:27" x14ac:dyDescent="0.3">
      <c r="B66" t="s">
        <v>413</v>
      </c>
      <c r="C66" t="s">
        <v>316</v>
      </c>
      <c r="D66" s="15"/>
      <c r="E66" s="21">
        <f>E65*E57</f>
        <v>80442215.3084068</v>
      </c>
      <c r="F66" s="21">
        <f t="shared" ref="F66:N66" si="30">F65*F57</f>
        <v>90564625.704416692</v>
      </c>
      <c r="G66" s="21">
        <f t="shared" si="30"/>
        <v>64196005.639065422</v>
      </c>
      <c r="H66" s="21">
        <f t="shared" si="30"/>
        <v>77772493.043643355</v>
      </c>
      <c r="I66" s="21">
        <f t="shared" si="30"/>
        <v>81639230.102173284</v>
      </c>
      <c r="J66" s="21">
        <f t="shared" si="30"/>
        <v>84859454.104858994</v>
      </c>
      <c r="K66" s="21">
        <f t="shared" si="30"/>
        <v>99340350.6827043</v>
      </c>
      <c r="L66" s="21">
        <f t="shared" si="30"/>
        <v>103032692.16607529</v>
      </c>
      <c r="M66" s="21">
        <f t="shared" si="30"/>
        <v>108030867.72956836</v>
      </c>
      <c r="N66" s="21">
        <f t="shared" si="30"/>
        <v>123892848.86210379</v>
      </c>
      <c r="O66" s="21">
        <f>O65*O57</f>
        <v>130013999.66203275</v>
      </c>
      <c r="P66" s="683">
        <f>P65*P57</f>
        <v>136730443.10206753</v>
      </c>
      <c r="R66" s="78">
        <f>NPV(0.02,G66:P66)</f>
        <v>895228150.02306294</v>
      </c>
    </row>
    <row r="67" spans="2:27" x14ac:dyDescent="0.3">
      <c r="D67" s="15"/>
      <c r="E67" s="15"/>
      <c r="F67" s="15"/>
      <c r="G67" s="15"/>
      <c r="H67" s="15"/>
      <c r="I67" s="15"/>
      <c r="J67" s="15"/>
      <c r="K67" s="15"/>
      <c r="L67" s="15"/>
      <c r="M67" s="15"/>
      <c r="N67" s="15"/>
      <c r="Q67" s="25">
        <f>ROUND(O66,-6)</f>
        <v>130000000</v>
      </c>
    </row>
    <row r="68" spans="2:27" x14ac:dyDescent="0.3">
      <c r="B68" t="s">
        <v>414</v>
      </c>
      <c r="D68" s="12"/>
      <c r="E68" s="12">
        <f>E62+'Tier III'!E82</f>
        <v>14363636.918278862</v>
      </c>
      <c r="F68" s="12">
        <f>F62+'Tier III'!F82</f>
        <v>15817555.576938653</v>
      </c>
      <c r="G68" s="12">
        <f>G62+'Tier III'!G82</f>
        <v>10905916.884428499</v>
      </c>
      <c r="H68" s="12">
        <f>H62+'Tier III'!H82</f>
        <v>12940371.100468347</v>
      </c>
      <c r="I68" s="12">
        <f>I62+'Tier III'!I82</f>
        <v>13230426.712097112</v>
      </c>
      <c r="J68" s="12">
        <f>J62+'Tier III'!J82</f>
        <v>13493494.133288508</v>
      </c>
      <c r="K68" s="12">
        <f>K62+'Tier III'!K82</f>
        <v>15502503.180409024</v>
      </c>
      <c r="L68" s="12">
        <f>L62+'Tier III'!L82</f>
        <v>15824296.591333104</v>
      </c>
      <c r="M68" s="12">
        <f>M62+'Tier III'!M82</f>
        <v>16211672.473723395</v>
      </c>
      <c r="N68" s="12">
        <f>N62+'Tier III'!N82</f>
        <v>18322776.512124352</v>
      </c>
      <c r="O68" s="12">
        <f>O62+'Tier III'!O82</f>
        <v>18896917.329765506</v>
      </c>
      <c r="P68" s="659">
        <f>P62+'Tier III'!P82</f>
        <v>19535227.564920727</v>
      </c>
      <c r="Q68" s="242"/>
    </row>
    <row r="69" spans="2:27" x14ac:dyDescent="0.3">
      <c r="B69" t="s">
        <v>415</v>
      </c>
      <c r="E69" s="12">
        <f>E68+E63</f>
        <v>19818708.148042269</v>
      </c>
      <c r="F69" s="12">
        <f t="shared" ref="F69:O69" si="31">F68+F63</f>
        <v>18192656.904672343</v>
      </c>
      <c r="G69" s="12">
        <f t="shared" si="31"/>
        <v>13287145.941445243</v>
      </c>
      <c r="H69" s="12">
        <f t="shared" si="31"/>
        <v>15339628.182691742</v>
      </c>
      <c r="I69" s="12">
        <f t="shared" si="31"/>
        <v>15626272.242479522</v>
      </c>
      <c r="J69" s="12">
        <f t="shared" si="31"/>
        <v>15874803.771220012</v>
      </c>
      <c r="K69" s="12">
        <f t="shared" si="31"/>
        <v>17879661.588892281</v>
      </c>
      <c r="L69" s="12">
        <f t="shared" si="31"/>
        <v>18201869.557515863</v>
      </c>
      <c r="M69" s="12">
        <f t="shared" si="31"/>
        <v>18598030.56816294</v>
      </c>
      <c r="N69" s="12">
        <f t="shared" si="31"/>
        <v>20722563.622290641</v>
      </c>
      <c r="O69" s="12">
        <f t="shared" si="31"/>
        <v>21309762.183615316</v>
      </c>
      <c r="P69" s="659">
        <f t="shared" ref="P69" si="32">P68+P63</f>
        <v>21965839.575755581</v>
      </c>
    </row>
    <row r="71" spans="2:27" x14ac:dyDescent="0.3">
      <c r="B71" t="s">
        <v>416</v>
      </c>
      <c r="C71" t="s">
        <v>417</v>
      </c>
      <c r="D71" s="241">
        <f>P62/(D77+C25)</f>
        <v>0.12324422732212191</v>
      </c>
    </row>
    <row r="72" spans="2:27" x14ac:dyDescent="0.3">
      <c r="B72" t="s">
        <v>416</v>
      </c>
      <c r="C72" t="s">
        <v>418</v>
      </c>
      <c r="D72" s="241">
        <f>'Tier III'!P82/(D77+C25)</f>
        <v>3.3352282243906108E-2</v>
      </c>
    </row>
    <row r="73" spans="2:27" x14ac:dyDescent="0.3">
      <c r="B73" t="s">
        <v>416</v>
      </c>
      <c r="D73" s="241">
        <f>P68/(D77+C25)</f>
        <v>0.15659650956602802</v>
      </c>
      <c r="N73" s="242"/>
    </row>
    <row r="74" spans="2:27" x14ac:dyDescent="0.3">
      <c r="B74" t="s">
        <v>419</v>
      </c>
      <c r="D74" s="241">
        <f>P69/(D77+C25)</f>
        <v>0.17608055989209073</v>
      </c>
      <c r="E74" s="14">
        <f>D74-D73</f>
        <v>1.9484050326062707E-2</v>
      </c>
    </row>
    <row r="75" spans="2:27" x14ac:dyDescent="0.3">
      <c r="Q75" s="315" t="s">
        <v>420</v>
      </c>
    </row>
    <row r="77" spans="2:27" x14ac:dyDescent="0.3">
      <c r="B77" t="s">
        <v>421</v>
      </c>
      <c r="D77">
        <v>103000000</v>
      </c>
    </row>
    <row r="79" spans="2:27" x14ac:dyDescent="0.3">
      <c r="B79" t="s">
        <v>422</v>
      </c>
      <c r="D79" s="12">
        <f>P55+P52</f>
        <v>990800.31233382272</v>
      </c>
      <c r="R79">
        <v>2022</v>
      </c>
      <c r="S79">
        <v>2023</v>
      </c>
      <c r="T79">
        <v>2024</v>
      </c>
      <c r="U79">
        <v>2025</v>
      </c>
      <c r="V79">
        <v>2026</v>
      </c>
      <c r="W79">
        <v>2027</v>
      </c>
      <c r="X79">
        <v>2028</v>
      </c>
      <c r="Y79">
        <v>2029</v>
      </c>
      <c r="Z79">
        <v>2030</v>
      </c>
      <c r="AA79">
        <v>2031</v>
      </c>
    </row>
    <row r="80" spans="2:27" x14ac:dyDescent="0.3">
      <c r="B80" t="s">
        <v>423</v>
      </c>
      <c r="D80" s="12">
        <f>P53</f>
        <v>109809.77196600106</v>
      </c>
      <c r="Q80" t="str">
        <f>loads!B6</f>
        <v>PSD Adjusted BAU Scenario</v>
      </c>
      <c r="R80" s="10">
        <v>530259.95295284467</v>
      </c>
      <c r="S80" s="10">
        <v>630061.00104340224</v>
      </c>
      <c r="T80" s="10">
        <v>650685.7680375214</v>
      </c>
      <c r="U80" s="10">
        <v>670770.7972800266</v>
      </c>
      <c r="V80" s="10">
        <v>772295.07065666025</v>
      </c>
      <c r="W80" s="10">
        <v>794647.16866507847</v>
      </c>
      <c r="X80" s="10">
        <v>820432.15564281784</v>
      </c>
      <c r="Y80" s="10">
        <v>923618.12727743783</v>
      </c>
      <c r="Z80" s="10">
        <v>961563.3630126483</v>
      </c>
      <c r="AA80" s="10">
        <v>1003512.7766498596</v>
      </c>
    </row>
    <row r="81" spans="2:27" x14ac:dyDescent="0.3">
      <c r="Q81" t="str">
        <f>loads!B7</f>
        <v>CEP/CAP Central Mitigation Scenario</v>
      </c>
      <c r="R81" s="10">
        <v>532294.88806995086</v>
      </c>
      <c r="S81" s="10">
        <v>633654.82523125329</v>
      </c>
      <c r="T81" s="10">
        <v>660604.70703586482</v>
      </c>
      <c r="U81" s="10">
        <v>689934.24063307163</v>
      </c>
      <c r="V81" s="10">
        <v>801372.86696569296</v>
      </c>
      <c r="W81" s="10">
        <v>849283.55498661962</v>
      </c>
      <c r="X81" s="10">
        <v>906135.02654253808</v>
      </c>
      <c r="Y81" s="10">
        <v>1058938.4014440537</v>
      </c>
      <c r="Z81" s="10">
        <v>1137212.6563574469</v>
      </c>
      <c r="AA81" s="10">
        <v>1224499.0838000956</v>
      </c>
    </row>
    <row r="90" spans="2:27" x14ac:dyDescent="0.3">
      <c r="B90" t="s">
        <v>980</v>
      </c>
    </row>
    <row r="91" spans="2:27" x14ac:dyDescent="0.3">
      <c r="B91" t="s">
        <v>981</v>
      </c>
      <c r="C91" s="12">
        <f>F52</f>
        <v>695109.13733911782</v>
      </c>
    </row>
    <row r="92" spans="2:27" x14ac:dyDescent="0.3">
      <c r="B92" t="s">
        <v>418</v>
      </c>
      <c r="C92" s="7">
        <f>'Tier III'!AG8</f>
        <v>21910.243196008367</v>
      </c>
    </row>
    <row r="93" spans="2:27" x14ac:dyDescent="0.3">
      <c r="B93" t="s">
        <v>982</v>
      </c>
      <c r="C93" s="12">
        <f>SUM(C91:C92)</f>
        <v>717019.3805351262</v>
      </c>
    </row>
  </sheetData>
  <phoneticPr fontId="34" type="noConversion"/>
  <pageMargins left="0.7" right="0.7" top="0.75" bottom="0.75" header="0.3" footer="0.3"/>
  <pageSetup orientation="portrait"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18"/>
  <sheetViews>
    <sheetView zoomScaleNormal="100" workbookViewId="0">
      <pane xSplit="4" ySplit="6" topLeftCell="E7" activePane="bottomRight" state="frozen"/>
      <selection pane="topRight" activeCell="C39" sqref="C39"/>
      <selection pane="bottomLeft" activeCell="C39" sqref="C39"/>
      <selection pane="bottomRight"/>
    </sheetView>
  </sheetViews>
  <sheetFormatPr defaultRowHeight="14.4" x14ac:dyDescent="0.3"/>
  <cols>
    <col min="1" max="1" width="15.109375" customWidth="1"/>
    <col min="3" max="3" width="31.88671875" bestFit="1" customWidth="1"/>
    <col min="7" max="7" width="0" style="673" hidden="1" customWidth="1"/>
  </cols>
  <sheetData>
    <row r="1" spans="1:38" x14ac:dyDescent="0.3">
      <c r="A1" t="s">
        <v>424</v>
      </c>
    </row>
    <row r="2" spans="1:38" x14ac:dyDescent="0.3">
      <c r="A2" t="s">
        <v>425</v>
      </c>
    </row>
    <row r="3" spans="1:38" x14ac:dyDescent="0.3">
      <c r="A3" t="s">
        <v>426</v>
      </c>
    </row>
    <row r="4" spans="1:38" x14ac:dyDescent="0.3">
      <c r="A4" t="s">
        <v>427</v>
      </c>
      <c r="G4" s="675" t="s">
        <v>428</v>
      </c>
    </row>
    <row r="5" spans="1:38" x14ac:dyDescent="0.3">
      <c r="B5" t="s">
        <v>429</v>
      </c>
      <c r="C5" t="s">
        <v>430</v>
      </c>
      <c r="D5" t="s">
        <v>431</v>
      </c>
      <c r="F5">
        <v>2019</v>
      </c>
      <c r="G5" s="673">
        <v>2020</v>
      </c>
      <c r="H5">
        <v>2021</v>
      </c>
      <c r="I5">
        <v>2022</v>
      </c>
      <c r="J5">
        <v>2023</v>
      </c>
      <c r="K5">
        <v>2024</v>
      </c>
      <c r="L5">
        <v>2025</v>
      </c>
      <c r="M5">
        <v>2026</v>
      </c>
      <c r="N5">
        <v>2027</v>
      </c>
      <c r="O5">
        <v>2028</v>
      </c>
      <c r="P5">
        <v>2029</v>
      </c>
      <c r="Q5">
        <v>2030</v>
      </c>
      <c r="R5">
        <v>2031</v>
      </c>
      <c r="S5">
        <v>2032</v>
      </c>
      <c r="T5">
        <v>2033</v>
      </c>
      <c r="U5">
        <v>2034</v>
      </c>
      <c r="V5">
        <v>2035</v>
      </c>
      <c r="W5">
        <v>2036</v>
      </c>
      <c r="X5">
        <v>2037</v>
      </c>
      <c r="Y5">
        <v>2038</v>
      </c>
      <c r="Z5">
        <v>2039</v>
      </c>
      <c r="AA5">
        <v>2040</v>
      </c>
      <c r="AB5">
        <v>2041</v>
      </c>
      <c r="AC5">
        <v>2042</v>
      </c>
      <c r="AD5">
        <v>2043</v>
      </c>
      <c r="AE5">
        <v>2044</v>
      </c>
      <c r="AF5">
        <v>2045</v>
      </c>
      <c r="AG5">
        <v>2046</v>
      </c>
      <c r="AH5">
        <v>2047</v>
      </c>
      <c r="AI5">
        <v>2048</v>
      </c>
      <c r="AJ5">
        <v>2049</v>
      </c>
      <c r="AK5">
        <v>2050</v>
      </c>
      <c r="AL5" t="s">
        <v>432</v>
      </c>
    </row>
    <row r="6" spans="1:38" x14ac:dyDescent="0.3">
      <c r="A6" t="s">
        <v>433</v>
      </c>
      <c r="C6" t="s">
        <v>434</v>
      </c>
    </row>
    <row r="7" spans="1:38" x14ac:dyDescent="0.3">
      <c r="A7" t="s">
        <v>435</v>
      </c>
      <c r="B7" t="s">
        <v>436</v>
      </c>
      <c r="C7" t="s">
        <v>437</v>
      </c>
      <c r="D7" t="s">
        <v>438</v>
      </c>
      <c r="G7" s="673">
        <v>17.296467</v>
      </c>
      <c r="H7">
        <v>21.485128</v>
      </c>
      <c r="I7">
        <v>23.220642000000002</v>
      </c>
      <c r="J7">
        <v>22.999690999999999</v>
      </c>
      <c r="K7">
        <v>23.044048</v>
      </c>
      <c r="L7">
        <v>22.988008000000001</v>
      </c>
      <c r="M7">
        <v>23.073601</v>
      </c>
      <c r="N7">
        <v>23.387844000000001</v>
      </c>
      <c r="O7">
        <v>23.909302</v>
      </c>
      <c r="P7">
        <v>24.402353000000002</v>
      </c>
      <c r="Q7">
        <v>24.912445000000002</v>
      </c>
      <c r="R7">
        <v>25.580082000000001</v>
      </c>
      <c r="S7">
        <v>26.018035999999999</v>
      </c>
      <c r="T7">
        <v>26.452085</v>
      </c>
      <c r="U7">
        <v>26.771090000000001</v>
      </c>
      <c r="V7">
        <v>27.013059999999999</v>
      </c>
      <c r="W7">
        <v>27.244980000000002</v>
      </c>
      <c r="X7">
        <v>27.496624000000001</v>
      </c>
      <c r="Y7">
        <v>27.743568</v>
      </c>
      <c r="Z7">
        <v>27.926832000000001</v>
      </c>
      <c r="AA7">
        <v>28.22287</v>
      </c>
      <c r="AB7">
        <v>28.480588999999998</v>
      </c>
      <c r="AC7">
        <v>28.620867000000001</v>
      </c>
      <c r="AD7">
        <v>28.824804</v>
      </c>
      <c r="AE7">
        <v>29.072638000000001</v>
      </c>
      <c r="AF7">
        <v>29.213709000000001</v>
      </c>
      <c r="AG7">
        <v>29.365524000000001</v>
      </c>
      <c r="AH7">
        <v>29.49081</v>
      </c>
      <c r="AI7">
        <v>29.580093000000002</v>
      </c>
      <c r="AJ7">
        <v>29.612166999999999</v>
      </c>
      <c r="AK7">
        <v>29.615717</v>
      </c>
      <c r="AL7" s="4">
        <v>1.0999999999999999E-2</v>
      </c>
    </row>
    <row r="8" spans="1:38" x14ac:dyDescent="0.3">
      <c r="A8" t="s">
        <v>439</v>
      </c>
      <c r="B8" t="s">
        <v>440</v>
      </c>
      <c r="C8" t="s">
        <v>441</v>
      </c>
      <c r="D8" t="s">
        <v>438</v>
      </c>
      <c r="G8" s="673">
        <v>17.748362</v>
      </c>
      <c r="H8">
        <v>21.710046999999999</v>
      </c>
      <c r="I8">
        <v>22.032838999999999</v>
      </c>
      <c r="J8">
        <v>21.711088</v>
      </c>
      <c r="K8">
        <v>23.109434</v>
      </c>
      <c r="L8">
        <v>23.63899</v>
      </c>
      <c r="M8">
        <v>24.200704999999999</v>
      </c>
      <c r="N8">
        <v>24.844152000000001</v>
      </c>
      <c r="O8">
        <v>25.028134999999999</v>
      </c>
      <c r="P8">
        <v>25.149328000000001</v>
      </c>
      <c r="Q8">
        <v>25.113147999999999</v>
      </c>
      <c r="R8">
        <v>25.387429999999998</v>
      </c>
      <c r="S8">
        <v>25.491672999999999</v>
      </c>
      <c r="T8">
        <v>25.554348000000001</v>
      </c>
      <c r="U8">
        <v>25.603569</v>
      </c>
      <c r="V8">
        <v>25.682780999999999</v>
      </c>
      <c r="W8">
        <v>25.852264000000002</v>
      </c>
      <c r="X8">
        <v>26.068511999999998</v>
      </c>
      <c r="Y8">
        <v>26.195640999999998</v>
      </c>
      <c r="Z8">
        <v>26.263983</v>
      </c>
      <c r="AA8">
        <v>26.487915000000001</v>
      </c>
      <c r="AB8">
        <v>26.585122999999999</v>
      </c>
      <c r="AC8">
        <v>26.597674999999999</v>
      </c>
      <c r="AD8">
        <v>26.824036</v>
      </c>
      <c r="AE8">
        <v>27.082211000000001</v>
      </c>
      <c r="AF8">
        <v>27.180675999999998</v>
      </c>
      <c r="AG8">
        <v>27.386578</v>
      </c>
      <c r="AH8">
        <v>27.415541000000001</v>
      </c>
      <c r="AI8">
        <v>27.337561000000001</v>
      </c>
      <c r="AJ8">
        <v>27.322523</v>
      </c>
      <c r="AK8">
        <v>27.269739000000001</v>
      </c>
      <c r="AL8" s="4">
        <v>8.0000000000000002E-3</v>
      </c>
    </row>
    <row r="9" spans="1:38" x14ac:dyDescent="0.3">
      <c r="A9" t="s">
        <v>364</v>
      </c>
      <c r="B9" t="s">
        <v>442</v>
      </c>
      <c r="C9" t="s">
        <v>443</v>
      </c>
      <c r="D9" t="s">
        <v>438</v>
      </c>
      <c r="G9" s="673">
        <v>10.141716000000001</v>
      </c>
      <c r="H9">
        <v>11.696033999999999</v>
      </c>
      <c r="I9">
        <v>12.122267000000001</v>
      </c>
      <c r="J9">
        <v>11.528950999999999</v>
      </c>
      <c r="K9">
        <v>11.062192</v>
      </c>
      <c r="L9">
        <v>10.771315</v>
      </c>
      <c r="M9">
        <v>10.616778</v>
      </c>
      <c r="N9">
        <v>10.537402</v>
      </c>
      <c r="O9">
        <v>10.646917</v>
      </c>
      <c r="P9">
        <v>10.824576</v>
      </c>
      <c r="Q9">
        <v>10.905098000000001</v>
      </c>
      <c r="R9">
        <v>11.292854999999999</v>
      </c>
      <c r="S9">
        <v>11.340408999999999</v>
      </c>
      <c r="T9">
        <v>11.504001000000001</v>
      </c>
      <c r="U9">
        <v>11.545529</v>
      </c>
      <c r="V9">
        <v>11.504292</v>
      </c>
      <c r="W9">
        <v>11.518138</v>
      </c>
      <c r="X9">
        <v>11.56793</v>
      </c>
      <c r="Y9">
        <v>11.590919</v>
      </c>
      <c r="Z9">
        <v>11.625859</v>
      </c>
      <c r="AA9">
        <v>11.645576999999999</v>
      </c>
      <c r="AB9">
        <v>11.668691000000001</v>
      </c>
      <c r="AC9">
        <v>11.669537999999999</v>
      </c>
      <c r="AD9">
        <v>11.676612</v>
      </c>
      <c r="AE9">
        <v>11.659838000000001</v>
      </c>
      <c r="AF9">
        <v>11.678148</v>
      </c>
      <c r="AG9">
        <v>11.689731999999999</v>
      </c>
      <c r="AH9">
        <v>11.708876</v>
      </c>
      <c r="AI9">
        <v>11.711126999999999</v>
      </c>
      <c r="AJ9">
        <v>11.743321999999999</v>
      </c>
      <c r="AK9">
        <v>11.754727000000001</v>
      </c>
      <c r="AL9" s="4">
        <v>0</v>
      </c>
    </row>
    <row r="10" spans="1:38" x14ac:dyDescent="0.3">
      <c r="A10" t="s">
        <v>444</v>
      </c>
      <c r="B10" t="s">
        <v>445</v>
      </c>
      <c r="C10" t="s">
        <v>446</v>
      </c>
      <c r="D10" t="s">
        <v>438</v>
      </c>
      <c r="G10" s="673">
        <v>35.773701000000003</v>
      </c>
      <c r="H10">
        <v>38.700668</v>
      </c>
      <c r="I10">
        <v>38.683822999999997</v>
      </c>
      <c r="J10">
        <v>38.432938</v>
      </c>
      <c r="K10">
        <v>37.651206999999999</v>
      </c>
      <c r="L10">
        <v>37.503177999999998</v>
      </c>
      <c r="M10">
        <v>37.488925999999999</v>
      </c>
      <c r="N10">
        <v>37.613093999999997</v>
      </c>
      <c r="O10">
        <v>37.781944000000003</v>
      </c>
      <c r="P10">
        <v>37.945563999999997</v>
      </c>
      <c r="Q10">
        <v>38.048110999999999</v>
      </c>
      <c r="R10">
        <v>38.221657</v>
      </c>
      <c r="S10">
        <v>38.355888</v>
      </c>
      <c r="T10">
        <v>38.605601999999998</v>
      </c>
      <c r="U10">
        <v>38.787815000000002</v>
      </c>
      <c r="V10">
        <v>38.625796999999999</v>
      </c>
      <c r="W10">
        <v>38.582565000000002</v>
      </c>
      <c r="X10">
        <v>38.429538999999998</v>
      </c>
      <c r="Y10">
        <v>38.274307</v>
      </c>
      <c r="Z10">
        <v>38.310004999999997</v>
      </c>
      <c r="AA10">
        <v>38.323188999999999</v>
      </c>
      <c r="AB10">
        <v>38.228904999999997</v>
      </c>
      <c r="AC10">
        <v>38.248519999999999</v>
      </c>
      <c r="AD10">
        <v>38.184238000000001</v>
      </c>
      <c r="AE10">
        <v>37.968781</v>
      </c>
      <c r="AF10">
        <v>37.999619000000003</v>
      </c>
      <c r="AG10">
        <v>37.961509999999997</v>
      </c>
      <c r="AH10">
        <v>37.890331000000003</v>
      </c>
      <c r="AI10">
        <v>37.947651</v>
      </c>
      <c r="AJ10">
        <v>37.872601000000003</v>
      </c>
      <c r="AK10">
        <v>37.628974999999997</v>
      </c>
      <c r="AL10" s="4">
        <v>-1E-3</v>
      </c>
    </row>
    <row r="11" spans="1:38" x14ac:dyDescent="0.3">
      <c r="A11" t="s">
        <v>447</v>
      </c>
      <c r="C11" t="s">
        <v>448</v>
      </c>
    </row>
    <row r="12" spans="1:38" x14ac:dyDescent="0.3">
      <c r="A12" t="s">
        <v>435</v>
      </c>
      <c r="B12" t="s">
        <v>449</v>
      </c>
      <c r="C12" t="s">
        <v>450</v>
      </c>
      <c r="D12" t="s">
        <v>438</v>
      </c>
      <c r="G12" s="673">
        <v>12.770180999999999</v>
      </c>
      <c r="H12">
        <v>18.792190999999999</v>
      </c>
      <c r="I12">
        <v>19.809529999999999</v>
      </c>
      <c r="J12">
        <v>18.257662</v>
      </c>
      <c r="K12">
        <v>18.183163</v>
      </c>
      <c r="L12">
        <v>18.057451</v>
      </c>
      <c r="M12">
        <v>18.189558000000002</v>
      </c>
      <c r="N12">
        <v>18.576150999999999</v>
      </c>
      <c r="O12">
        <v>19.119900000000001</v>
      </c>
      <c r="P12">
        <v>19.492462</v>
      </c>
      <c r="Q12">
        <v>19.874980999999998</v>
      </c>
      <c r="R12">
        <v>20.462526</v>
      </c>
      <c r="S12">
        <v>20.742450999999999</v>
      </c>
      <c r="T12">
        <v>21.043579000000001</v>
      </c>
      <c r="U12">
        <v>21.208525000000002</v>
      </c>
      <c r="V12">
        <v>21.319336</v>
      </c>
      <c r="W12">
        <v>21.465392999999999</v>
      </c>
      <c r="X12">
        <v>21.652833999999999</v>
      </c>
      <c r="Y12">
        <v>21.827095</v>
      </c>
      <c r="Z12">
        <v>21.916900999999999</v>
      </c>
      <c r="AA12">
        <v>22.189544999999999</v>
      </c>
      <c r="AB12">
        <v>22.361315000000001</v>
      </c>
      <c r="AC12">
        <v>22.384726000000001</v>
      </c>
      <c r="AD12">
        <v>22.552931000000001</v>
      </c>
      <c r="AE12">
        <v>22.760984000000001</v>
      </c>
      <c r="AF12">
        <v>22.800674000000001</v>
      </c>
      <c r="AG12">
        <v>22.901783000000002</v>
      </c>
      <c r="AH12">
        <v>22.971985</v>
      </c>
      <c r="AI12">
        <v>23.008396000000001</v>
      </c>
      <c r="AJ12">
        <v>22.989201999999999</v>
      </c>
      <c r="AK12">
        <v>22.964268000000001</v>
      </c>
      <c r="AL12" s="4">
        <v>7.0000000000000001E-3</v>
      </c>
    </row>
    <row r="13" spans="1:38" x14ac:dyDescent="0.3">
      <c r="A13" t="s">
        <v>439</v>
      </c>
      <c r="B13" t="s">
        <v>451</v>
      </c>
      <c r="C13" t="s">
        <v>452</v>
      </c>
      <c r="D13" t="s">
        <v>438</v>
      </c>
      <c r="G13" s="673">
        <v>17.825056</v>
      </c>
      <c r="H13">
        <v>21.78829</v>
      </c>
      <c r="I13">
        <v>22.115819999999999</v>
      </c>
      <c r="J13">
        <v>20.636704999999999</v>
      </c>
      <c r="K13">
        <v>20.993441000000001</v>
      </c>
      <c r="L13">
        <v>20.442965999999998</v>
      </c>
      <c r="M13">
        <v>19.930320999999999</v>
      </c>
      <c r="N13">
        <v>19.514250000000001</v>
      </c>
      <c r="O13">
        <v>19.704723000000001</v>
      </c>
      <c r="P13">
        <v>19.820495999999999</v>
      </c>
      <c r="Q13">
        <v>19.787199000000001</v>
      </c>
      <c r="R13">
        <v>20.375021</v>
      </c>
      <c r="S13">
        <v>20.484597999999998</v>
      </c>
      <c r="T13">
        <v>20.597963</v>
      </c>
      <c r="U13">
        <v>20.651478000000001</v>
      </c>
      <c r="V13">
        <v>20.744743</v>
      </c>
      <c r="W13">
        <v>20.917337</v>
      </c>
      <c r="X13">
        <v>21.135960000000001</v>
      </c>
      <c r="Y13">
        <v>21.267199999999999</v>
      </c>
      <c r="Z13">
        <v>21.335659</v>
      </c>
      <c r="AA13">
        <v>21.542604000000001</v>
      </c>
      <c r="AB13">
        <v>21.646664000000001</v>
      </c>
      <c r="AC13">
        <v>21.662783000000001</v>
      </c>
      <c r="AD13">
        <v>21.908173000000001</v>
      </c>
      <c r="AE13">
        <v>22.184066999999999</v>
      </c>
      <c r="AF13">
        <v>22.29073</v>
      </c>
      <c r="AG13">
        <v>22.481456999999999</v>
      </c>
      <c r="AH13">
        <v>22.526695</v>
      </c>
      <c r="AI13">
        <v>22.467545000000001</v>
      </c>
      <c r="AJ13">
        <v>22.446536999999999</v>
      </c>
      <c r="AK13">
        <v>22.373821</v>
      </c>
      <c r="AL13" s="4">
        <v>1E-3</v>
      </c>
    </row>
    <row r="14" spans="1:38" x14ac:dyDescent="0.3">
      <c r="A14" t="s">
        <v>453</v>
      </c>
      <c r="B14" t="s">
        <v>454</v>
      </c>
      <c r="C14" t="s">
        <v>455</v>
      </c>
      <c r="D14" t="s">
        <v>438</v>
      </c>
      <c r="G14" s="673">
        <v>5.2465200000000003</v>
      </c>
      <c r="H14">
        <v>6.4996479999999996</v>
      </c>
      <c r="I14">
        <v>7.5450480000000004</v>
      </c>
      <c r="J14">
        <v>7.6690589999999998</v>
      </c>
      <c r="K14">
        <v>9.0069090000000003</v>
      </c>
      <c r="L14">
        <v>9.5448090000000008</v>
      </c>
      <c r="M14">
        <v>10.125247</v>
      </c>
      <c r="N14">
        <v>10.896315</v>
      </c>
      <c r="O14">
        <v>11.102005999999999</v>
      </c>
      <c r="P14">
        <v>11.199668000000001</v>
      </c>
      <c r="Q14">
        <v>11.354663</v>
      </c>
      <c r="R14">
        <v>11.535468</v>
      </c>
      <c r="S14">
        <v>11.67625</v>
      </c>
      <c r="T14">
        <v>11.796419</v>
      </c>
      <c r="U14">
        <v>11.807185</v>
      </c>
      <c r="V14">
        <v>11.825611</v>
      </c>
      <c r="W14">
        <v>11.775805999999999</v>
      </c>
      <c r="X14">
        <v>11.753822</v>
      </c>
      <c r="Y14">
        <v>11.954192000000001</v>
      </c>
      <c r="Z14">
        <v>11.781597</v>
      </c>
      <c r="AA14">
        <v>12.306820999999999</v>
      </c>
      <c r="AB14">
        <v>12.479194</v>
      </c>
      <c r="AC14">
        <v>12.620229999999999</v>
      </c>
      <c r="AD14">
        <v>12.992585</v>
      </c>
      <c r="AE14">
        <v>13.26746</v>
      </c>
      <c r="AF14">
        <v>13.359688999999999</v>
      </c>
      <c r="AG14">
        <v>13.507016</v>
      </c>
      <c r="AH14">
        <v>13.623084</v>
      </c>
      <c r="AI14">
        <v>13.529958000000001</v>
      </c>
      <c r="AJ14">
        <v>13.586679999999999</v>
      </c>
      <c r="AK14">
        <v>13.502329</v>
      </c>
      <c r="AL14" s="4">
        <v>2.5999999999999999E-2</v>
      </c>
    </row>
    <row r="15" spans="1:38" x14ac:dyDescent="0.3">
      <c r="A15" t="s">
        <v>364</v>
      </c>
      <c r="B15" t="s">
        <v>456</v>
      </c>
      <c r="C15" t="s">
        <v>457</v>
      </c>
      <c r="D15" t="s">
        <v>438</v>
      </c>
      <c r="G15" s="673">
        <v>7.2274659999999997</v>
      </c>
      <c r="H15">
        <v>8.4290780000000005</v>
      </c>
      <c r="I15">
        <v>8.7850509999999993</v>
      </c>
      <c r="J15">
        <v>8.5034050000000008</v>
      </c>
      <c r="K15">
        <v>8.2049640000000004</v>
      </c>
      <c r="L15">
        <v>8.0622430000000005</v>
      </c>
      <c r="M15">
        <v>8.0419160000000005</v>
      </c>
      <c r="N15">
        <v>8.0816490000000005</v>
      </c>
      <c r="O15">
        <v>8.1778670000000009</v>
      </c>
      <c r="P15">
        <v>8.3321850000000008</v>
      </c>
      <c r="Q15">
        <v>8.3954400000000007</v>
      </c>
      <c r="R15">
        <v>8.6591430000000003</v>
      </c>
      <c r="S15">
        <v>8.672523</v>
      </c>
      <c r="T15">
        <v>8.7959219999999991</v>
      </c>
      <c r="U15">
        <v>8.822559</v>
      </c>
      <c r="V15">
        <v>8.7731969999999997</v>
      </c>
      <c r="W15">
        <v>8.7777849999999997</v>
      </c>
      <c r="X15">
        <v>8.8182010000000002</v>
      </c>
      <c r="Y15">
        <v>8.8345149999999997</v>
      </c>
      <c r="Z15">
        <v>8.8616349999999997</v>
      </c>
      <c r="AA15">
        <v>8.8764509999999994</v>
      </c>
      <c r="AB15">
        <v>8.8914580000000001</v>
      </c>
      <c r="AC15">
        <v>8.8864599999999996</v>
      </c>
      <c r="AD15">
        <v>8.8893559999999994</v>
      </c>
      <c r="AE15">
        <v>8.8661530000000006</v>
      </c>
      <c r="AF15">
        <v>8.8772649999999995</v>
      </c>
      <c r="AG15">
        <v>8.8843399999999999</v>
      </c>
      <c r="AH15">
        <v>8.8981619999999992</v>
      </c>
      <c r="AI15">
        <v>8.8989390000000004</v>
      </c>
      <c r="AJ15">
        <v>8.9271860000000007</v>
      </c>
      <c r="AK15">
        <v>8.9351079999999996</v>
      </c>
      <c r="AL15" s="4">
        <v>2E-3</v>
      </c>
    </row>
    <row r="16" spans="1:38" x14ac:dyDescent="0.3">
      <c r="A16" t="s">
        <v>444</v>
      </c>
      <c r="B16" t="s">
        <v>458</v>
      </c>
      <c r="C16" t="s">
        <v>459</v>
      </c>
      <c r="D16" t="s">
        <v>438</v>
      </c>
      <c r="G16" s="673">
        <v>31.325308</v>
      </c>
      <c r="H16">
        <v>33.181457999999999</v>
      </c>
      <c r="I16">
        <v>33.079517000000003</v>
      </c>
      <c r="J16">
        <v>32.241329</v>
      </c>
      <c r="K16">
        <v>31.373341</v>
      </c>
      <c r="L16">
        <v>31.228542000000001</v>
      </c>
      <c r="M16">
        <v>31.141624</v>
      </c>
      <c r="N16">
        <v>31.166391000000001</v>
      </c>
      <c r="O16">
        <v>31.216602000000002</v>
      </c>
      <c r="P16">
        <v>31.271526000000001</v>
      </c>
      <c r="Q16">
        <v>31.261889</v>
      </c>
      <c r="R16">
        <v>31.351849000000001</v>
      </c>
      <c r="S16">
        <v>31.330065000000001</v>
      </c>
      <c r="T16">
        <v>31.495197000000001</v>
      </c>
      <c r="U16">
        <v>31.566262999999999</v>
      </c>
      <c r="V16">
        <v>31.310928000000001</v>
      </c>
      <c r="W16">
        <v>31.178249000000001</v>
      </c>
      <c r="X16">
        <v>30.962544999999999</v>
      </c>
      <c r="Y16">
        <v>30.724557999999998</v>
      </c>
      <c r="Z16">
        <v>30.725908</v>
      </c>
      <c r="AA16">
        <v>30.665172999999999</v>
      </c>
      <c r="AB16">
        <v>30.47064</v>
      </c>
      <c r="AC16">
        <v>30.415310000000002</v>
      </c>
      <c r="AD16">
        <v>30.327311000000002</v>
      </c>
      <c r="AE16">
        <v>30.021035999999999</v>
      </c>
      <c r="AF16">
        <v>30.000523000000001</v>
      </c>
      <c r="AG16">
        <v>29.920864000000002</v>
      </c>
      <c r="AH16">
        <v>29.756823000000001</v>
      </c>
      <c r="AI16">
        <v>29.778970999999999</v>
      </c>
      <c r="AJ16">
        <v>29.682814</v>
      </c>
      <c r="AK16">
        <v>29.405483</v>
      </c>
      <c r="AL16" s="4">
        <v>-4.0000000000000001E-3</v>
      </c>
    </row>
    <row r="17" spans="1:38" x14ac:dyDescent="0.3">
      <c r="A17" t="s">
        <v>460</v>
      </c>
      <c r="C17" t="s">
        <v>461</v>
      </c>
    </row>
    <row r="18" spans="1:38" x14ac:dyDescent="0.3">
      <c r="A18" t="s">
        <v>435</v>
      </c>
      <c r="B18" t="s">
        <v>462</v>
      </c>
      <c r="C18" t="s">
        <v>463</v>
      </c>
      <c r="D18" t="s">
        <v>438</v>
      </c>
      <c r="G18" s="673">
        <v>7.6224270000000001</v>
      </c>
      <c r="H18">
        <v>13.641980999999999</v>
      </c>
      <c r="I18">
        <v>14.473858</v>
      </c>
      <c r="J18">
        <v>12.690697999999999</v>
      </c>
      <c r="K18">
        <v>12.673787000000001</v>
      </c>
      <c r="L18">
        <v>12.554607000000001</v>
      </c>
      <c r="M18">
        <v>12.704503000000001</v>
      </c>
      <c r="N18">
        <v>13.113276000000001</v>
      </c>
      <c r="O18">
        <v>13.681419999999999</v>
      </c>
      <c r="P18">
        <v>14.057202</v>
      </c>
      <c r="Q18">
        <v>14.454497</v>
      </c>
      <c r="R18">
        <v>14.81035</v>
      </c>
      <c r="S18">
        <v>15.10299</v>
      </c>
      <c r="T18">
        <v>15.386189</v>
      </c>
      <c r="U18">
        <v>15.557034</v>
      </c>
      <c r="V18">
        <v>15.672611</v>
      </c>
      <c r="W18">
        <v>15.832416</v>
      </c>
      <c r="X18">
        <v>16.038618</v>
      </c>
      <c r="Y18">
        <v>16.228031000000001</v>
      </c>
      <c r="Z18">
        <v>16.321314000000001</v>
      </c>
      <c r="AA18">
        <v>16.630306000000001</v>
      </c>
      <c r="AB18">
        <v>16.814444000000002</v>
      </c>
      <c r="AC18">
        <v>16.831151999999999</v>
      </c>
      <c r="AD18">
        <v>17.024878000000001</v>
      </c>
      <c r="AE18">
        <v>17.258876999999998</v>
      </c>
      <c r="AF18">
        <v>17.293581</v>
      </c>
      <c r="AG18">
        <v>17.409196999999999</v>
      </c>
      <c r="AH18">
        <v>17.486640999999999</v>
      </c>
      <c r="AI18">
        <v>17.525883</v>
      </c>
      <c r="AJ18">
        <v>17.502065999999999</v>
      </c>
      <c r="AK18">
        <v>17.474976999999999</v>
      </c>
      <c r="AL18" s="4">
        <v>8.9999999999999993E-3</v>
      </c>
    </row>
    <row r="19" spans="1:38" x14ac:dyDescent="0.3">
      <c r="A19" t="s">
        <v>439</v>
      </c>
      <c r="B19" t="s">
        <v>464</v>
      </c>
      <c r="C19" t="s">
        <v>465</v>
      </c>
      <c r="D19" t="s">
        <v>438</v>
      </c>
      <c r="G19" s="673">
        <v>17.750848999999999</v>
      </c>
      <c r="H19">
        <v>21.717592</v>
      </c>
      <c r="I19">
        <v>22.039539000000001</v>
      </c>
      <c r="J19">
        <v>20.641483000000001</v>
      </c>
      <c r="K19">
        <v>20.962847</v>
      </c>
      <c r="L19">
        <v>20.404408</v>
      </c>
      <c r="M19">
        <v>19.875136999999999</v>
      </c>
      <c r="N19">
        <v>19.434904</v>
      </c>
      <c r="O19">
        <v>19.630016000000001</v>
      </c>
      <c r="P19">
        <v>19.755396000000001</v>
      </c>
      <c r="Q19">
        <v>19.726908000000002</v>
      </c>
      <c r="R19">
        <v>20.012304</v>
      </c>
      <c r="S19">
        <v>20.121642999999999</v>
      </c>
      <c r="T19">
        <v>20.205687000000001</v>
      </c>
      <c r="U19">
        <v>20.256615</v>
      </c>
      <c r="V19">
        <v>20.359558</v>
      </c>
      <c r="W19">
        <v>20.540993</v>
      </c>
      <c r="X19">
        <v>20.765974</v>
      </c>
      <c r="Y19">
        <v>20.902947999999999</v>
      </c>
      <c r="Z19">
        <v>20.978275</v>
      </c>
      <c r="AA19">
        <v>21.181328000000001</v>
      </c>
      <c r="AB19">
        <v>21.295487999999999</v>
      </c>
      <c r="AC19">
        <v>21.316614000000001</v>
      </c>
      <c r="AD19">
        <v>21.578562000000002</v>
      </c>
      <c r="AE19">
        <v>21.864398999999999</v>
      </c>
      <c r="AF19">
        <v>21.975715999999998</v>
      </c>
      <c r="AG19">
        <v>22.162797999999999</v>
      </c>
      <c r="AH19">
        <v>22.218653</v>
      </c>
      <c r="AI19">
        <v>22.172478000000002</v>
      </c>
      <c r="AJ19">
        <v>22.151848000000001</v>
      </c>
      <c r="AK19">
        <v>22.079557000000001</v>
      </c>
      <c r="AL19" s="4">
        <v>1E-3</v>
      </c>
    </row>
    <row r="20" spans="1:38" x14ac:dyDescent="0.3">
      <c r="A20" t="s">
        <v>453</v>
      </c>
      <c r="B20" t="s">
        <v>466</v>
      </c>
      <c r="C20" t="s">
        <v>467</v>
      </c>
      <c r="D20" t="s">
        <v>438</v>
      </c>
      <c r="G20" s="673">
        <v>5.4227220000000003</v>
      </c>
      <c r="H20">
        <v>7.0809300000000004</v>
      </c>
      <c r="I20">
        <v>8.2805689999999998</v>
      </c>
      <c r="J20">
        <v>8.6274110000000004</v>
      </c>
      <c r="K20">
        <v>10.170450000000001</v>
      </c>
      <c r="L20">
        <v>10.904265000000001</v>
      </c>
      <c r="M20">
        <v>11.724563</v>
      </c>
      <c r="N20">
        <v>12.707344000000001</v>
      </c>
      <c r="O20">
        <v>12.934339</v>
      </c>
      <c r="P20">
        <v>13.054074</v>
      </c>
      <c r="Q20">
        <v>13.224273999999999</v>
      </c>
      <c r="R20">
        <v>13.425761</v>
      </c>
      <c r="S20">
        <v>13.580392</v>
      </c>
      <c r="T20">
        <v>13.715005</v>
      </c>
      <c r="U20">
        <v>13.739121000000001</v>
      </c>
      <c r="V20">
        <v>13.774988</v>
      </c>
      <c r="W20">
        <v>13.73387</v>
      </c>
      <c r="X20">
        <v>13.700761</v>
      </c>
      <c r="Y20">
        <v>13.938072999999999</v>
      </c>
      <c r="Z20">
        <v>13.809683</v>
      </c>
      <c r="AA20">
        <v>14.32342</v>
      </c>
      <c r="AB20">
        <v>14.502770999999999</v>
      </c>
      <c r="AC20">
        <v>14.646573</v>
      </c>
      <c r="AD20">
        <v>15.016595000000001</v>
      </c>
      <c r="AE20">
        <v>15.268723</v>
      </c>
      <c r="AF20">
        <v>15.355473</v>
      </c>
      <c r="AG20">
        <v>15.52731</v>
      </c>
      <c r="AH20">
        <v>15.604209000000001</v>
      </c>
      <c r="AI20">
        <v>15.572099</v>
      </c>
      <c r="AJ20">
        <v>15.601445</v>
      </c>
      <c r="AK20">
        <v>15.553457</v>
      </c>
      <c r="AL20" s="4">
        <v>2.8000000000000001E-2</v>
      </c>
    </row>
    <row r="21" spans="1:38" x14ac:dyDescent="0.3">
      <c r="A21" t="s">
        <v>364</v>
      </c>
      <c r="B21" t="s">
        <v>468</v>
      </c>
      <c r="C21" t="s">
        <v>469</v>
      </c>
      <c r="D21" t="s">
        <v>438</v>
      </c>
      <c r="G21" s="673">
        <v>3.0610119999999998</v>
      </c>
      <c r="H21">
        <v>5.058338</v>
      </c>
      <c r="I21">
        <v>4.8437520000000003</v>
      </c>
      <c r="J21">
        <v>4.5386829999999998</v>
      </c>
      <c r="K21">
        <v>4.209384</v>
      </c>
      <c r="L21">
        <v>4.0375170000000002</v>
      </c>
      <c r="M21">
        <v>4.0147069999999996</v>
      </c>
      <c r="N21">
        <v>4.0930689999999998</v>
      </c>
      <c r="O21">
        <v>4.2376550000000002</v>
      </c>
      <c r="P21">
        <v>4.3584199999999997</v>
      </c>
      <c r="Q21">
        <v>4.4436090000000004</v>
      </c>
      <c r="R21">
        <v>4.4874809999999998</v>
      </c>
      <c r="S21">
        <v>4.5111030000000003</v>
      </c>
      <c r="T21">
        <v>4.5799029999999998</v>
      </c>
      <c r="U21">
        <v>4.5750729999999997</v>
      </c>
      <c r="V21">
        <v>4.555599</v>
      </c>
      <c r="W21">
        <v>4.5583809999999998</v>
      </c>
      <c r="X21">
        <v>4.5741949999999996</v>
      </c>
      <c r="Y21">
        <v>4.5830659999999996</v>
      </c>
      <c r="Z21">
        <v>4.5871269999999997</v>
      </c>
      <c r="AA21">
        <v>4.6105159999999996</v>
      </c>
      <c r="AB21">
        <v>4.6173349999999997</v>
      </c>
      <c r="AC21">
        <v>4.5962500000000004</v>
      </c>
      <c r="AD21">
        <v>4.5913380000000004</v>
      </c>
      <c r="AE21">
        <v>4.5461539999999996</v>
      </c>
      <c r="AF21">
        <v>4.5336100000000004</v>
      </c>
      <c r="AG21">
        <v>4.5259549999999997</v>
      </c>
      <c r="AH21">
        <v>4.5232239999999999</v>
      </c>
      <c r="AI21">
        <v>4.5260439999999997</v>
      </c>
      <c r="AJ21">
        <v>4.5164429999999998</v>
      </c>
      <c r="AK21">
        <v>4.5123629999999997</v>
      </c>
      <c r="AL21" s="4">
        <v>-4.0000000000000001E-3</v>
      </c>
    </row>
    <row r="22" spans="1:38" x14ac:dyDescent="0.3">
      <c r="A22" t="s">
        <v>470</v>
      </c>
      <c r="B22" t="s">
        <v>471</v>
      </c>
      <c r="C22" t="s">
        <v>472</v>
      </c>
      <c r="D22" t="s">
        <v>438</v>
      </c>
      <c r="G22" s="673">
        <v>4.01729</v>
      </c>
      <c r="H22">
        <v>3.9200170000000001</v>
      </c>
      <c r="I22">
        <v>3.520448</v>
      </c>
      <c r="J22">
        <v>3.3495240000000002</v>
      </c>
      <c r="K22">
        <v>3.1881349999999999</v>
      </c>
      <c r="L22">
        <v>3.096409</v>
      </c>
      <c r="M22">
        <v>3.03288</v>
      </c>
      <c r="N22">
        <v>3.0056090000000002</v>
      </c>
      <c r="O22">
        <v>3.0067390000000001</v>
      </c>
      <c r="P22">
        <v>3.0179010000000002</v>
      </c>
      <c r="Q22">
        <v>3.0464850000000001</v>
      </c>
      <c r="R22">
        <v>3.0680510000000001</v>
      </c>
      <c r="S22">
        <v>3.100158</v>
      </c>
      <c r="T22">
        <v>3.1251690000000001</v>
      </c>
      <c r="U22">
        <v>3.1477789999999999</v>
      </c>
      <c r="V22">
        <v>3.1733889999999998</v>
      </c>
      <c r="W22">
        <v>3.20092</v>
      </c>
      <c r="X22">
        <v>3.2328570000000001</v>
      </c>
      <c r="Y22">
        <v>3.2593830000000001</v>
      </c>
      <c r="Z22">
        <v>3.2843460000000002</v>
      </c>
      <c r="AA22">
        <v>3.312316</v>
      </c>
      <c r="AB22">
        <v>3.3372099999999998</v>
      </c>
      <c r="AC22">
        <v>3.3597380000000001</v>
      </c>
      <c r="AD22">
        <v>3.3827820000000002</v>
      </c>
      <c r="AE22">
        <v>3.4101669999999999</v>
      </c>
      <c r="AF22">
        <v>3.4379360000000001</v>
      </c>
      <c r="AG22">
        <v>3.4673980000000002</v>
      </c>
      <c r="AH22">
        <v>3.493941</v>
      </c>
      <c r="AI22">
        <v>3.5140889999999998</v>
      </c>
      <c r="AJ22">
        <v>3.5360510000000001</v>
      </c>
      <c r="AK22">
        <v>3.5649459999999999</v>
      </c>
      <c r="AL22" s="4">
        <v>-3.0000000000000001E-3</v>
      </c>
    </row>
    <row r="23" spans="1:38" x14ac:dyDescent="0.3">
      <c r="A23" t="s">
        <v>473</v>
      </c>
      <c r="B23" t="s">
        <v>474</v>
      </c>
      <c r="C23" t="s">
        <v>475</v>
      </c>
      <c r="D23" t="s">
        <v>438</v>
      </c>
      <c r="G23" s="673">
        <v>2.821307</v>
      </c>
      <c r="H23">
        <v>2.6913619999999998</v>
      </c>
      <c r="I23">
        <v>2.6784919999999999</v>
      </c>
      <c r="J23">
        <v>2.687243</v>
      </c>
      <c r="K23">
        <v>2.6920799999999998</v>
      </c>
      <c r="L23">
        <v>2.6904690000000002</v>
      </c>
      <c r="M23">
        <v>2.679824</v>
      </c>
      <c r="N23">
        <v>2.6693829999999998</v>
      </c>
      <c r="O23">
        <v>2.6692969999999998</v>
      </c>
      <c r="P23">
        <v>2.669826</v>
      </c>
      <c r="Q23">
        <v>2.6714820000000001</v>
      </c>
      <c r="R23">
        <v>2.6752500000000001</v>
      </c>
      <c r="S23">
        <v>2.6778050000000002</v>
      </c>
      <c r="T23">
        <v>2.681765</v>
      </c>
      <c r="U23">
        <v>2.6836820000000001</v>
      </c>
      <c r="V23">
        <v>2.6802320000000002</v>
      </c>
      <c r="W23">
        <v>2.6780460000000001</v>
      </c>
      <c r="X23">
        <v>2.6773039999999999</v>
      </c>
      <c r="Y23">
        <v>2.684161</v>
      </c>
      <c r="Z23">
        <v>2.6877710000000001</v>
      </c>
      <c r="AA23">
        <v>2.6928589999999999</v>
      </c>
      <c r="AB23">
        <v>2.6985399999999999</v>
      </c>
      <c r="AC23">
        <v>2.694407</v>
      </c>
      <c r="AD23">
        <v>2.6979850000000001</v>
      </c>
      <c r="AE23">
        <v>2.7035749999999998</v>
      </c>
      <c r="AF23">
        <v>2.7096719999999999</v>
      </c>
      <c r="AG23">
        <v>2.714696</v>
      </c>
      <c r="AH23">
        <v>2.7177090000000002</v>
      </c>
      <c r="AI23">
        <v>2.7195010000000002</v>
      </c>
      <c r="AJ23">
        <v>2.7240500000000001</v>
      </c>
      <c r="AK23">
        <v>2.728364</v>
      </c>
      <c r="AL23" s="4">
        <v>0</v>
      </c>
    </row>
    <row r="24" spans="1:38" x14ac:dyDescent="0.3">
      <c r="A24" t="s">
        <v>476</v>
      </c>
      <c r="B24" t="s">
        <v>477</v>
      </c>
      <c r="C24" t="s">
        <v>478</v>
      </c>
      <c r="D24" t="s">
        <v>438</v>
      </c>
      <c r="G24" s="673">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t="s">
        <v>479</v>
      </c>
    </row>
    <row r="25" spans="1:38" x14ac:dyDescent="0.3">
      <c r="A25" t="s">
        <v>444</v>
      </c>
      <c r="B25" t="s">
        <v>480</v>
      </c>
      <c r="C25" t="s">
        <v>481</v>
      </c>
      <c r="D25" t="s">
        <v>438</v>
      </c>
      <c r="G25" s="673">
        <v>20.713954999999999</v>
      </c>
      <c r="H25">
        <v>21.928906999999999</v>
      </c>
      <c r="I25">
        <v>21.733944000000001</v>
      </c>
      <c r="J25">
        <v>20.806636999999998</v>
      </c>
      <c r="K25">
        <v>20.106590000000001</v>
      </c>
      <c r="L25">
        <v>19.872136999999999</v>
      </c>
      <c r="M25">
        <v>19.646685000000002</v>
      </c>
      <c r="N25">
        <v>19.638335999999999</v>
      </c>
      <c r="O25">
        <v>19.723905999999999</v>
      </c>
      <c r="P25">
        <v>19.746979</v>
      </c>
      <c r="Q25">
        <v>19.778036</v>
      </c>
      <c r="R25">
        <v>19.792736000000001</v>
      </c>
      <c r="S25">
        <v>19.816956000000001</v>
      </c>
      <c r="T25">
        <v>19.859048999999999</v>
      </c>
      <c r="U25">
        <v>19.875495999999998</v>
      </c>
      <c r="V25">
        <v>19.709748999999999</v>
      </c>
      <c r="W25">
        <v>19.657364000000001</v>
      </c>
      <c r="X25">
        <v>19.516327</v>
      </c>
      <c r="Y25">
        <v>19.411086999999998</v>
      </c>
      <c r="Z25">
        <v>19.374485</v>
      </c>
      <c r="AA25">
        <v>19.334475000000001</v>
      </c>
      <c r="AB25">
        <v>19.258859999999999</v>
      </c>
      <c r="AC25">
        <v>19.185390000000002</v>
      </c>
      <c r="AD25">
        <v>19.08062</v>
      </c>
      <c r="AE25">
        <v>18.929935</v>
      </c>
      <c r="AF25">
        <v>18.866458999999999</v>
      </c>
      <c r="AG25">
        <v>18.805063000000001</v>
      </c>
      <c r="AH25">
        <v>18.745100000000001</v>
      </c>
      <c r="AI25">
        <v>18.726257</v>
      </c>
      <c r="AJ25">
        <v>18.667366000000001</v>
      </c>
      <c r="AK25">
        <v>18.553787</v>
      </c>
      <c r="AL25" s="4">
        <v>-6.0000000000000001E-3</v>
      </c>
    </row>
    <row r="26" spans="1:38" x14ac:dyDescent="0.3">
      <c r="A26" t="s">
        <v>482</v>
      </c>
      <c r="C26" t="s">
        <v>483</v>
      </c>
    </row>
    <row r="27" spans="1:38" x14ac:dyDescent="0.3">
      <c r="A27" t="s">
        <v>435</v>
      </c>
      <c r="B27" t="s">
        <v>484</v>
      </c>
      <c r="C27" t="s">
        <v>485</v>
      </c>
      <c r="D27" t="s">
        <v>438</v>
      </c>
      <c r="G27" s="673">
        <v>11.987021</v>
      </c>
      <c r="H27">
        <v>17.743065000000001</v>
      </c>
      <c r="I27">
        <v>18.353211999999999</v>
      </c>
      <c r="J27">
        <v>16.844335999999998</v>
      </c>
      <c r="K27">
        <v>16.846771</v>
      </c>
      <c r="L27">
        <v>16.747129000000001</v>
      </c>
      <c r="M27">
        <v>16.877106000000001</v>
      </c>
      <c r="N27">
        <v>17.222747999999999</v>
      </c>
      <c r="O27">
        <v>17.693674000000001</v>
      </c>
      <c r="P27">
        <v>17.996701999999999</v>
      </c>
      <c r="Q27">
        <v>18.316544</v>
      </c>
      <c r="R27">
        <v>18.937857000000001</v>
      </c>
      <c r="S27">
        <v>19.167159999999999</v>
      </c>
      <c r="T27">
        <v>19.435755</v>
      </c>
      <c r="U27">
        <v>19.566013000000002</v>
      </c>
      <c r="V27">
        <v>19.653292</v>
      </c>
      <c r="W27">
        <v>19.776052</v>
      </c>
      <c r="X27">
        <v>19.934294000000001</v>
      </c>
      <c r="Y27">
        <v>20.078189999999999</v>
      </c>
      <c r="Z27">
        <v>20.146626999999999</v>
      </c>
      <c r="AA27">
        <v>20.383576999999999</v>
      </c>
      <c r="AB27">
        <v>20.520250000000001</v>
      </c>
      <c r="AC27">
        <v>20.528459999999999</v>
      </c>
      <c r="AD27">
        <v>20.675032000000002</v>
      </c>
      <c r="AE27">
        <v>20.850231000000001</v>
      </c>
      <c r="AF27">
        <v>20.871931</v>
      </c>
      <c r="AG27">
        <v>20.957460000000001</v>
      </c>
      <c r="AH27">
        <v>21.013263999999999</v>
      </c>
      <c r="AI27">
        <v>21.040365000000001</v>
      </c>
      <c r="AJ27">
        <v>21.019850000000002</v>
      </c>
      <c r="AK27">
        <v>20.997412000000001</v>
      </c>
      <c r="AL27" s="4">
        <v>6.0000000000000001E-3</v>
      </c>
    </row>
    <row r="28" spans="1:38" x14ac:dyDescent="0.3">
      <c r="A28" t="s">
        <v>486</v>
      </c>
      <c r="B28" t="s">
        <v>487</v>
      </c>
      <c r="C28" t="s">
        <v>488</v>
      </c>
      <c r="D28" t="s">
        <v>438</v>
      </c>
      <c r="G28" s="673">
        <v>21.060583000000001</v>
      </c>
      <c r="H28">
        <v>25.695416999999999</v>
      </c>
      <c r="I28">
        <v>25.688790999999998</v>
      </c>
      <c r="J28">
        <v>25.836414000000001</v>
      </c>
      <c r="K28">
        <v>25.612317999999998</v>
      </c>
      <c r="L28">
        <v>25.306771999999999</v>
      </c>
      <c r="M28">
        <v>25.590133999999999</v>
      </c>
      <c r="N28">
        <v>25.919636000000001</v>
      </c>
      <c r="O28">
        <v>26.238963999999999</v>
      </c>
      <c r="P28">
        <v>26.470624999999998</v>
      </c>
      <c r="Q28">
        <v>27.160715</v>
      </c>
      <c r="R28">
        <v>27.897373000000002</v>
      </c>
      <c r="S28">
        <v>28.258593000000001</v>
      </c>
      <c r="T28">
        <v>28.425256999999998</v>
      </c>
      <c r="U28">
        <v>28.903063</v>
      </c>
      <c r="V28">
        <v>29.074985999999999</v>
      </c>
      <c r="W28">
        <v>29.116539</v>
      </c>
      <c r="X28">
        <v>29.250895</v>
      </c>
      <c r="Y28">
        <v>29.627222</v>
      </c>
      <c r="Z28">
        <v>29.616657</v>
      </c>
      <c r="AA28">
        <v>29.849672000000002</v>
      </c>
      <c r="AB28">
        <v>30.063628999999999</v>
      </c>
      <c r="AC28">
        <v>30.083044000000001</v>
      </c>
      <c r="AD28">
        <v>30.376201999999999</v>
      </c>
      <c r="AE28">
        <v>30.671841000000001</v>
      </c>
      <c r="AF28">
        <v>30.775278</v>
      </c>
      <c r="AG28">
        <v>31.038913999999998</v>
      </c>
      <c r="AH28">
        <v>31.145315</v>
      </c>
      <c r="AI28">
        <v>31.068113</v>
      </c>
      <c r="AJ28">
        <v>31.098154000000001</v>
      </c>
      <c r="AK28">
        <v>31.095053</v>
      </c>
      <c r="AL28" s="4">
        <v>7.0000000000000001E-3</v>
      </c>
    </row>
    <row r="29" spans="1:38" x14ac:dyDescent="0.3">
      <c r="A29" t="s">
        <v>489</v>
      </c>
      <c r="B29" t="s">
        <v>490</v>
      </c>
      <c r="C29" t="s">
        <v>491</v>
      </c>
      <c r="D29" t="s">
        <v>438</v>
      </c>
      <c r="G29" s="673">
        <v>18.753333999999999</v>
      </c>
      <c r="H29">
        <v>25.844168</v>
      </c>
      <c r="I29">
        <v>24.781488</v>
      </c>
      <c r="J29">
        <v>22.174645999999999</v>
      </c>
      <c r="K29">
        <v>22.028466999999999</v>
      </c>
      <c r="L29">
        <v>21.806013</v>
      </c>
      <c r="M29">
        <v>22.036182</v>
      </c>
      <c r="N29">
        <v>22.299558999999999</v>
      </c>
      <c r="O29">
        <v>22.540606</v>
      </c>
      <c r="P29">
        <v>22.709772000000001</v>
      </c>
      <c r="Q29">
        <v>23.270976999999998</v>
      </c>
      <c r="R29">
        <v>24.016300000000001</v>
      </c>
      <c r="S29">
        <v>24.260103000000001</v>
      </c>
      <c r="T29">
        <v>24.461062999999999</v>
      </c>
      <c r="U29">
        <v>24.650679</v>
      </c>
      <c r="V29">
        <v>24.743463999999999</v>
      </c>
      <c r="W29">
        <v>24.919360999999999</v>
      </c>
      <c r="X29">
        <v>25.075544000000001</v>
      </c>
      <c r="Y29">
        <v>25.350567000000002</v>
      </c>
      <c r="Z29">
        <v>25.363993000000001</v>
      </c>
      <c r="AA29">
        <v>25.563175000000001</v>
      </c>
      <c r="AB29">
        <v>25.725124000000001</v>
      </c>
      <c r="AC29">
        <v>25.766110999999999</v>
      </c>
      <c r="AD29">
        <v>26.021811</v>
      </c>
      <c r="AE29">
        <v>26.267887000000002</v>
      </c>
      <c r="AF29">
        <v>26.352080999999998</v>
      </c>
      <c r="AG29">
        <v>26.563110000000002</v>
      </c>
      <c r="AH29">
        <v>26.644928</v>
      </c>
      <c r="AI29">
        <v>26.573322000000001</v>
      </c>
      <c r="AJ29">
        <v>26.589043</v>
      </c>
      <c r="AK29">
        <v>26.583838</v>
      </c>
      <c r="AL29" s="4">
        <v>1E-3</v>
      </c>
    </row>
    <row r="30" spans="1:38" x14ac:dyDescent="0.3">
      <c r="A30" t="s">
        <v>492</v>
      </c>
      <c r="B30" t="s">
        <v>493</v>
      </c>
      <c r="C30" t="s">
        <v>494</v>
      </c>
      <c r="D30" t="s">
        <v>438</v>
      </c>
      <c r="G30" s="673">
        <v>9.5686540000000004</v>
      </c>
      <c r="H30">
        <v>14.697266000000001</v>
      </c>
      <c r="I30">
        <v>15.363607</v>
      </c>
      <c r="J30">
        <v>14.341670000000001</v>
      </c>
      <c r="K30">
        <v>15.514149</v>
      </c>
      <c r="L30">
        <v>15.575315</v>
      </c>
      <c r="M30">
        <v>15.722424999999999</v>
      </c>
      <c r="N30">
        <v>16.00432</v>
      </c>
      <c r="O30">
        <v>16.282055</v>
      </c>
      <c r="P30">
        <v>16.451191000000001</v>
      </c>
      <c r="Q30">
        <v>16.394136</v>
      </c>
      <c r="R30">
        <v>16.879512999999999</v>
      </c>
      <c r="S30">
        <v>17.063628999999999</v>
      </c>
      <c r="T30">
        <v>17.174807000000001</v>
      </c>
      <c r="U30">
        <v>17.343786000000001</v>
      </c>
      <c r="V30">
        <v>17.456037999999999</v>
      </c>
      <c r="W30">
        <v>17.653061000000001</v>
      </c>
      <c r="X30">
        <v>17.909936999999999</v>
      </c>
      <c r="Y30">
        <v>18.089289000000001</v>
      </c>
      <c r="Z30">
        <v>18.193235000000001</v>
      </c>
      <c r="AA30">
        <v>18.380554</v>
      </c>
      <c r="AB30">
        <v>18.522734</v>
      </c>
      <c r="AC30">
        <v>18.563686000000001</v>
      </c>
      <c r="AD30">
        <v>18.855331</v>
      </c>
      <c r="AE30">
        <v>19.166589999999999</v>
      </c>
      <c r="AF30">
        <v>19.275404000000002</v>
      </c>
      <c r="AG30">
        <v>19.484832999999998</v>
      </c>
      <c r="AH30">
        <v>19.576267000000001</v>
      </c>
      <c r="AI30">
        <v>19.548249999999999</v>
      </c>
      <c r="AJ30">
        <v>19.589796</v>
      </c>
      <c r="AK30">
        <v>19.531642999999999</v>
      </c>
      <c r="AL30" s="4">
        <v>0.01</v>
      </c>
    </row>
    <row r="31" spans="1:38" x14ac:dyDescent="0.3">
      <c r="A31" t="s">
        <v>495</v>
      </c>
      <c r="B31" t="s">
        <v>496</v>
      </c>
      <c r="C31" t="s">
        <v>497</v>
      </c>
      <c r="D31" t="s">
        <v>438</v>
      </c>
      <c r="G31" s="673">
        <v>18.329231</v>
      </c>
      <c r="H31">
        <v>23.712284</v>
      </c>
      <c r="I31">
        <v>22.80678</v>
      </c>
      <c r="J31">
        <v>21.999676000000001</v>
      </c>
      <c r="K31">
        <v>22.781410000000001</v>
      </c>
      <c r="L31">
        <v>22.755514000000002</v>
      </c>
      <c r="M31">
        <v>22.731127000000001</v>
      </c>
      <c r="N31">
        <v>22.790234000000002</v>
      </c>
      <c r="O31">
        <v>22.969232999999999</v>
      </c>
      <c r="P31">
        <v>23.103688999999999</v>
      </c>
      <c r="Q31">
        <v>23.066965</v>
      </c>
      <c r="R31">
        <v>23.680237000000002</v>
      </c>
      <c r="S31">
        <v>23.777031000000001</v>
      </c>
      <c r="T31">
        <v>23.908148000000001</v>
      </c>
      <c r="U31">
        <v>23.947967999999999</v>
      </c>
      <c r="V31">
        <v>24.047305999999999</v>
      </c>
      <c r="W31">
        <v>24.229137000000001</v>
      </c>
      <c r="X31">
        <v>24.429452999999999</v>
      </c>
      <c r="Y31">
        <v>24.563376999999999</v>
      </c>
      <c r="Z31">
        <v>24.651755999999999</v>
      </c>
      <c r="AA31">
        <v>24.855468999999999</v>
      </c>
      <c r="AB31">
        <v>24.970320000000001</v>
      </c>
      <c r="AC31">
        <v>24.982422</v>
      </c>
      <c r="AD31">
        <v>25.243137000000001</v>
      </c>
      <c r="AE31">
        <v>25.529237999999999</v>
      </c>
      <c r="AF31">
        <v>25.632002</v>
      </c>
      <c r="AG31">
        <v>25.813853999999999</v>
      </c>
      <c r="AH31">
        <v>25.873512000000002</v>
      </c>
      <c r="AI31">
        <v>25.822967999999999</v>
      </c>
      <c r="AJ31">
        <v>25.801915999999999</v>
      </c>
      <c r="AK31">
        <v>25.740952</v>
      </c>
      <c r="AL31" s="4">
        <v>3.0000000000000001E-3</v>
      </c>
    </row>
    <row r="32" spans="1:38" x14ac:dyDescent="0.3">
      <c r="A32" t="s">
        <v>453</v>
      </c>
      <c r="B32" t="s">
        <v>498</v>
      </c>
      <c r="C32" t="s">
        <v>499</v>
      </c>
      <c r="D32" t="s">
        <v>438</v>
      </c>
      <c r="G32" s="673">
        <v>9.2080660000000005</v>
      </c>
      <c r="H32">
        <v>12.338293</v>
      </c>
      <c r="I32">
        <v>10.431569</v>
      </c>
      <c r="J32">
        <v>12.855511</v>
      </c>
      <c r="K32">
        <v>13.754292</v>
      </c>
      <c r="L32">
        <v>13.924185</v>
      </c>
      <c r="M32">
        <v>14.096988</v>
      </c>
      <c r="N32">
        <v>14.445067</v>
      </c>
      <c r="O32">
        <v>14.624426</v>
      </c>
      <c r="P32">
        <v>14.726324999999999</v>
      </c>
      <c r="Q32">
        <v>14.846792000000001</v>
      </c>
      <c r="R32">
        <v>15.074237</v>
      </c>
      <c r="S32">
        <v>15.182178</v>
      </c>
      <c r="T32">
        <v>15.312533999999999</v>
      </c>
      <c r="U32">
        <v>15.326589999999999</v>
      </c>
      <c r="V32">
        <v>15.360639000000001</v>
      </c>
      <c r="W32">
        <v>15.345945</v>
      </c>
      <c r="X32">
        <v>15.379968</v>
      </c>
      <c r="Y32">
        <v>15.568699000000001</v>
      </c>
      <c r="Z32">
        <v>15.517137999999999</v>
      </c>
      <c r="AA32">
        <v>15.843856000000001</v>
      </c>
      <c r="AB32">
        <v>15.974829</v>
      </c>
      <c r="AC32">
        <v>16.059837000000002</v>
      </c>
      <c r="AD32">
        <v>16.365839000000001</v>
      </c>
      <c r="AE32">
        <v>16.582623999999999</v>
      </c>
      <c r="AF32">
        <v>16.677778</v>
      </c>
      <c r="AG32">
        <v>16.827002</v>
      </c>
      <c r="AH32">
        <v>16.881416000000002</v>
      </c>
      <c r="AI32">
        <v>16.852664999999998</v>
      </c>
      <c r="AJ32">
        <v>16.886154000000001</v>
      </c>
      <c r="AK32">
        <v>16.847871999999999</v>
      </c>
      <c r="AL32" s="4">
        <v>1.0999999999999999E-2</v>
      </c>
    </row>
    <row r="33" spans="1:38" x14ac:dyDescent="0.3">
      <c r="A33" t="s">
        <v>364</v>
      </c>
      <c r="B33" t="s">
        <v>500</v>
      </c>
      <c r="C33" t="s">
        <v>501</v>
      </c>
      <c r="D33" t="s">
        <v>438</v>
      </c>
      <c r="G33" s="673">
        <v>13.013437</v>
      </c>
      <c r="H33">
        <v>14.643957</v>
      </c>
      <c r="I33">
        <v>14.627293</v>
      </c>
      <c r="J33">
        <v>13.911484</v>
      </c>
      <c r="K33">
        <v>13.368217</v>
      </c>
      <c r="L33">
        <v>12.965358999999999</v>
      </c>
      <c r="M33">
        <v>12.6686</v>
      </c>
      <c r="N33">
        <v>12.454831</v>
      </c>
      <c r="O33">
        <v>12.319433999999999</v>
      </c>
      <c r="P33">
        <v>12.187999</v>
      </c>
      <c r="Q33">
        <v>12.029752</v>
      </c>
      <c r="R33">
        <v>12.687059</v>
      </c>
      <c r="S33">
        <v>12.505188</v>
      </c>
      <c r="T33">
        <v>12.50421</v>
      </c>
      <c r="U33">
        <v>12.353992</v>
      </c>
      <c r="V33">
        <v>12.178941999999999</v>
      </c>
      <c r="W33">
        <v>12.063815999999999</v>
      </c>
      <c r="X33">
        <v>11.961293</v>
      </c>
      <c r="Y33">
        <v>11.869705</v>
      </c>
      <c r="Z33">
        <v>11.776801000000001</v>
      </c>
      <c r="AA33">
        <v>11.748467</v>
      </c>
      <c r="AB33">
        <v>11.704108</v>
      </c>
      <c r="AC33">
        <v>11.622999999999999</v>
      </c>
      <c r="AD33">
        <v>11.589791</v>
      </c>
      <c r="AE33">
        <v>11.533381</v>
      </c>
      <c r="AF33">
        <v>11.489757000000001</v>
      </c>
      <c r="AG33">
        <v>11.459210000000001</v>
      </c>
      <c r="AH33">
        <v>11.430422</v>
      </c>
      <c r="AI33">
        <v>11.384506</v>
      </c>
      <c r="AJ33">
        <v>11.345622000000001</v>
      </c>
      <c r="AK33">
        <v>11.302823999999999</v>
      </c>
      <c r="AL33" s="4">
        <v>-8.9999999999999993E-3</v>
      </c>
    </row>
    <row r="34" spans="1:38" x14ac:dyDescent="0.3">
      <c r="A34" t="s">
        <v>444</v>
      </c>
      <c r="B34" t="s">
        <v>502</v>
      </c>
      <c r="C34" t="s">
        <v>503</v>
      </c>
      <c r="D34" t="s">
        <v>438</v>
      </c>
      <c r="G34" s="673">
        <v>34.841343000000002</v>
      </c>
      <c r="H34">
        <v>38.968001999999998</v>
      </c>
      <c r="I34">
        <v>39.637690999999997</v>
      </c>
      <c r="J34">
        <v>38.258915000000002</v>
      </c>
      <c r="K34">
        <v>37.180370000000003</v>
      </c>
      <c r="L34">
        <v>37.214675999999997</v>
      </c>
      <c r="M34">
        <v>37.522747000000003</v>
      </c>
      <c r="N34">
        <v>37.628666000000003</v>
      </c>
      <c r="O34">
        <v>37.708210000000001</v>
      </c>
      <c r="P34">
        <v>37.743583999999998</v>
      </c>
      <c r="Q34">
        <v>37.576706000000001</v>
      </c>
      <c r="R34">
        <v>37.672587999999998</v>
      </c>
      <c r="S34">
        <v>37.763119000000003</v>
      </c>
      <c r="T34">
        <v>37.868572</v>
      </c>
      <c r="U34">
        <v>37.825420000000001</v>
      </c>
      <c r="V34">
        <v>37.506542000000003</v>
      </c>
      <c r="W34">
        <v>37.233291999999999</v>
      </c>
      <c r="X34">
        <v>37.013756000000001</v>
      </c>
      <c r="Y34">
        <v>36.793624999999999</v>
      </c>
      <c r="Z34">
        <v>36.591206</v>
      </c>
      <c r="AA34">
        <v>36.425956999999997</v>
      </c>
      <c r="AB34">
        <v>36.230021999999998</v>
      </c>
      <c r="AC34">
        <v>36.050446000000001</v>
      </c>
      <c r="AD34">
        <v>35.794562999999997</v>
      </c>
      <c r="AE34">
        <v>35.545292000000003</v>
      </c>
      <c r="AF34">
        <v>35.392963000000002</v>
      </c>
      <c r="AG34">
        <v>35.216228000000001</v>
      </c>
      <c r="AH34">
        <v>35.000919000000003</v>
      </c>
      <c r="AI34">
        <v>34.834918999999999</v>
      </c>
      <c r="AJ34">
        <v>34.656410000000001</v>
      </c>
      <c r="AK34">
        <v>34.435290999999999</v>
      </c>
      <c r="AL34" s="4">
        <v>-4.0000000000000001E-3</v>
      </c>
    </row>
    <row r="35" spans="1:38" x14ac:dyDescent="0.3">
      <c r="A35" t="s">
        <v>504</v>
      </c>
      <c r="C35" t="s">
        <v>505</v>
      </c>
    </row>
    <row r="36" spans="1:38" x14ac:dyDescent="0.3">
      <c r="A36" t="s">
        <v>439</v>
      </c>
      <c r="B36" t="s">
        <v>506</v>
      </c>
      <c r="C36" t="s">
        <v>507</v>
      </c>
      <c r="D36" t="s">
        <v>438</v>
      </c>
      <c r="G36" s="673">
        <v>17.709454000000001</v>
      </c>
      <c r="H36">
        <v>21.714523</v>
      </c>
      <c r="I36">
        <v>22.029548999999999</v>
      </c>
      <c r="J36">
        <v>20.393699999999999</v>
      </c>
      <c r="K36">
        <v>20.867688999999999</v>
      </c>
      <c r="L36">
        <v>20.202636999999999</v>
      </c>
      <c r="M36">
        <v>19.562002</v>
      </c>
      <c r="N36">
        <v>19.092382000000001</v>
      </c>
      <c r="O36">
        <v>19.301582</v>
      </c>
      <c r="P36">
        <v>19.443417</v>
      </c>
      <c r="Q36">
        <v>19.453869000000001</v>
      </c>
      <c r="R36">
        <v>19.642158999999999</v>
      </c>
      <c r="S36">
        <v>19.773769000000001</v>
      </c>
      <c r="T36">
        <v>19.813597000000001</v>
      </c>
      <c r="U36">
        <v>19.936793999999999</v>
      </c>
      <c r="V36">
        <v>20.035036000000002</v>
      </c>
      <c r="W36">
        <v>20.220749000000001</v>
      </c>
      <c r="X36">
        <v>20.427848999999998</v>
      </c>
      <c r="Y36">
        <v>20.527849</v>
      </c>
      <c r="Z36">
        <v>20.595680000000002</v>
      </c>
      <c r="AA36">
        <v>20.811686999999999</v>
      </c>
      <c r="AB36">
        <v>20.901893999999999</v>
      </c>
      <c r="AC36">
        <v>20.937833999999999</v>
      </c>
      <c r="AD36">
        <v>21.170185</v>
      </c>
      <c r="AE36">
        <v>21.440045999999999</v>
      </c>
      <c r="AF36">
        <v>21.542753000000001</v>
      </c>
      <c r="AG36">
        <v>21.783722000000001</v>
      </c>
      <c r="AH36">
        <v>21.850812999999999</v>
      </c>
      <c r="AI36">
        <v>21.798199</v>
      </c>
      <c r="AJ36">
        <v>21.791779999999999</v>
      </c>
      <c r="AK36">
        <v>21.736654000000001</v>
      </c>
      <c r="AL36" s="4">
        <v>0</v>
      </c>
    </row>
    <row r="37" spans="1:38" x14ac:dyDescent="0.3">
      <c r="A37" t="s">
        <v>453</v>
      </c>
      <c r="B37" t="s">
        <v>508</v>
      </c>
      <c r="C37" t="s">
        <v>509</v>
      </c>
      <c r="D37" t="s">
        <v>438</v>
      </c>
      <c r="G37" s="673">
        <v>8.2907849999999996</v>
      </c>
      <c r="H37">
        <v>12.984576000000001</v>
      </c>
      <c r="I37">
        <v>13.337785999999999</v>
      </c>
      <c r="J37">
        <v>12.811491</v>
      </c>
      <c r="K37">
        <v>13.728472</v>
      </c>
      <c r="L37">
        <v>13.927019</v>
      </c>
      <c r="M37">
        <v>14.103992999999999</v>
      </c>
      <c r="N37">
        <v>14.525732</v>
      </c>
      <c r="O37">
        <v>14.690011999999999</v>
      </c>
      <c r="P37">
        <v>14.787516999999999</v>
      </c>
      <c r="Q37">
        <v>14.878964</v>
      </c>
      <c r="R37">
        <v>15.159939</v>
      </c>
      <c r="S37">
        <v>15.253017</v>
      </c>
      <c r="T37">
        <v>15.388532</v>
      </c>
      <c r="U37">
        <v>15.414999999999999</v>
      </c>
      <c r="V37">
        <v>15.454447</v>
      </c>
      <c r="W37">
        <v>15.436389999999999</v>
      </c>
      <c r="X37">
        <v>15.483134</v>
      </c>
      <c r="Y37">
        <v>15.653063</v>
      </c>
      <c r="Z37">
        <v>15.636279999999999</v>
      </c>
      <c r="AA37">
        <v>15.853301999999999</v>
      </c>
      <c r="AB37">
        <v>15.891152</v>
      </c>
      <c r="AC37">
        <v>15.835259000000001</v>
      </c>
      <c r="AD37">
        <v>15.973077</v>
      </c>
      <c r="AE37">
        <v>15.984838</v>
      </c>
      <c r="AF37">
        <v>15.80189</v>
      </c>
      <c r="AG37">
        <v>16.025043</v>
      </c>
      <c r="AH37">
        <v>16.110765000000001</v>
      </c>
      <c r="AI37">
        <v>16.149094000000002</v>
      </c>
      <c r="AJ37">
        <v>16.205715000000001</v>
      </c>
      <c r="AK37">
        <v>16.200251000000002</v>
      </c>
      <c r="AL37" s="4">
        <v>8.0000000000000002E-3</v>
      </c>
    </row>
    <row r="38" spans="1:38" x14ac:dyDescent="0.3">
      <c r="A38" t="s">
        <v>364</v>
      </c>
      <c r="B38" t="s">
        <v>510</v>
      </c>
      <c r="C38" t="s">
        <v>511</v>
      </c>
      <c r="D38" t="s">
        <v>438</v>
      </c>
      <c r="G38" s="673">
        <v>2.4475289999999998</v>
      </c>
      <c r="H38">
        <v>5.1494070000000001</v>
      </c>
      <c r="I38">
        <v>4.0411320000000002</v>
      </c>
      <c r="J38">
        <v>3.783547</v>
      </c>
      <c r="K38">
        <v>3.4843410000000001</v>
      </c>
      <c r="L38">
        <v>3.3148629999999999</v>
      </c>
      <c r="M38">
        <v>3.3110569999999999</v>
      </c>
      <c r="N38">
        <v>3.400471</v>
      </c>
      <c r="O38">
        <v>3.548705</v>
      </c>
      <c r="P38">
        <v>3.6346630000000002</v>
      </c>
      <c r="Q38">
        <v>3.7118850000000001</v>
      </c>
      <c r="R38">
        <v>3.7625479999999998</v>
      </c>
      <c r="S38">
        <v>3.7835869999999998</v>
      </c>
      <c r="T38">
        <v>3.8389470000000001</v>
      </c>
      <c r="U38">
        <v>3.8102140000000002</v>
      </c>
      <c r="V38">
        <v>3.7801149999999999</v>
      </c>
      <c r="W38">
        <v>3.7725360000000001</v>
      </c>
      <c r="X38">
        <v>3.775531</v>
      </c>
      <c r="Y38">
        <v>3.7908330000000001</v>
      </c>
      <c r="Z38">
        <v>3.7889400000000002</v>
      </c>
      <c r="AA38">
        <v>3.8212259999999998</v>
      </c>
      <c r="AB38">
        <v>3.8161139999999998</v>
      </c>
      <c r="AC38">
        <v>3.7945639999999998</v>
      </c>
      <c r="AD38">
        <v>3.7847629999999999</v>
      </c>
      <c r="AE38">
        <v>3.735687</v>
      </c>
      <c r="AF38">
        <v>3.7222209999999998</v>
      </c>
      <c r="AG38">
        <v>3.7168420000000002</v>
      </c>
      <c r="AH38">
        <v>3.705883</v>
      </c>
      <c r="AI38">
        <v>3.7200259999999998</v>
      </c>
      <c r="AJ38">
        <v>3.7006960000000002</v>
      </c>
      <c r="AK38">
        <v>3.6917529999999998</v>
      </c>
      <c r="AL38" s="4">
        <v>-1.0999999999999999E-2</v>
      </c>
    </row>
    <row r="39" spans="1:38" x14ac:dyDescent="0.3">
      <c r="A39" t="s">
        <v>512</v>
      </c>
      <c r="B39" t="s">
        <v>513</v>
      </c>
      <c r="C39" t="s">
        <v>514</v>
      </c>
      <c r="D39" t="s">
        <v>438</v>
      </c>
      <c r="G39" s="673">
        <v>1.9632609999999999</v>
      </c>
      <c r="H39">
        <v>2.0572599999999999</v>
      </c>
      <c r="I39">
        <v>2.0293739999999998</v>
      </c>
      <c r="J39">
        <v>2.0121959999999999</v>
      </c>
      <c r="K39">
        <v>2.0112969999999999</v>
      </c>
      <c r="L39">
        <v>1.9617370000000001</v>
      </c>
      <c r="M39">
        <v>1.929316</v>
      </c>
      <c r="N39">
        <v>1.9278979999999999</v>
      </c>
      <c r="O39">
        <v>1.917705</v>
      </c>
      <c r="P39">
        <v>1.9249259999999999</v>
      </c>
      <c r="Q39">
        <v>1.922045</v>
      </c>
      <c r="R39">
        <v>1.9208000000000001</v>
      </c>
      <c r="S39">
        <v>1.9096329999999999</v>
      </c>
      <c r="T39">
        <v>1.9061250000000001</v>
      </c>
      <c r="U39">
        <v>1.8992119999999999</v>
      </c>
      <c r="V39">
        <v>1.885572</v>
      </c>
      <c r="W39">
        <v>1.8703419999999999</v>
      </c>
      <c r="X39">
        <v>1.8671580000000001</v>
      </c>
      <c r="Y39">
        <v>1.866484</v>
      </c>
      <c r="Z39">
        <v>1.863837</v>
      </c>
      <c r="AA39">
        <v>1.8688180000000001</v>
      </c>
      <c r="AB39">
        <v>1.8646560000000001</v>
      </c>
      <c r="AC39">
        <v>1.8539509999999999</v>
      </c>
      <c r="AD39">
        <v>1.842649</v>
      </c>
      <c r="AE39">
        <v>1.8373619999999999</v>
      </c>
      <c r="AF39">
        <v>1.8342890000000001</v>
      </c>
      <c r="AG39">
        <v>1.8314589999999999</v>
      </c>
      <c r="AH39">
        <v>1.825958</v>
      </c>
      <c r="AI39">
        <v>1.81735</v>
      </c>
      <c r="AJ39">
        <v>1.8186709999999999</v>
      </c>
      <c r="AK39">
        <v>1.8159609999999999</v>
      </c>
      <c r="AL39" s="4">
        <v>-4.0000000000000001E-3</v>
      </c>
    </row>
    <row r="40" spans="1:38" x14ac:dyDescent="0.3">
      <c r="A40" t="s">
        <v>515</v>
      </c>
      <c r="B40" t="s">
        <v>516</v>
      </c>
      <c r="C40" t="s">
        <v>517</v>
      </c>
      <c r="D40" t="s">
        <v>438</v>
      </c>
      <c r="G40" s="673">
        <v>0.68612300000000004</v>
      </c>
      <c r="H40">
        <v>0.71666399999999997</v>
      </c>
      <c r="I40">
        <v>0.71771300000000005</v>
      </c>
      <c r="J40">
        <v>0.71981200000000001</v>
      </c>
      <c r="K40">
        <v>0.72086099999999997</v>
      </c>
      <c r="L40">
        <v>0.72295900000000002</v>
      </c>
      <c r="M40">
        <v>0.72400900000000001</v>
      </c>
      <c r="N40">
        <v>0.72610699999999995</v>
      </c>
      <c r="O40">
        <v>0.72715600000000002</v>
      </c>
      <c r="P40">
        <v>0.72925499999999999</v>
      </c>
      <c r="Q40">
        <v>0.73135399999999995</v>
      </c>
      <c r="R40">
        <v>0.73240300000000003</v>
      </c>
      <c r="S40">
        <v>0.73450199999999999</v>
      </c>
      <c r="T40">
        <v>0.73660000000000003</v>
      </c>
      <c r="U40">
        <v>0.737649</v>
      </c>
      <c r="V40">
        <v>0.73974799999999996</v>
      </c>
      <c r="W40">
        <v>0.74184700000000003</v>
      </c>
      <c r="X40">
        <v>0.742896</v>
      </c>
      <c r="Y40">
        <v>0.74499400000000005</v>
      </c>
      <c r="Z40">
        <v>0.74709300000000001</v>
      </c>
      <c r="AA40">
        <v>0.74919199999999997</v>
      </c>
      <c r="AB40">
        <v>0.75129000000000001</v>
      </c>
      <c r="AC40">
        <v>0.75338899999999998</v>
      </c>
      <c r="AD40">
        <v>0.75548700000000002</v>
      </c>
      <c r="AE40">
        <v>0.75758599999999998</v>
      </c>
      <c r="AF40">
        <v>0.75968500000000005</v>
      </c>
      <c r="AG40">
        <v>0.76178299999999999</v>
      </c>
      <c r="AH40">
        <v>0.76388199999999995</v>
      </c>
      <c r="AI40">
        <v>0.76597999999999999</v>
      </c>
      <c r="AJ40">
        <v>0.76807899999999996</v>
      </c>
      <c r="AK40">
        <v>0.770177</v>
      </c>
      <c r="AL40" s="4">
        <v>2E-3</v>
      </c>
    </row>
    <row r="41" spans="1:38" x14ac:dyDescent="0.3">
      <c r="A41" t="s">
        <v>518</v>
      </c>
      <c r="C41" t="s">
        <v>519</v>
      </c>
    </row>
    <row r="42" spans="1:38" x14ac:dyDescent="0.3">
      <c r="A42" t="s">
        <v>435</v>
      </c>
      <c r="B42" t="s">
        <v>520</v>
      </c>
      <c r="C42" t="s">
        <v>521</v>
      </c>
      <c r="D42" t="s">
        <v>438</v>
      </c>
      <c r="G42" s="673">
        <v>14.346581</v>
      </c>
      <c r="H42">
        <v>19.489792000000001</v>
      </c>
      <c r="I42">
        <v>21.36636</v>
      </c>
      <c r="J42">
        <v>20.184145000000001</v>
      </c>
      <c r="K42">
        <v>20.182981000000002</v>
      </c>
      <c r="L42">
        <v>20.087688</v>
      </c>
      <c r="M42">
        <v>20.182606</v>
      </c>
      <c r="N42">
        <v>20.510725000000001</v>
      </c>
      <c r="O42">
        <v>21.026033000000002</v>
      </c>
      <c r="P42">
        <v>21.443745</v>
      </c>
      <c r="Q42">
        <v>21.877507999999999</v>
      </c>
      <c r="R42">
        <v>22.448640999999999</v>
      </c>
      <c r="S42">
        <v>22.788582000000002</v>
      </c>
      <c r="T42">
        <v>23.136620000000001</v>
      </c>
      <c r="U42">
        <v>23.364117</v>
      </c>
      <c r="V42">
        <v>23.525117999999999</v>
      </c>
      <c r="W42">
        <v>23.697454</v>
      </c>
      <c r="X42">
        <v>23.896296</v>
      </c>
      <c r="Y42">
        <v>24.085888000000001</v>
      </c>
      <c r="Z42">
        <v>24.200586000000001</v>
      </c>
      <c r="AA42">
        <v>24.469367999999999</v>
      </c>
      <c r="AB42">
        <v>24.667314999999999</v>
      </c>
      <c r="AC42">
        <v>24.729513000000001</v>
      </c>
      <c r="AD42">
        <v>24.899708</v>
      </c>
      <c r="AE42">
        <v>25.111927000000001</v>
      </c>
      <c r="AF42">
        <v>25.181571999999999</v>
      </c>
      <c r="AG42">
        <v>25.289482</v>
      </c>
      <c r="AH42">
        <v>25.368734</v>
      </c>
      <c r="AI42">
        <v>25.412814999999998</v>
      </c>
      <c r="AJ42">
        <v>25.399014999999999</v>
      </c>
      <c r="AK42">
        <v>25.367135999999999</v>
      </c>
      <c r="AL42" s="4">
        <v>8.9999999999999993E-3</v>
      </c>
    </row>
    <row r="43" spans="1:38" x14ac:dyDescent="0.3">
      <c r="A43" t="s">
        <v>486</v>
      </c>
      <c r="B43" t="s">
        <v>522</v>
      </c>
      <c r="C43" t="s">
        <v>523</v>
      </c>
      <c r="D43" t="s">
        <v>438</v>
      </c>
      <c r="G43" s="673">
        <v>21.060583000000001</v>
      </c>
      <c r="H43">
        <v>25.695416999999999</v>
      </c>
      <c r="I43">
        <v>25.688790999999998</v>
      </c>
      <c r="J43">
        <v>25.836414000000001</v>
      </c>
      <c r="K43">
        <v>25.612317999999998</v>
      </c>
      <c r="L43">
        <v>25.306771999999999</v>
      </c>
      <c r="M43">
        <v>25.590133999999999</v>
      </c>
      <c r="N43">
        <v>25.919636000000001</v>
      </c>
      <c r="O43">
        <v>26.238963999999999</v>
      </c>
      <c r="P43">
        <v>26.470624999999998</v>
      </c>
      <c r="Q43">
        <v>27.160715</v>
      </c>
      <c r="R43">
        <v>27.897373000000002</v>
      </c>
      <c r="S43">
        <v>28.258593000000001</v>
      </c>
      <c r="T43">
        <v>28.425256999999998</v>
      </c>
      <c r="U43">
        <v>28.903063</v>
      </c>
      <c r="V43">
        <v>29.074985999999999</v>
      </c>
      <c r="W43">
        <v>29.116539</v>
      </c>
      <c r="X43">
        <v>29.250895</v>
      </c>
      <c r="Y43">
        <v>29.627222</v>
      </c>
      <c r="Z43">
        <v>29.616657</v>
      </c>
      <c r="AA43">
        <v>29.849672000000002</v>
      </c>
      <c r="AB43">
        <v>30.063628999999999</v>
      </c>
      <c r="AC43">
        <v>30.083044000000001</v>
      </c>
      <c r="AD43">
        <v>30.376201999999999</v>
      </c>
      <c r="AE43">
        <v>30.671841000000001</v>
      </c>
      <c r="AF43">
        <v>30.775278</v>
      </c>
      <c r="AG43">
        <v>31.038913999999998</v>
      </c>
      <c r="AH43">
        <v>31.145315</v>
      </c>
      <c r="AI43">
        <v>31.068113</v>
      </c>
      <c r="AJ43">
        <v>31.098154000000001</v>
      </c>
      <c r="AK43">
        <v>31.095053</v>
      </c>
      <c r="AL43" s="4">
        <v>7.0000000000000001E-3</v>
      </c>
    </row>
    <row r="44" spans="1:38" x14ac:dyDescent="0.3">
      <c r="A44" t="s">
        <v>489</v>
      </c>
      <c r="B44" t="s">
        <v>524</v>
      </c>
      <c r="C44" t="s">
        <v>525</v>
      </c>
      <c r="D44" t="s">
        <v>438</v>
      </c>
      <c r="G44" s="673">
        <v>18.741731999999999</v>
      </c>
      <c r="H44">
        <v>25.834620999999999</v>
      </c>
      <c r="I44">
        <v>24.776544999999999</v>
      </c>
      <c r="J44">
        <v>22.199932</v>
      </c>
      <c r="K44">
        <v>22.064896000000001</v>
      </c>
      <c r="L44">
        <v>21.840273</v>
      </c>
      <c r="M44">
        <v>22.060036</v>
      </c>
      <c r="N44">
        <v>22.308724999999999</v>
      </c>
      <c r="O44">
        <v>22.549913</v>
      </c>
      <c r="P44">
        <v>22.719190999999999</v>
      </c>
      <c r="Q44">
        <v>23.280369</v>
      </c>
      <c r="R44">
        <v>24.023266</v>
      </c>
      <c r="S44">
        <v>24.267046000000001</v>
      </c>
      <c r="T44">
        <v>24.467766000000001</v>
      </c>
      <c r="U44">
        <v>24.657395999999999</v>
      </c>
      <c r="V44">
        <v>24.750312999999998</v>
      </c>
      <c r="W44">
        <v>24.926252000000002</v>
      </c>
      <c r="X44">
        <v>25.082512000000001</v>
      </c>
      <c r="Y44">
        <v>25.357668</v>
      </c>
      <c r="Z44">
        <v>25.371229</v>
      </c>
      <c r="AA44">
        <v>25.570549</v>
      </c>
      <c r="AB44">
        <v>25.732664</v>
      </c>
      <c r="AC44">
        <v>25.773809</v>
      </c>
      <c r="AD44">
        <v>26.029688</v>
      </c>
      <c r="AE44">
        <v>26.275835000000001</v>
      </c>
      <c r="AF44">
        <v>26.360220000000002</v>
      </c>
      <c r="AG44">
        <v>26.571331000000001</v>
      </c>
      <c r="AH44">
        <v>26.653278</v>
      </c>
      <c r="AI44">
        <v>26.581778</v>
      </c>
      <c r="AJ44">
        <v>26.597584000000001</v>
      </c>
      <c r="AK44">
        <v>26.592563999999999</v>
      </c>
      <c r="AL44" s="4">
        <v>1E-3</v>
      </c>
    </row>
    <row r="45" spans="1:38" x14ac:dyDescent="0.3">
      <c r="A45" t="s">
        <v>492</v>
      </c>
      <c r="B45" t="s">
        <v>526</v>
      </c>
      <c r="C45" t="s">
        <v>527</v>
      </c>
      <c r="D45" t="s">
        <v>438</v>
      </c>
      <c r="G45" s="673">
        <v>9.5686540000000004</v>
      </c>
      <c r="H45">
        <v>14.697266000000001</v>
      </c>
      <c r="I45">
        <v>15.363607</v>
      </c>
      <c r="J45">
        <v>14.341670000000001</v>
      </c>
      <c r="K45">
        <v>15.514149</v>
      </c>
      <c r="L45">
        <v>15.575315</v>
      </c>
      <c r="M45">
        <v>15.722424999999999</v>
      </c>
      <c r="N45">
        <v>16.00432</v>
      </c>
      <c r="O45">
        <v>16.282055</v>
      </c>
      <c r="P45">
        <v>16.451191000000001</v>
      </c>
      <c r="Q45">
        <v>16.394136</v>
      </c>
      <c r="R45">
        <v>16.879512999999999</v>
      </c>
      <c r="S45">
        <v>17.063628999999999</v>
      </c>
      <c r="T45">
        <v>17.174807000000001</v>
      </c>
      <c r="U45">
        <v>17.343786000000001</v>
      </c>
      <c r="V45">
        <v>17.456037999999999</v>
      </c>
      <c r="W45">
        <v>17.653061000000001</v>
      </c>
      <c r="X45">
        <v>17.909936999999999</v>
      </c>
      <c r="Y45">
        <v>18.089289000000001</v>
      </c>
      <c r="Z45">
        <v>18.193235000000001</v>
      </c>
      <c r="AA45">
        <v>18.380554</v>
      </c>
      <c r="AB45">
        <v>18.522734</v>
      </c>
      <c r="AC45">
        <v>18.563686000000001</v>
      </c>
      <c r="AD45">
        <v>18.855331</v>
      </c>
      <c r="AE45">
        <v>19.166589999999999</v>
      </c>
      <c r="AF45">
        <v>19.275404000000002</v>
      </c>
      <c r="AG45">
        <v>19.484832999999998</v>
      </c>
      <c r="AH45">
        <v>19.576267000000001</v>
      </c>
      <c r="AI45">
        <v>19.548249999999999</v>
      </c>
      <c r="AJ45">
        <v>19.589796</v>
      </c>
      <c r="AK45">
        <v>19.531642999999999</v>
      </c>
      <c r="AL45" s="4">
        <v>0.01</v>
      </c>
    </row>
    <row r="46" spans="1:38" x14ac:dyDescent="0.3">
      <c r="A46" t="s">
        <v>439</v>
      </c>
      <c r="B46" t="s">
        <v>528</v>
      </c>
      <c r="C46" t="s">
        <v>529</v>
      </c>
      <c r="D46" t="s">
        <v>438</v>
      </c>
      <c r="G46" s="673">
        <v>18.184811</v>
      </c>
      <c r="H46">
        <v>23.239584000000001</v>
      </c>
      <c r="I46">
        <v>22.618776</v>
      </c>
      <c r="J46">
        <v>21.724851999999998</v>
      </c>
      <c r="K46">
        <v>22.45797</v>
      </c>
      <c r="L46">
        <v>22.346981</v>
      </c>
      <c r="M46">
        <v>22.246079999999999</v>
      </c>
      <c r="N46">
        <v>22.233903999999999</v>
      </c>
      <c r="O46">
        <v>22.414711</v>
      </c>
      <c r="P46">
        <v>22.533940999999999</v>
      </c>
      <c r="Q46">
        <v>22.493901999999999</v>
      </c>
      <c r="R46">
        <v>23.023235</v>
      </c>
      <c r="S46">
        <v>23.113571</v>
      </c>
      <c r="T46">
        <v>23.226931</v>
      </c>
      <c r="U46">
        <v>23.261092999999999</v>
      </c>
      <c r="V46">
        <v>23.353107000000001</v>
      </c>
      <c r="W46">
        <v>23.519269999999999</v>
      </c>
      <c r="X46">
        <v>23.735455999999999</v>
      </c>
      <c r="Y46">
        <v>23.863802</v>
      </c>
      <c r="Z46">
        <v>23.935444</v>
      </c>
      <c r="AA46">
        <v>24.133272000000002</v>
      </c>
      <c r="AB46">
        <v>24.240326</v>
      </c>
      <c r="AC46">
        <v>24.252690999999999</v>
      </c>
      <c r="AD46">
        <v>24.508665000000001</v>
      </c>
      <c r="AE46">
        <v>24.784458000000001</v>
      </c>
      <c r="AF46">
        <v>24.889831999999998</v>
      </c>
      <c r="AG46">
        <v>25.070591</v>
      </c>
      <c r="AH46">
        <v>25.118781999999999</v>
      </c>
      <c r="AI46">
        <v>25.066670999999999</v>
      </c>
      <c r="AJ46">
        <v>25.041691</v>
      </c>
      <c r="AK46">
        <v>24.965906</v>
      </c>
      <c r="AL46" s="4">
        <v>2E-3</v>
      </c>
    </row>
    <row r="47" spans="1:38" x14ac:dyDescent="0.3">
      <c r="A47" t="s">
        <v>453</v>
      </c>
      <c r="B47" t="s">
        <v>530</v>
      </c>
      <c r="C47" t="s">
        <v>531</v>
      </c>
      <c r="D47" t="s">
        <v>438</v>
      </c>
      <c r="G47" s="673">
        <v>8.8440239999999992</v>
      </c>
      <c r="H47">
        <v>12.013578000000001</v>
      </c>
      <c r="I47">
        <v>10.458709000000001</v>
      </c>
      <c r="J47">
        <v>12.578842</v>
      </c>
      <c r="K47">
        <v>13.528700000000001</v>
      </c>
      <c r="L47">
        <v>13.737606</v>
      </c>
      <c r="M47">
        <v>13.942602000000001</v>
      </c>
      <c r="N47">
        <v>14.329307999999999</v>
      </c>
      <c r="O47">
        <v>14.504764</v>
      </c>
      <c r="P47">
        <v>14.602103</v>
      </c>
      <c r="Q47">
        <v>14.71898</v>
      </c>
      <c r="R47">
        <v>14.945432</v>
      </c>
      <c r="S47">
        <v>15.051952999999999</v>
      </c>
      <c r="T47">
        <v>15.178535</v>
      </c>
      <c r="U47">
        <v>15.191147000000001</v>
      </c>
      <c r="V47">
        <v>15.223546000000001</v>
      </c>
      <c r="W47">
        <v>15.203552999999999</v>
      </c>
      <c r="X47">
        <v>15.229247000000001</v>
      </c>
      <c r="Y47">
        <v>15.418616</v>
      </c>
      <c r="Z47">
        <v>15.357547</v>
      </c>
      <c r="AA47">
        <v>15.693584</v>
      </c>
      <c r="AB47">
        <v>15.821681</v>
      </c>
      <c r="AC47">
        <v>15.904107</v>
      </c>
      <c r="AD47">
        <v>16.207706000000002</v>
      </c>
      <c r="AE47">
        <v>16.420985999999999</v>
      </c>
      <c r="AF47">
        <v>16.507034000000001</v>
      </c>
      <c r="AG47">
        <v>16.658756</v>
      </c>
      <c r="AH47">
        <v>16.714941</v>
      </c>
      <c r="AI47">
        <v>16.686305999999998</v>
      </c>
      <c r="AJ47">
        <v>16.718962000000001</v>
      </c>
      <c r="AK47">
        <v>16.678758999999999</v>
      </c>
      <c r="AL47" s="4">
        <v>1.0999999999999999E-2</v>
      </c>
    </row>
    <row r="48" spans="1:38" x14ac:dyDescent="0.3">
      <c r="A48" t="s">
        <v>364</v>
      </c>
      <c r="B48" t="s">
        <v>532</v>
      </c>
      <c r="C48" t="s">
        <v>533</v>
      </c>
      <c r="D48" t="s">
        <v>438</v>
      </c>
      <c r="G48" s="673">
        <v>4.5260930000000004</v>
      </c>
      <c r="H48">
        <v>6.7148839999999996</v>
      </c>
      <c r="I48">
        <v>6.3616609999999998</v>
      </c>
      <c r="J48">
        <v>6.000756</v>
      </c>
      <c r="K48">
        <v>5.6632259999999999</v>
      </c>
      <c r="L48">
        <v>5.5072910000000004</v>
      </c>
      <c r="M48">
        <v>5.4740000000000002</v>
      </c>
      <c r="N48">
        <v>5.5297869999999998</v>
      </c>
      <c r="O48">
        <v>5.6556819999999997</v>
      </c>
      <c r="P48">
        <v>5.7914450000000004</v>
      </c>
      <c r="Q48">
        <v>5.8820180000000004</v>
      </c>
      <c r="R48">
        <v>6.022627</v>
      </c>
      <c r="S48">
        <v>6.0423989999999996</v>
      </c>
      <c r="T48">
        <v>6.1256589999999997</v>
      </c>
      <c r="U48">
        <v>6.123901</v>
      </c>
      <c r="V48">
        <v>6.1005599999999998</v>
      </c>
      <c r="W48">
        <v>6.0980410000000003</v>
      </c>
      <c r="X48">
        <v>6.1061490000000003</v>
      </c>
      <c r="Y48">
        <v>6.1079420000000004</v>
      </c>
      <c r="Z48">
        <v>6.1093590000000004</v>
      </c>
      <c r="AA48">
        <v>6.1226830000000003</v>
      </c>
      <c r="AB48">
        <v>6.1126810000000003</v>
      </c>
      <c r="AC48">
        <v>6.082541</v>
      </c>
      <c r="AD48">
        <v>6.0692680000000001</v>
      </c>
      <c r="AE48">
        <v>6.0138239999999996</v>
      </c>
      <c r="AF48">
        <v>5.9953089999999998</v>
      </c>
      <c r="AG48">
        <v>5.9838760000000004</v>
      </c>
      <c r="AH48">
        <v>5.9731480000000001</v>
      </c>
      <c r="AI48">
        <v>5.9684460000000001</v>
      </c>
      <c r="AJ48">
        <v>5.9573970000000003</v>
      </c>
      <c r="AK48">
        <v>5.9414009999999999</v>
      </c>
      <c r="AL48" s="4">
        <v>-4.0000000000000001E-3</v>
      </c>
    </row>
    <row r="49" spans="1:38" x14ac:dyDescent="0.3">
      <c r="A49" t="s">
        <v>470</v>
      </c>
      <c r="B49" t="s">
        <v>534</v>
      </c>
      <c r="C49" t="s">
        <v>535</v>
      </c>
      <c r="D49" t="s">
        <v>438</v>
      </c>
      <c r="G49" s="673">
        <v>4.01729</v>
      </c>
      <c r="H49">
        <v>3.9200170000000001</v>
      </c>
      <c r="I49">
        <v>3.520448</v>
      </c>
      <c r="J49">
        <v>3.3495240000000002</v>
      </c>
      <c r="K49">
        <v>3.1881349999999999</v>
      </c>
      <c r="L49">
        <v>3.096409</v>
      </c>
      <c r="M49">
        <v>3.03288</v>
      </c>
      <c r="N49">
        <v>3.0056090000000002</v>
      </c>
      <c r="O49">
        <v>3.0067390000000001</v>
      </c>
      <c r="P49">
        <v>3.0179010000000002</v>
      </c>
      <c r="Q49">
        <v>3.0464850000000001</v>
      </c>
      <c r="R49">
        <v>3.0680510000000001</v>
      </c>
      <c r="S49">
        <v>3.100158</v>
      </c>
      <c r="T49">
        <v>3.1251690000000001</v>
      </c>
      <c r="U49">
        <v>3.1477789999999999</v>
      </c>
      <c r="V49">
        <v>3.1733889999999998</v>
      </c>
      <c r="W49">
        <v>3.20092</v>
      </c>
      <c r="X49">
        <v>3.2328570000000001</v>
      </c>
      <c r="Y49">
        <v>3.2593830000000001</v>
      </c>
      <c r="Z49">
        <v>3.2843460000000002</v>
      </c>
      <c r="AA49">
        <v>3.312316</v>
      </c>
      <c r="AB49">
        <v>3.3372099999999998</v>
      </c>
      <c r="AC49">
        <v>3.3597380000000001</v>
      </c>
      <c r="AD49">
        <v>3.3827820000000002</v>
      </c>
      <c r="AE49">
        <v>3.4101669999999999</v>
      </c>
      <c r="AF49">
        <v>3.4379360000000001</v>
      </c>
      <c r="AG49">
        <v>3.4673980000000002</v>
      </c>
      <c r="AH49">
        <v>3.493941</v>
      </c>
      <c r="AI49">
        <v>3.5140889999999998</v>
      </c>
      <c r="AJ49">
        <v>3.5360510000000001</v>
      </c>
      <c r="AK49">
        <v>3.5649459999999999</v>
      </c>
      <c r="AL49" s="4">
        <v>-3.0000000000000001E-3</v>
      </c>
    </row>
    <row r="50" spans="1:38" x14ac:dyDescent="0.3">
      <c r="A50" t="s">
        <v>536</v>
      </c>
      <c r="B50" t="s">
        <v>537</v>
      </c>
      <c r="C50" t="s">
        <v>538</v>
      </c>
      <c r="D50" t="s">
        <v>438</v>
      </c>
      <c r="G50" s="673">
        <v>2.0209510000000002</v>
      </c>
      <c r="H50">
        <v>2.092638</v>
      </c>
      <c r="I50">
        <v>2.0673189999999999</v>
      </c>
      <c r="J50">
        <v>2.0517349999999999</v>
      </c>
      <c r="K50">
        <v>2.0577580000000002</v>
      </c>
      <c r="L50">
        <v>2.0127139999999999</v>
      </c>
      <c r="M50">
        <v>1.9825839999999999</v>
      </c>
      <c r="N50">
        <v>1.9810030000000001</v>
      </c>
      <c r="O50">
        <v>1.9720610000000001</v>
      </c>
      <c r="P50">
        <v>1.980461</v>
      </c>
      <c r="Q50">
        <v>1.978699</v>
      </c>
      <c r="R50">
        <v>1.978445</v>
      </c>
      <c r="S50">
        <v>1.969352</v>
      </c>
      <c r="T50">
        <v>1.9658679999999999</v>
      </c>
      <c r="U50">
        <v>1.962693</v>
      </c>
      <c r="V50">
        <v>1.9513499999999999</v>
      </c>
      <c r="W50">
        <v>1.9398960000000001</v>
      </c>
      <c r="X50">
        <v>1.9385600000000001</v>
      </c>
      <c r="Y50">
        <v>1.939254</v>
      </c>
      <c r="Z50">
        <v>1.9379090000000001</v>
      </c>
      <c r="AA50">
        <v>1.944985</v>
      </c>
      <c r="AB50">
        <v>1.9423820000000001</v>
      </c>
      <c r="AC50">
        <v>1.932901</v>
      </c>
      <c r="AD50">
        <v>1.9238360000000001</v>
      </c>
      <c r="AE50">
        <v>1.9204699999999999</v>
      </c>
      <c r="AF50">
        <v>1.918973</v>
      </c>
      <c r="AG50">
        <v>1.9170370000000001</v>
      </c>
      <c r="AH50">
        <v>1.9126369999999999</v>
      </c>
      <c r="AI50">
        <v>1.9049659999999999</v>
      </c>
      <c r="AJ50">
        <v>1.906433</v>
      </c>
      <c r="AK50">
        <v>1.9040790000000001</v>
      </c>
      <c r="AL50" s="4">
        <v>-3.0000000000000001E-3</v>
      </c>
    </row>
    <row r="51" spans="1:38" x14ac:dyDescent="0.3">
      <c r="A51" t="s">
        <v>476</v>
      </c>
      <c r="B51" t="s">
        <v>539</v>
      </c>
      <c r="C51" t="s">
        <v>540</v>
      </c>
      <c r="D51" t="s">
        <v>438</v>
      </c>
      <c r="G51" s="673">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t="s">
        <v>479</v>
      </c>
    </row>
    <row r="52" spans="1:38" x14ac:dyDescent="0.3">
      <c r="A52" t="s">
        <v>444</v>
      </c>
      <c r="B52" t="s">
        <v>541</v>
      </c>
      <c r="C52" t="s">
        <v>542</v>
      </c>
      <c r="D52" t="s">
        <v>438</v>
      </c>
      <c r="G52" s="673">
        <v>30.52927</v>
      </c>
      <c r="H52">
        <v>32.461033</v>
      </c>
      <c r="I52">
        <v>32.266651000000003</v>
      </c>
      <c r="J52">
        <v>31.663857</v>
      </c>
      <c r="K52">
        <v>30.877979</v>
      </c>
      <c r="L52">
        <v>30.708071</v>
      </c>
      <c r="M52">
        <v>30.615227000000001</v>
      </c>
      <c r="N52">
        <v>30.680014</v>
      </c>
      <c r="O52">
        <v>30.793015</v>
      </c>
      <c r="P52">
        <v>30.882946</v>
      </c>
      <c r="Q52">
        <v>30.928681999999998</v>
      </c>
      <c r="R52">
        <v>31.034051999999999</v>
      </c>
      <c r="S52">
        <v>31.089554</v>
      </c>
      <c r="T52">
        <v>31.261178999999998</v>
      </c>
      <c r="U52">
        <v>31.367305999999999</v>
      </c>
      <c r="V52">
        <v>31.18111</v>
      </c>
      <c r="W52">
        <v>31.113538999999999</v>
      </c>
      <c r="X52">
        <v>30.950189999999999</v>
      </c>
      <c r="Y52">
        <v>30.788084000000001</v>
      </c>
      <c r="Z52">
        <v>30.798940999999999</v>
      </c>
      <c r="AA52">
        <v>30.779612</v>
      </c>
      <c r="AB52">
        <v>30.658608999999998</v>
      </c>
      <c r="AC52">
        <v>30.626740000000002</v>
      </c>
      <c r="AD52">
        <v>30.542953000000001</v>
      </c>
      <c r="AE52">
        <v>30.323409999999999</v>
      </c>
      <c r="AF52">
        <v>30.318209</v>
      </c>
      <c r="AG52">
        <v>30.264156</v>
      </c>
      <c r="AH52">
        <v>30.173914</v>
      </c>
      <c r="AI52">
        <v>30.212219000000001</v>
      </c>
      <c r="AJ52">
        <v>30.142212000000001</v>
      </c>
      <c r="AK52">
        <v>29.924009000000002</v>
      </c>
      <c r="AL52" s="4">
        <v>-3.0000000000000001E-3</v>
      </c>
    </row>
    <row r="53" spans="1:38" x14ac:dyDescent="0.3">
      <c r="A53" t="s">
        <v>543</v>
      </c>
      <c r="C53" t="s">
        <v>544</v>
      </c>
    </row>
    <row r="54" spans="1:38" x14ac:dyDescent="0.3">
      <c r="A54" t="s">
        <v>545</v>
      </c>
      <c r="C54" t="s">
        <v>546</v>
      </c>
    </row>
    <row r="55" spans="1:38" x14ac:dyDescent="0.3">
      <c r="A55" t="s">
        <v>433</v>
      </c>
      <c r="B55" t="s">
        <v>547</v>
      </c>
      <c r="C55" t="s">
        <v>548</v>
      </c>
      <c r="D55" t="s">
        <v>549</v>
      </c>
      <c r="G55" s="673">
        <v>246.644623</v>
      </c>
      <c r="H55">
        <v>274.75665300000003</v>
      </c>
      <c r="I55">
        <v>275.37280299999998</v>
      </c>
      <c r="J55">
        <v>274.573578</v>
      </c>
      <c r="K55">
        <v>270.37634300000002</v>
      </c>
      <c r="L55">
        <v>269.817902</v>
      </c>
      <c r="M55">
        <v>270.29400600000002</v>
      </c>
      <c r="N55">
        <v>271.54333500000001</v>
      </c>
      <c r="O55">
        <v>273.80499300000002</v>
      </c>
      <c r="P55">
        <v>276.31787100000003</v>
      </c>
      <c r="Q55">
        <v>278.00543199999998</v>
      </c>
      <c r="R55">
        <v>281.73922700000003</v>
      </c>
      <c r="S55">
        <v>283.54626500000001</v>
      </c>
      <c r="T55">
        <v>286.57415800000001</v>
      </c>
      <c r="U55">
        <v>288.69665500000002</v>
      </c>
      <c r="V55">
        <v>288.89822400000003</v>
      </c>
      <c r="W55">
        <v>290.23642000000001</v>
      </c>
      <c r="X55">
        <v>291.36578400000002</v>
      </c>
      <c r="Y55">
        <v>292.37094100000002</v>
      </c>
      <c r="Z55">
        <v>294.34918199999998</v>
      </c>
      <c r="AA55">
        <v>296.07534800000002</v>
      </c>
      <c r="AB55">
        <v>297.19662499999998</v>
      </c>
      <c r="AC55">
        <v>298.851135</v>
      </c>
      <c r="AD55">
        <v>300.17169200000001</v>
      </c>
      <c r="AE55">
        <v>300.723816</v>
      </c>
      <c r="AF55">
        <v>302.79547100000002</v>
      </c>
      <c r="AG55">
        <v>304.46014400000001</v>
      </c>
      <c r="AH55">
        <v>305.915955</v>
      </c>
      <c r="AI55">
        <v>307.98172</v>
      </c>
      <c r="AJ55">
        <v>309.46176100000002</v>
      </c>
      <c r="AK55">
        <v>310.00372299999998</v>
      </c>
      <c r="AL55" s="4">
        <v>4.0000000000000001E-3</v>
      </c>
    </row>
    <row r="56" spans="1:38" x14ac:dyDescent="0.3">
      <c r="A56" t="s">
        <v>447</v>
      </c>
      <c r="B56" t="s">
        <v>550</v>
      </c>
      <c r="C56" t="s">
        <v>551</v>
      </c>
      <c r="D56" t="s">
        <v>549</v>
      </c>
      <c r="G56" s="673">
        <v>173.49534600000001</v>
      </c>
      <c r="H56">
        <v>197.94026199999999</v>
      </c>
      <c r="I56">
        <v>201.65473900000001</v>
      </c>
      <c r="J56">
        <v>196.17666600000001</v>
      </c>
      <c r="K56">
        <v>191.186813</v>
      </c>
      <c r="L56">
        <v>189.77752699999999</v>
      </c>
      <c r="M56">
        <v>188.810913</v>
      </c>
      <c r="N56">
        <v>189.43356299999999</v>
      </c>
      <c r="O56">
        <v>190.58833300000001</v>
      </c>
      <c r="P56">
        <v>191.842163</v>
      </c>
      <c r="Q56">
        <v>192.41606100000001</v>
      </c>
      <c r="R56">
        <v>194.629379</v>
      </c>
      <c r="S56">
        <v>195.24662799999999</v>
      </c>
      <c r="T56">
        <v>197.12745699999999</v>
      </c>
      <c r="U56">
        <v>198.30746500000001</v>
      </c>
      <c r="V56">
        <v>197.981537</v>
      </c>
      <c r="W56">
        <v>198.472656</v>
      </c>
      <c r="X56">
        <v>198.74217200000001</v>
      </c>
      <c r="Y56">
        <v>198.944016</v>
      </c>
      <c r="Z56">
        <v>200.08554100000001</v>
      </c>
      <c r="AA56">
        <v>200.94512900000001</v>
      </c>
      <c r="AB56">
        <v>201.326584</v>
      </c>
      <c r="AC56">
        <v>202.22683699999999</v>
      </c>
      <c r="AD56">
        <v>203.18472299999999</v>
      </c>
      <c r="AE56">
        <v>203.166901</v>
      </c>
      <c r="AF56">
        <v>204.46878100000001</v>
      </c>
      <c r="AG56">
        <v>205.491714</v>
      </c>
      <c r="AH56">
        <v>206.207855</v>
      </c>
      <c r="AI56">
        <v>207.66523699999999</v>
      </c>
      <c r="AJ56">
        <v>208.726303</v>
      </c>
      <c r="AK56">
        <v>208.915649</v>
      </c>
      <c r="AL56" s="4">
        <v>2E-3</v>
      </c>
    </row>
    <row r="57" spans="1:38" x14ac:dyDescent="0.3">
      <c r="A57" t="s">
        <v>460</v>
      </c>
      <c r="B57" t="s">
        <v>552</v>
      </c>
      <c r="C57" t="s">
        <v>553</v>
      </c>
      <c r="D57" t="s">
        <v>549</v>
      </c>
      <c r="G57" s="673">
        <v>151.91566499999999</v>
      </c>
      <c r="H57">
        <v>207.87148999999999</v>
      </c>
      <c r="I57">
        <v>216.86631800000001</v>
      </c>
      <c r="J57">
        <v>207.96852100000001</v>
      </c>
      <c r="K57">
        <v>205.65776099999999</v>
      </c>
      <c r="L57">
        <v>205.00015300000001</v>
      </c>
      <c r="M57">
        <v>206.92233300000001</v>
      </c>
      <c r="N57">
        <v>210.260727</v>
      </c>
      <c r="O57">
        <v>216.45573400000001</v>
      </c>
      <c r="P57">
        <v>221.23164399999999</v>
      </c>
      <c r="Q57">
        <v>225.769699</v>
      </c>
      <c r="R57">
        <v>230.393066</v>
      </c>
      <c r="S57">
        <v>234.78211999999999</v>
      </c>
      <c r="T57">
        <v>239.17683400000001</v>
      </c>
      <c r="U57">
        <v>241.704193</v>
      </c>
      <c r="V57">
        <v>243.648392</v>
      </c>
      <c r="W57">
        <v>246.29451</v>
      </c>
      <c r="X57">
        <v>249.97927899999999</v>
      </c>
      <c r="Y57">
        <v>253.25907900000001</v>
      </c>
      <c r="Z57">
        <v>255.100067</v>
      </c>
      <c r="AA57">
        <v>259.03656000000001</v>
      </c>
      <c r="AB57">
        <v>262.697723</v>
      </c>
      <c r="AC57">
        <v>265.09201000000002</v>
      </c>
      <c r="AD57">
        <v>268.04028299999999</v>
      </c>
      <c r="AE57">
        <v>270.74755900000002</v>
      </c>
      <c r="AF57">
        <v>272.82507299999997</v>
      </c>
      <c r="AG57">
        <v>276.04589800000002</v>
      </c>
      <c r="AH57">
        <v>277.769409</v>
      </c>
      <c r="AI57">
        <v>278.59582499999999</v>
      </c>
      <c r="AJ57">
        <v>280.16696200000001</v>
      </c>
      <c r="AK57">
        <v>283.14764400000001</v>
      </c>
      <c r="AL57" s="4">
        <v>1.0999999999999999E-2</v>
      </c>
    </row>
    <row r="58" spans="1:38" x14ac:dyDescent="0.3">
      <c r="A58" t="s">
        <v>482</v>
      </c>
      <c r="B58" t="s">
        <v>554</v>
      </c>
      <c r="C58" t="s">
        <v>555</v>
      </c>
      <c r="D58" t="s">
        <v>549</v>
      </c>
      <c r="G58" s="673">
        <v>411.85290500000002</v>
      </c>
      <c r="H58">
        <v>608.60992399999998</v>
      </c>
      <c r="I58">
        <v>602.926331</v>
      </c>
      <c r="J58">
        <v>562.80590800000004</v>
      </c>
      <c r="K58">
        <v>570.52050799999995</v>
      </c>
      <c r="L58">
        <v>567.75238000000002</v>
      </c>
      <c r="M58">
        <v>571.39538600000003</v>
      </c>
      <c r="N58">
        <v>574.93676800000003</v>
      </c>
      <c r="O58">
        <v>578.65301499999998</v>
      </c>
      <c r="P58">
        <v>580.72393799999998</v>
      </c>
      <c r="Q58">
        <v>587.70434599999999</v>
      </c>
      <c r="R58">
        <v>603.97045900000001</v>
      </c>
      <c r="S58">
        <v>607.32482900000002</v>
      </c>
      <c r="T58">
        <v>611.17163100000005</v>
      </c>
      <c r="U58">
        <v>614.39117399999998</v>
      </c>
      <c r="V58">
        <v>616.35437000000002</v>
      </c>
      <c r="W58">
        <v>620.70343000000003</v>
      </c>
      <c r="X58">
        <v>626.23040800000001</v>
      </c>
      <c r="Y58">
        <v>633.00915499999996</v>
      </c>
      <c r="Z58">
        <v>635.54986599999995</v>
      </c>
      <c r="AA58">
        <v>642.60461399999997</v>
      </c>
      <c r="AB58">
        <v>648.44256600000006</v>
      </c>
      <c r="AC58">
        <v>651.84106399999996</v>
      </c>
      <c r="AD58">
        <v>661.36975099999995</v>
      </c>
      <c r="AE58">
        <v>671.17993200000001</v>
      </c>
      <c r="AF58">
        <v>677.16906700000004</v>
      </c>
      <c r="AG58">
        <v>686.59747300000004</v>
      </c>
      <c r="AH58">
        <v>692.32202099999995</v>
      </c>
      <c r="AI58">
        <v>694.33843999999999</v>
      </c>
      <c r="AJ58">
        <v>699.02954099999999</v>
      </c>
      <c r="AK58">
        <v>703.490906</v>
      </c>
      <c r="AL58" s="4">
        <v>5.0000000000000001E-3</v>
      </c>
    </row>
    <row r="59" spans="1:38" x14ac:dyDescent="0.3">
      <c r="A59" t="s">
        <v>556</v>
      </c>
      <c r="B59" t="s">
        <v>557</v>
      </c>
      <c r="C59" t="s">
        <v>558</v>
      </c>
      <c r="D59" t="s">
        <v>549</v>
      </c>
      <c r="G59" s="673">
        <v>983.90850799999998</v>
      </c>
      <c r="H59">
        <v>1289.1782229999999</v>
      </c>
      <c r="I59">
        <v>1296.8201899999999</v>
      </c>
      <c r="J59">
        <v>1241.524658</v>
      </c>
      <c r="K59">
        <v>1237.7414550000001</v>
      </c>
      <c r="L59">
        <v>1232.3479</v>
      </c>
      <c r="M59">
        <v>1237.422607</v>
      </c>
      <c r="N59">
        <v>1246.1743160000001</v>
      </c>
      <c r="O59">
        <v>1259.5020750000001</v>
      </c>
      <c r="P59">
        <v>1270.115601</v>
      </c>
      <c r="Q59">
        <v>1283.8955080000001</v>
      </c>
      <c r="R59">
        <v>1310.732178</v>
      </c>
      <c r="S59">
        <v>1320.8999020000001</v>
      </c>
      <c r="T59">
        <v>1334.0500489999999</v>
      </c>
      <c r="U59">
        <v>1343.099487</v>
      </c>
      <c r="V59">
        <v>1346.882568</v>
      </c>
      <c r="W59">
        <v>1355.7070309999999</v>
      </c>
      <c r="X59">
        <v>1366.3176269999999</v>
      </c>
      <c r="Y59">
        <v>1377.5832519999999</v>
      </c>
      <c r="Z59">
        <v>1385.084717</v>
      </c>
      <c r="AA59">
        <v>1398.661621</v>
      </c>
      <c r="AB59">
        <v>1409.6635739999999</v>
      </c>
      <c r="AC59">
        <v>1418.010986</v>
      </c>
      <c r="AD59">
        <v>1432.7664789999999</v>
      </c>
      <c r="AE59">
        <v>1445.818237</v>
      </c>
      <c r="AF59">
        <v>1457.258423</v>
      </c>
      <c r="AG59">
        <v>1472.5952150000001</v>
      </c>
      <c r="AH59">
        <v>1482.2152100000001</v>
      </c>
      <c r="AI59">
        <v>1488.5812989999999</v>
      </c>
      <c r="AJ59">
        <v>1497.3845209999999</v>
      </c>
      <c r="AK59">
        <v>1505.557861</v>
      </c>
      <c r="AL59" s="4">
        <v>5.0000000000000001E-3</v>
      </c>
    </row>
    <row r="60" spans="1:38" x14ac:dyDescent="0.3">
      <c r="A60" t="s">
        <v>559</v>
      </c>
      <c r="B60" t="s">
        <v>560</v>
      </c>
      <c r="C60" t="s">
        <v>561</v>
      </c>
      <c r="D60" t="s">
        <v>549</v>
      </c>
      <c r="G60" s="673">
        <v>0.66034599999999999</v>
      </c>
      <c r="H60">
        <v>0.92960200000000004</v>
      </c>
      <c r="I60">
        <v>0.95433199999999996</v>
      </c>
      <c r="J60">
        <v>0.89493500000000004</v>
      </c>
      <c r="K60">
        <v>0.87756500000000004</v>
      </c>
      <c r="L60">
        <v>0.85770800000000003</v>
      </c>
      <c r="M60">
        <v>0.84426800000000002</v>
      </c>
      <c r="N60">
        <v>0.82739099999999999</v>
      </c>
      <c r="O60">
        <v>0.806037</v>
      </c>
      <c r="P60">
        <v>0.78468899999999997</v>
      </c>
      <c r="Q60">
        <v>0.773231</v>
      </c>
      <c r="R60">
        <v>0.75879300000000005</v>
      </c>
      <c r="S60">
        <v>0.73719000000000001</v>
      </c>
      <c r="T60">
        <v>0.72319299999999997</v>
      </c>
      <c r="U60">
        <v>0.69563900000000001</v>
      </c>
      <c r="V60">
        <v>0.67772200000000005</v>
      </c>
      <c r="W60">
        <v>0.67732999999999999</v>
      </c>
      <c r="X60">
        <v>0.67555699999999996</v>
      </c>
      <c r="Y60">
        <v>0.67357999999999996</v>
      </c>
      <c r="Z60">
        <v>0.67475099999999999</v>
      </c>
      <c r="AA60">
        <v>0.68207499999999999</v>
      </c>
      <c r="AB60">
        <v>0.68865900000000002</v>
      </c>
      <c r="AC60">
        <v>0.69686700000000001</v>
      </c>
      <c r="AD60">
        <v>0.70950999999999997</v>
      </c>
      <c r="AE60">
        <v>0.722464</v>
      </c>
      <c r="AF60">
        <v>0.73333000000000004</v>
      </c>
      <c r="AG60">
        <v>0.74799300000000002</v>
      </c>
      <c r="AH60">
        <v>0.76120600000000005</v>
      </c>
      <c r="AI60">
        <v>0.77143300000000004</v>
      </c>
      <c r="AJ60">
        <v>0.78466400000000003</v>
      </c>
      <c r="AK60">
        <v>0.79827599999999999</v>
      </c>
      <c r="AL60" s="4">
        <v>-5.0000000000000001E-3</v>
      </c>
    </row>
    <row r="61" spans="1:38" x14ac:dyDescent="0.3">
      <c r="A61" t="s">
        <v>562</v>
      </c>
      <c r="B61" t="s">
        <v>563</v>
      </c>
      <c r="C61" t="s">
        <v>564</v>
      </c>
      <c r="D61" t="s">
        <v>549</v>
      </c>
      <c r="G61" s="673">
        <v>984.568848</v>
      </c>
      <c r="H61">
        <v>1290.107788</v>
      </c>
      <c r="I61">
        <v>1297.7745359999999</v>
      </c>
      <c r="J61">
        <v>1242.4195560000001</v>
      </c>
      <c r="K61">
        <v>1238.619019</v>
      </c>
      <c r="L61">
        <v>1233.2055660000001</v>
      </c>
      <c r="M61">
        <v>1238.266846</v>
      </c>
      <c r="N61">
        <v>1247.0017089999999</v>
      </c>
      <c r="O61">
        <v>1260.3081050000001</v>
      </c>
      <c r="P61">
        <v>1270.900269</v>
      </c>
      <c r="Q61">
        <v>1284.6687010000001</v>
      </c>
      <c r="R61">
        <v>1311.490967</v>
      </c>
      <c r="S61">
        <v>1321.6370850000001</v>
      </c>
      <c r="T61">
        <v>1334.773193</v>
      </c>
      <c r="U61">
        <v>1343.7951660000001</v>
      </c>
      <c r="V61">
        <v>1347.560303</v>
      </c>
      <c r="W61">
        <v>1356.384399</v>
      </c>
      <c r="X61">
        <v>1366.993164</v>
      </c>
      <c r="Y61">
        <v>1378.256836</v>
      </c>
      <c r="Z61">
        <v>1385.7595209999999</v>
      </c>
      <c r="AA61">
        <v>1399.34375</v>
      </c>
      <c r="AB61">
        <v>1410.352173</v>
      </c>
      <c r="AC61">
        <v>1418.7078859999999</v>
      </c>
      <c r="AD61">
        <v>1433.475952</v>
      </c>
      <c r="AE61">
        <v>1446.540649</v>
      </c>
      <c r="AF61">
        <v>1457.9916989999999</v>
      </c>
      <c r="AG61">
        <v>1473.3432620000001</v>
      </c>
      <c r="AH61">
        <v>1482.9764399999999</v>
      </c>
      <c r="AI61">
        <v>1489.352783</v>
      </c>
      <c r="AJ61">
        <v>1498.169189</v>
      </c>
      <c r="AK61">
        <v>1506.3560789999999</v>
      </c>
      <c r="AL61" s="4">
        <v>5.0000000000000001E-3</v>
      </c>
    </row>
    <row r="62" spans="1:38" x14ac:dyDescent="0.3">
      <c r="A62" t="s">
        <v>565</v>
      </c>
      <c r="C62" t="s">
        <v>566</v>
      </c>
    </row>
    <row r="63" spans="1:38" s="22" customFormat="1" x14ac:dyDescent="0.3">
      <c r="A63" s="8" t="s">
        <v>433</v>
      </c>
      <c r="B63"/>
      <c r="C63" t="s">
        <v>567</v>
      </c>
      <c r="D63"/>
      <c r="E63" s="22" t="s">
        <v>568</v>
      </c>
      <c r="F63"/>
      <c r="G63" s="673"/>
      <c r="H63"/>
      <c r="I63"/>
      <c r="J63"/>
      <c r="K63"/>
      <c r="L63"/>
      <c r="M63"/>
      <c r="N63"/>
      <c r="O63"/>
      <c r="P63"/>
      <c r="Q63"/>
      <c r="R63"/>
      <c r="S63"/>
      <c r="T63"/>
      <c r="U63"/>
      <c r="V63"/>
      <c r="W63"/>
      <c r="X63"/>
      <c r="Y63"/>
      <c r="Z63"/>
      <c r="AA63"/>
      <c r="AB63"/>
      <c r="AC63"/>
      <c r="AD63"/>
      <c r="AE63"/>
      <c r="AF63"/>
      <c r="AG63"/>
      <c r="AH63"/>
      <c r="AI63"/>
      <c r="AJ63"/>
      <c r="AK63"/>
      <c r="AL63"/>
    </row>
    <row r="64" spans="1:38" s="288" customFormat="1" x14ac:dyDescent="0.3">
      <c r="A64" s="288" t="s">
        <v>435</v>
      </c>
      <c r="B64" s="288" t="s">
        <v>569</v>
      </c>
      <c r="C64" s="288" t="s">
        <v>570</v>
      </c>
      <c r="D64" s="288" t="s">
        <v>571</v>
      </c>
      <c r="E64" s="676">
        <f>40879/(45323+40879+111092)</f>
        <v>0.20719839427453446</v>
      </c>
      <c r="F64"/>
      <c r="G64" s="673">
        <v>17.296467</v>
      </c>
      <c r="H64" s="288">
        <v>21.485128</v>
      </c>
      <c r="I64" s="288">
        <v>23.781223000000001</v>
      </c>
      <c r="J64" s="288">
        <v>23.973671</v>
      </c>
      <c r="K64" s="288">
        <v>24.563725999999999</v>
      </c>
      <c r="L64" s="288">
        <v>25.085902999999998</v>
      </c>
      <c r="M64" s="288">
        <v>25.796880999999999</v>
      </c>
      <c r="N64" s="288">
        <v>26.811335</v>
      </c>
      <c r="O64" s="288">
        <v>28.098096999999999</v>
      </c>
      <c r="P64" s="288">
        <v>29.37546</v>
      </c>
      <c r="Q64" s="288">
        <v>30.688005</v>
      </c>
      <c r="R64" s="288">
        <v>32.237212999999997</v>
      </c>
      <c r="S64" s="288">
        <v>33.517620000000001</v>
      </c>
      <c r="T64" s="288">
        <v>34.831046999999998</v>
      </c>
      <c r="U64" s="288">
        <v>36.038196999999997</v>
      </c>
      <c r="V64" s="288">
        <v>37.169186000000003</v>
      </c>
      <c r="W64" s="288">
        <v>38.316550999999997</v>
      </c>
      <c r="X64" s="288">
        <v>39.526668999999998</v>
      </c>
      <c r="Y64" s="288">
        <v>40.770099999999999</v>
      </c>
      <c r="Z64" s="288">
        <v>41.947226999999998</v>
      </c>
      <c r="AA64" s="288">
        <v>43.353558</v>
      </c>
      <c r="AB64" s="288">
        <v>44.741706999999998</v>
      </c>
      <c r="AC64" s="288">
        <v>45.987236000000003</v>
      </c>
      <c r="AD64" s="288">
        <v>47.376404000000001</v>
      </c>
      <c r="AE64" s="288">
        <v>48.874778999999997</v>
      </c>
      <c r="AF64" s="288">
        <v>50.227592000000001</v>
      </c>
      <c r="AG64" s="288">
        <v>51.642440999999998</v>
      </c>
      <c r="AH64" s="288">
        <v>53.044342</v>
      </c>
      <c r="AI64" s="288">
        <v>54.420516999999997</v>
      </c>
      <c r="AJ64" s="288">
        <v>55.728988999999999</v>
      </c>
      <c r="AK64" s="288">
        <v>57.011783999999999</v>
      </c>
      <c r="AL64" s="496">
        <v>3.4000000000000002E-2</v>
      </c>
    </row>
    <row r="65" spans="1:38" s="288" customFormat="1" x14ac:dyDescent="0.3">
      <c r="A65" s="288" t="s">
        <v>439</v>
      </c>
      <c r="B65" s="288" t="s">
        <v>572</v>
      </c>
      <c r="C65" s="288" t="s">
        <v>573</v>
      </c>
      <c r="D65" s="288" t="s">
        <v>571</v>
      </c>
      <c r="E65" s="676">
        <f>111092/(45323+40879+111092)</f>
        <v>0.56307845144809265</v>
      </c>
      <c r="F65"/>
      <c r="G65" s="673">
        <v>17.748362</v>
      </c>
      <c r="H65" s="288">
        <v>21.710046999999999</v>
      </c>
      <c r="I65" s="288">
        <v>22.564747000000001</v>
      </c>
      <c r="J65" s="288">
        <v>22.630500999999999</v>
      </c>
      <c r="K65" s="288">
        <v>24.633424999999999</v>
      </c>
      <c r="L65" s="288">
        <v>25.796292999999999</v>
      </c>
      <c r="M65" s="288">
        <v>27.057013000000001</v>
      </c>
      <c r="N65" s="288">
        <v>28.480813999999999</v>
      </c>
      <c r="O65" s="288">
        <v>29.412946999999999</v>
      </c>
      <c r="P65" s="288">
        <v>30.274664000000001</v>
      </c>
      <c r="Q65" s="288">
        <v>30.93524</v>
      </c>
      <c r="R65" s="288">
        <v>31.994423000000001</v>
      </c>
      <c r="S65" s="288">
        <v>32.839534999999998</v>
      </c>
      <c r="T65" s="288">
        <v>33.648944999999998</v>
      </c>
      <c r="U65" s="288">
        <v>34.466526000000002</v>
      </c>
      <c r="V65" s="288">
        <v>35.338763999999998</v>
      </c>
      <c r="W65" s="288">
        <v>36.357875999999997</v>
      </c>
      <c r="X65" s="288">
        <v>37.473742999999999</v>
      </c>
      <c r="Y65" s="288">
        <v>38.495368999999997</v>
      </c>
      <c r="Z65" s="288">
        <v>39.449562</v>
      </c>
      <c r="AA65" s="288">
        <v>40.688465000000001</v>
      </c>
      <c r="AB65" s="288">
        <v>41.764015000000001</v>
      </c>
      <c r="AC65" s="288">
        <v>42.736426999999999</v>
      </c>
      <c r="AD65" s="288">
        <v>44.087944</v>
      </c>
      <c r="AE65" s="288">
        <v>45.528618000000002</v>
      </c>
      <c r="AF65" s="288">
        <v>46.732165999999999</v>
      </c>
      <c r="AG65" s="288">
        <v>48.162250999999998</v>
      </c>
      <c r="AH65" s="288">
        <v>49.311610999999999</v>
      </c>
      <c r="AI65" s="288">
        <v>50.294777000000003</v>
      </c>
      <c r="AJ65" s="288">
        <v>51.419967999999997</v>
      </c>
      <c r="AK65" s="288">
        <v>52.495659000000003</v>
      </c>
      <c r="AL65" s="496">
        <v>3.1E-2</v>
      </c>
    </row>
    <row r="66" spans="1:38" s="288" customFormat="1" x14ac:dyDescent="0.3">
      <c r="A66" s="288" t="s">
        <v>364</v>
      </c>
      <c r="B66" s="288" t="s">
        <v>574</v>
      </c>
      <c r="C66" s="288" t="s">
        <v>575</v>
      </c>
      <c r="D66" s="288" t="s">
        <v>571</v>
      </c>
      <c r="E66" s="676">
        <f>45323/(45323+40879+111092)</f>
        <v>0.22972315427737286</v>
      </c>
      <c r="F66"/>
      <c r="G66" s="673">
        <v>10.141716000000001</v>
      </c>
      <c r="H66" s="288">
        <v>11.696033999999999</v>
      </c>
      <c r="I66" s="288">
        <v>12.414918</v>
      </c>
      <c r="J66" s="288">
        <v>12.017173</v>
      </c>
      <c r="K66" s="288">
        <v>11.791706</v>
      </c>
      <c r="L66" s="288">
        <v>11.754308</v>
      </c>
      <c r="M66" s="288">
        <v>11.869832000000001</v>
      </c>
      <c r="N66" s="288">
        <v>12.079857000000001</v>
      </c>
      <c r="O66" s="288">
        <v>12.512207</v>
      </c>
      <c r="P66" s="288">
        <v>13.030582000000001</v>
      </c>
      <c r="Q66" s="288">
        <v>13.433274000000001</v>
      </c>
      <c r="R66" s="288">
        <v>14.231783999999999</v>
      </c>
      <c r="S66" s="288">
        <v>14.609230999999999</v>
      </c>
      <c r="T66" s="288">
        <v>15.148007</v>
      </c>
      <c r="U66" s="288">
        <v>15.542141000000001</v>
      </c>
      <c r="V66" s="288">
        <v>15.829572000000001</v>
      </c>
      <c r="W66" s="288">
        <v>16.198775999999999</v>
      </c>
      <c r="X66" s="288">
        <v>16.629014999999999</v>
      </c>
      <c r="Y66" s="288">
        <v>17.033242999999999</v>
      </c>
      <c r="Z66" s="288">
        <v>17.462510999999999</v>
      </c>
      <c r="AA66" s="288">
        <v>17.888939000000001</v>
      </c>
      <c r="AB66" s="288">
        <v>18.330981999999999</v>
      </c>
      <c r="AC66" s="288">
        <v>18.750298999999998</v>
      </c>
      <c r="AD66" s="288">
        <v>19.191662000000001</v>
      </c>
      <c r="AE66" s="288">
        <v>19.601662000000001</v>
      </c>
      <c r="AF66" s="288">
        <v>20.078423999999998</v>
      </c>
      <c r="AG66" s="288">
        <v>20.557652999999998</v>
      </c>
      <c r="AH66" s="288">
        <v>21.060445999999999</v>
      </c>
      <c r="AI66" s="288">
        <v>21.545760999999999</v>
      </c>
      <c r="AJ66" s="288">
        <v>22.100491999999999</v>
      </c>
      <c r="AK66" s="288">
        <v>22.628457999999998</v>
      </c>
      <c r="AL66" s="496">
        <v>2.3E-2</v>
      </c>
    </row>
    <row r="67" spans="1:38" x14ac:dyDescent="0.3">
      <c r="A67" t="s">
        <v>444</v>
      </c>
      <c r="B67" t="s">
        <v>576</v>
      </c>
      <c r="C67" t="s">
        <v>577</v>
      </c>
      <c r="D67" t="s">
        <v>571</v>
      </c>
      <c r="G67" s="673">
        <v>35.773701000000003</v>
      </c>
      <c r="H67">
        <v>38.700668</v>
      </c>
      <c r="I67">
        <v>39.617713999999999</v>
      </c>
      <c r="J67">
        <v>40.060478000000003</v>
      </c>
      <c r="K67">
        <v>40.134177999999999</v>
      </c>
      <c r="L67">
        <v>40.925732000000004</v>
      </c>
      <c r="M67">
        <v>41.913586000000002</v>
      </c>
      <c r="N67">
        <v>43.118862</v>
      </c>
      <c r="O67">
        <v>44.401164999999999</v>
      </c>
      <c r="P67">
        <v>45.678722</v>
      </c>
      <c r="Q67">
        <v>46.868972999999997</v>
      </c>
      <c r="R67">
        <v>48.168712999999997</v>
      </c>
      <c r="S67">
        <v>49.411799999999999</v>
      </c>
      <c r="T67">
        <v>50.834308999999998</v>
      </c>
      <c r="U67">
        <v>52.214641999999998</v>
      </c>
      <c r="V67">
        <v>53.147976</v>
      </c>
      <c r="W67">
        <v>54.261406000000001</v>
      </c>
      <c r="X67">
        <v>55.242843999999998</v>
      </c>
      <c r="Y67">
        <v>56.245368999999997</v>
      </c>
      <c r="Z67">
        <v>57.543174999999998</v>
      </c>
      <c r="AA67">
        <v>58.868800999999998</v>
      </c>
      <c r="AB67">
        <v>60.055866000000002</v>
      </c>
      <c r="AC67">
        <v>61.456688</v>
      </c>
      <c r="AD67">
        <v>62.75956</v>
      </c>
      <c r="AE67">
        <v>63.830314999999999</v>
      </c>
      <c r="AF67">
        <v>65.333343999999997</v>
      </c>
      <c r="AG67">
        <v>66.759406999999996</v>
      </c>
      <c r="AH67">
        <v>68.152343999999999</v>
      </c>
      <c r="AI67">
        <v>69.814887999999996</v>
      </c>
      <c r="AJ67">
        <v>71.274811</v>
      </c>
      <c r="AK67">
        <v>72.437720999999996</v>
      </c>
      <c r="AL67" s="4">
        <v>2.1999999999999999E-2</v>
      </c>
    </row>
    <row r="68" spans="1:38" x14ac:dyDescent="0.3">
      <c r="A68" t="s">
        <v>447</v>
      </c>
      <c r="B68" s="182"/>
      <c r="C68" s="182" t="s">
        <v>578</v>
      </c>
      <c r="D68" s="182"/>
      <c r="E68" s="182"/>
      <c r="F68" s="182"/>
      <c r="G68" s="674">
        <f>SUMPRODUCT($E$64:$E$66,G64:G66)</f>
        <v>15.907307369027949</v>
      </c>
      <c r="H68" s="674">
        <f>SUMPRODUCT($E$64:$E$66,H64:H66)</f>
        <v>19.362993491023545</v>
      </c>
      <c r="I68" s="674">
        <f>SUMPRODUCT($E$64:$E$66,I64:I66)</f>
        <v>20.485148140617554</v>
      </c>
      <c r="J68" s="674">
        <f t="shared" ref="J68:AK68" si="0">SUMPRODUCT($E$64:$E$66,J64:J66)</f>
        <v>20.470676481697364</v>
      </c>
      <c r="K68" s="674">
        <f t="shared" si="0"/>
        <v>21.668943284093785</v>
      </c>
      <c r="L68" s="674">
        <f t="shared" si="0"/>
        <v>22.423332246175757</v>
      </c>
      <c r="M68" s="674">
        <f t="shared" si="0"/>
        <v>23.307068549124658</v>
      </c>
      <c r="N68" s="674">
        <f t="shared" si="0"/>
        <v>24.367221056717387</v>
      </c>
      <c r="O68" s="674">
        <f t="shared" si="0"/>
        <v>25.258020888866362</v>
      </c>
      <c r="P68" s="674">
        <f t="shared" si="0"/>
        <v>26.126985465417093</v>
      </c>
      <c r="Q68" s="674">
        <f t="shared" si="0"/>
        <v>26.863406469416198</v>
      </c>
      <c r="R68" s="674">
        <f t="shared" si="0"/>
        <v>27.964239238775637</v>
      </c>
      <c r="S68" s="674">
        <f t="shared" si="0"/>
        <v>28.792110184866235</v>
      </c>
      <c r="T68" s="674">
        <f t="shared" si="0"/>
        <v>29.6437808018186</v>
      </c>
      <c r="U68" s="674">
        <f t="shared" si="0"/>
        <v>30.444804292568449</v>
      </c>
      <c r="V68" s="674">
        <f t="shared" si="0"/>
        <v>31.236311375601893</v>
      </c>
      <c r="W68" s="674">
        <f t="shared" si="0"/>
        <v>32.132698275512688</v>
      </c>
      <c r="X68" s="674">
        <f t="shared" si="0"/>
        <v>33.110589304550565</v>
      </c>
      <c r="Y68" s="674">
        <f t="shared" si="0"/>
        <v>34.036342328388088</v>
      </c>
      <c r="Z68" s="674">
        <f t="shared" si="0"/>
        <v>34.91613946845824</v>
      </c>
      <c r="AA68" s="674">
        <f t="shared" si="0"/>
        <v>36.003088961443325</v>
      </c>
      <c r="AB68" s="674">
        <f t="shared" si="0"/>
        <v>36.997877745998352</v>
      </c>
      <c r="AC68" s="674">
        <f t="shared" si="0"/>
        <v>37.899820421832395</v>
      </c>
      <c r="AD68" s="674">
        <f t="shared" si="0"/>
        <v>39.050055200817056</v>
      </c>
      <c r="AE68" s="674">
        <f t="shared" si="0"/>
        <v>40.265915073053414</v>
      </c>
      <c r="AF68" s="674">
        <f t="shared" si="0"/>
        <v>41.333430968970163</v>
      </c>
      <c r="AG68" s="674">
        <f t="shared" si="0"/>
        <v>42.541925454651427</v>
      </c>
      <c r="AH68" s="674">
        <f t="shared" si="0"/>
        <v>43.59508013364826</v>
      </c>
      <c r="AI68" s="674">
        <f t="shared" si="0"/>
        <v>44.545309065303556</v>
      </c>
      <c r="AJ68" s="674">
        <f t="shared" si="0"/>
        <v>45.577427723615521</v>
      </c>
      <c r="AK68" s="674">
        <f t="shared" si="0"/>
        <v>46.570205225186776</v>
      </c>
    </row>
    <row r="69" spans="1:38" x14ac:dyDescent="0.3">
      <c r="A69" t="s">
        <v>435</v>
      </c>
      <c r="B69" t="s">
        <v>579</v>
      </c>
      <c r="C69" t="s">
        <v>580</v>
      </c>
      <c r="D69" t="s">
        <v>571</v>
      </c>
      <c r="G69" s="673">
        <v>12.770180999999999</v>
      </c>
      <c r="H69">
        <v>18.792190999999999</v>
      </c>
      <c r="I69">
        <v>20.287763999999999</v>
      </c>
      <c r="J69">
        <v>19.030828</v>
      </c>
      <c r="K69">
        <v>19.382282</v>
      </c>
      <c r="L69">
        <v>19.705380999999999</v>
      </c>
      <c r="M69">
        <v>20.336395</v>
      </c>
      <c r="N69">
        <v>21.295309</v>
      </c>
      <c r="O69">
        <v>22.469615999999998</v>
      </c>
      <c r="P69">
        <v>23.464950999999999</v>
      </c>
      <c r="Q69">
        <v>24.482685</v>
      </c>
      <c r="R69">
        <v>25.78783</v>
      </c>
      <c r="S69">
        <v>26.721371000000001</v>
      </c>
      <c r="T69">
        <v>27.709343000000001</v>
      </c>
      <c r="U69">
        <v>28.550087000000001</v>
      </c>
      <c r="V69">
        <v>29.334786999999999</v>
      </c>
      <c r="W69">
        <v>30.188306999999998</v>
      </c>
      <c r="X69">
        <v>31.126162000000001</v>
      </c>
      <c r="Y69">
        <v>32.075645000000002</v>
      </c>
      <c r="Z69">
        <v>32.920071</v>
      </c>
      <c r="AA69">
        <v>34.085678000000001</v>
      </c>
      <c r="AB69">
        <v>35.128605</v>
      </c>
      <c r="AC69">
        <v>35.967174999999997</v>
      </c>
      <c r="AD69">
        <v>37.067965999999998</v>
      </c>
      <c r="AE69">
        <v>38.264091000000001</v>
      </c>
      <c r="AF69">
        <v>39.201560999999998</v>
      </c>
      <c r="AG69">
        <v>40.275252999999999</v>
      </c>
      <c r="AH69">
        <v>41.319102999999998</v>
      </c>
      <c r="AI69">
        <v>42.330120000000001</v>
      </c>
      <c r="AJ69">
        <v>43.264816000000003</v>
      </c>
      <c r="AK69">
        <v>44.207405000000001</v>
      </c>
      <c r="AL69" s="4">
        <v>0.03</v>
      </c>
    </row>
    <row r="70" spans="1:38" x14ac:dyDescent="0.3">
      <c r="A70" t="s">
        <v>439</v>
      </c>
      <c r="B70" t="s">
        <v>581</v>
      </c>
      <c r="C70" t="s">
        <v>582</v>
      </c>
      <c r="D70" t="s">
        <v>571</v>
      </c>
      <c r="G70" s="673">
        <v>17.825056</v>
      </c>
      <c r="H70">
        <v>21.78829</v>
      </c>
      <c r="I70">
        <v>22.649730999999999</v>
      </c>
      <c r="J70">
        <v>21.510619999999999</v>
      </c>
      <c r="K70">
        <v>22.377887999999999</v>
      </c>
      <c r="L70">
        <v>22.308598</v>
      </c>
      <c r="M70">
        <v>22.282613999999999</v>
      </c>
      <c r="N70">
        <v>22.370726000000001</v>
      </c>
      <c r="O70">
        <v>23.156898000000002</v>
      </c>
      <c r="P70">
        <v>23.859835</v>
      </c>
      <c r="Q70">
        <v>24.374552000000001</v>
      </c>
      <c r="R70">
        <v>25.677551000000001</v>
      </c>
      <c r="S70">
        <v>26.389191</v>
      </c>
      <c r="T70">
        <v>27.122574</v>
      </c>
      <c r="U70">
        <v>27.800212999999999</v>
      </c>
      <c r="V70">
        <v>28.544165</v>
      </c>
      <c r="W70">
        <v>29.417538</v>
      </c>
      <c r="X70">
        <v>30.383151999999999</v>
      </c>
      <c r="Y70">
        <v>31.252860999999999</v>
      </c>
      <c r="Z70">
        <v>32.047020000000003</v>
      </c>
      <c r="AA70">
        <v>33.091904</v>
      </c>
      <c r="AB70">
        <v>34.005920000000003</v>
      </c>
      <c r="AC70">
        <v>34.807175000000001</v>
      </c>
      <c r="AD70">
        <v>36.008240000000001</v>
      </c>
      <c r="AE70">
        <v>37.294215999999999</v>
      </c>
      <c r="AF70">
        <v>38.324806000000002</v>
      </c>
      <c r="AG70">
        <v>39.536068</v>
      </c>
      <c r="AH70">
        <v>40.518172999999997</v>
      </c>
      <c r="AI70">
        <v>41.335075000000003</v>
      </c>
      <c r="AJ70">
        <v>42.243541999999998</v>
      </c>
      <c r="AK70">
        <v>43.070762999999999</v>
      </c>
      <c r="AL70" s="4">
        <v>2.4E-2</v>
      </c>
    </row>
    <row r="71" spans="1:38" x14ac:dyDescent="0.3">
      <c r="A71" t="s">
        <v>453</v>
      </c>
      <c r="B71" t="s">
        <v>583</v>
      </c>
      <c r="C71" t="s">
        <v>584</v>
      </c>
      <c r="D71" t="s">
        <v>571</v>
      </c>
      <c r="G71" s="673">
        <v>5.2465200000000003</v>
      </c>
      <c r="H71">
        <v>6.4996479999999996</v>
      </c>
      <c r="I71">
        <v>7.7271970000000003</v>
      </c>
      <c r="J71">
        <v>7.9938250000000002</v>
      </c>
      <c r="K71">
        <v>9.6008840000000006</v>
      </c>
      <c r="L71">
        <v>10.415872</v>
      </c>
      <c r="M71">
        <v>11.320288</v>
      </c>
      <c r="N71">
        <v>12.491306</v>
      </c>
      <c r="O71">
        <v>13.047025</v>
      </c>
      <c r="P71">
        <v>13.482117000000001</v>
      </c>
      <c r="Q71">
        <v>13.987064</v>
      </c>
      <c r="R71">
        <v>14.537535</v>
      </c>
      <c r="S71">
        <v>15.041876</v>
      </c>
      <c r="T71">
        <v>15.533052</v>
      </c>
      <c r="U71">
        <v>15.894372000000001</v>
      </c>
      <c r="V71">
        <v>16.271698000000001</v>
      </c>
      <c r="W71">
        <v>16.561153000000001</v>
      </c>
      <c r="X71">
        <v>16.896235999999998</v>
      </c>
      <c r="Y71">
        <v>17.567084999999999</v>
      </c>
      <c r="Z71">
        <v>17.696434</v>
      </c>
      <c r="AA71">
        <v>18.904684</v>
      </c>
      <c r="AB71">
        <v>19.604246</v>
      </c>
      <c r="AC71">
        <v>20.277844999999999</v>
      </c>
      <c r="AD71">
        <v>21.354593000000001</v>
      </c>
      <c r="AE71">
        <v>22.304276000000002</v>
      </c>
      <c r="AF71">
        <v>22.969524</v>
      </c>
      <c r="AG71">
        <v>23.753544000000002</v>
      </c>
      <c r="AH71">
        <v>24.503482999999999</v>
      </c>
      <c r="AI71">
        <v>24.891987</v>
      </c>
      <c r="AJ71">
        <v>25.569624000000001</v>
      </c>
      <c r="AK71">
        <v>25.992681999999999</v>
      </c>
      <c r="AL71" s="4">
        <v>4.9000000000000002E-2</v>
      </c>
    </row>
    <row r="72" spans="1:38" x14ac:dyDescent="0.3">
      <c r="A72" t="s">
        <v>364</v>
      </c>
      <c r="B72" t="s">
        <v>585</v>
      </c>
      <c r="C72" t="s">
        <v>586</v>
      </c>
      <c r="D72" t="s">
        <v>571</v>
      </c>
      <c r="G72" s="673">
        <v>7.2274659999999997</v>
      </c>
      <c r="H72">
        <v>8.4290780000000005</v>
      </c>
      <c r="I72">
        <v>8.9971359999999994</v>
      </c>
      <c r="J72">
        <v>8.8635029999999997</v>
      </c>
      <c r="K72">
        <v>8.7460540000000009</v>
      </c>
      <c r="L72">
        <v>8.7980060000000009</v>
      </c>
      <c r="M72">
        <v>8.9910700000000006</v>
      </c>
      <c r="N72">
        <v>9.2646320000000006</v>
      </c>
      <c r="O72">
        <v>9.6105909999999994</v>
      </c>
      <c r="P72">
        <v>10.030252000000001</v>
      </c>
      <c r="Q72">
        <v>10.341791000000001</v>
      </c>
      <c r="R72">
        <v>10.912656999999999</v>
      </c>
      <c r="S72">
        <v>11.172338</v>
      </c>
      <c r="T72">
        <v>11.582117999999999</v>
      </c>
      <c r="U72">
        <v>11.876585</v>
      </c>
      <c r="V72">
        <v>12.071666</v>
      </c>
      <c r="W72">
        <v>12.344823999999999</v>
      </c>
      <c r="X72">
        <v>12.676251000000001</v>
      </c>
      <c r="Y72">
        <v>12.982614999999999</v>
      </c>
      <c r="Z72">
        <v>13.310534000000001</v>
      </c>
      <c r="AA72">
        <v>13.635244</v>
      </c>
      <c r="AB72">
        <v>13.968075000000001</v>
      </c>
      <c r="AC72">
        <v>14.278524000000001</v>
      </c>
      <c r="AD72">
        <v>14.610531999999999</v>
      </c>
      <c r="AE72">
        <v>14.905124000000001</v>
      </c>
      <c r="AF72">
        <v>15.262822</v>
      </c>
      <c r="AG72">
        <v>15.62407</v>
      </c>
      <c r="AH72">
        <v>16.004888999999999</v>
      </c>
      <c r="AI72">
        <v>16.371986</v>
      </c>
      <c r="AJ72">
        <v>16.800630999999999</v>
      </c>
      <c r="AK72">
        <v>17.200544000000001</v>
      </c>
      <c r="AL72" s="4">
        <v>2.5000000000000001E-2</v>
      </c>
    </row>
    <row r="73" spans="1:38" x14ac:dyDescent="0.3">
      <c r="A73" t="s">
        <v>444</v>
      </c>
      <c r="B73" t="s">
        <v>587</v>
      </c>
      <c r="C73" t="s">
        <v>588</v>
      </c>
      <c r="D73" t="s">
        <v>571</v>
      </c>
      <c r="G73" s="673">
        <v>31.325308</v>
      </c>
      <c r="H73">
        <v>33.181457999999999</v>
      </c>
      <c r="I73">
        <v>33.878109000000002</v>
      </c>
      <c r="J73">
        <v>33.606670000000001</v>
      </c>
      <c r="K73">
        <v>33.442309999999999</v>
      </c>
      <c r="L73">
        <v>34.078471999999998</v>
      </c>
      <c r="M73">
        <v>34.817138999999997</v>
      </c>
      <c r="N73">
        <v>35.728496999999997</v>
      </c>
      <c r="O73">
        <v>36.685603999999998</v>
      </c>
      <c r="P73">
        <v>37.644542999999999</v>
      </c>
      <c r="Q73">
        <v>38.509467999999998</v>
      </c>
      <c r="R73">
        <v>39.511063</v>
      </c>
      <c r="S73">
        <v>40.360816999999997</v>
      </c>
      <c r="T73">
        <v>41.471615</v>
      </c>
      <c r="U73">
        <v>42.493271</v>
      </c>
      <c r="V73">
        <v>43.082932</v>
      </c>
      <c r="W73">
        <v>43.848190000000002</v>
      </c>
      <c r="X73">
        <v>44.508965000000003</v>
      </c>
      <c r="Y73">
        <v>45.150764000000002</v>
      </c>
      <c r="Z73">
        <v>46.151558000000001</v>
      </c>
      <c r="AA73">
        <v>47.105209000000002</v>
      </c>
      <c r="AB73">
        <v>47.867989000000001</v>
      </c>
      <c r="AC73">
        <v>48.870499000000002</v>
      </c>
      <c r="AD73">
        <v>49.845920999999997</v>
      </c>
      <c r="AE73">
        <v>50.469154000000003</v>
      </c>
      <c r="AF73">
        <v>51.580371999999997</v>
      </c>
      <c r="AG73">
        <v>52.619067999999999</v>
      </c>
      <c r="AH73">
        <v>53.522812000000002</v>
      </c>
      <c r="AI73">
        <v>54.786403999999997</v>
      </c>
      <c r="AJ73">
        <v>55.861941999999999</v>
      </c>
      <c r="AK73">
        <v>56.607075000000002</v>
      </c>
      <c r="AL73" s="4">
        <v>1.9E-2</v>
      </c>
    </row>
    <row r="74" spans="1:38" x14ac:dyDescent="0.3">
      <c r="A74" t="s">
        <v>460</v>
      </c>
      <c r="C74" t="s">
        <v>589</v>
      </c>
    </row>
    <row r="75" spans="1:38" x14ac:dyDescent="0.3">
      <c r="A75" t="s">
        <v>435</v>
      </c>
      <c r="B75" t="s">
        <v>590</v>
      </c>
      <c r="C75" t="s">
        <v>591</v>
      </c>
      <c r="D75" t="s">
        <v>571</v>
      </c>
      <c r="G75" s="673">
        <v>7.6224270000000001</v>
      </c>
      <c r="H75">
        <v>13.641980999999999</v>
      </c>
      <c r="I75">
        <v>14.82328</v>
      </c>
      <c r="J75">
        <v>13.228118</v>
      </c>
      <c r="K75">
        <v>13.509581000000001</v>
      </c>
      <c r="L75">
        <v>13.700345</v>
      </c>
      <c r="M75">
        <v>14.203962000000001</v>
      </c>
      <c r="N75">
        <v>15.032783999999999</v>
      </c>
      <c r="O75">
        <v>16.078341000000002</v>
      </c>
      <c r="P75">
        <v>16.922007000000001</v>
      </c>
      <c r="Q75">
        <v>17.805546</v>
      </c>
      <c r="R75">
        <v>18.664694000000001</v>
      </c>
      <c r="S75">
        <v>19.45636</v>
      </c>
      <c r="T75">
        <v>20.259917999999999</v>
      </c>
      <c r="U75">
        <v>20.942271999999999</v>
      </c>
      <c r="V75">
        <v>21.565058000000001</v>
      </c>
      <c r="W75">
        <v>22.266251</v>
      </c>
      <c r="X75">
        <v>23.055674</v>
      </c>
      <c r="Y75">
        <v>23.847632999999998</v>
      </c>
      <c r="Z75">
        <v>24.515272</v>
      </c>
      <c r="AA75">
        <v>25.546053000000001</v>
      </c>
      <c r="AB75">
        <v>26.414724</v>
      </c>
      <c r="AC75">
        <v>27.043839999999999</v>
      </c>
      <c r="AD75">
        <v>27.982063</v>
      </c>
      <c r="AE75">
        <v>29.014353</v>
      </c>
      <c r="AF75">
        <v>29.733128000000001</v>
      </c>
      <c r="AG75">
        <v>30.615950000000002</v>
      </c>
      <c r="AH75">
        <v>31.452760999999999</v>
      </c>
      <c r="AI75">
        <v>32.243564999999997</v>
      </c>
      <c r="AJ75">
        <v>32.938231999999999</v>
      </c>
      <c r="AK75">
        <v>33.640236000000002</v>
      </c>
      <c r="AL75" s="4">
        <v>3.2000000000000001E-2</v>
      </c>
    </row>
    <row r="76" spans="1:38" x14ac:dyDescent="0.3">
      <c r="A76" t="s">
        <v>439</v>
      </c>
      <c r="B76" t="s">
        <v>592</v>
      </c>
      <c r="C76" t="s">
        <v>593</v>
      </c>
      <c r="D76" t="s">
        <v>571</v>
      </c>
      <c r="G76" s="673">
        <v>17.750848999999999</v>
      </c>
      <c r="H76">
        <v>21.717592</v>
      </c>
      <c r="I76">
        <v>22.571608000000001</v>
      </c>
      <c r="J76">
        <v>21.515599999999999</v>
      </c>
      <c r="K76">
        <v>22.345278</v>
      </c>
      <c r="L76">
        <v>22.266521000000001</v>
      </c>
      <c r="M76">
        <v>22.220915000000002</v>
      </c>
      <c r="N76">
        <v>22.279768000000001</v>
      </c>
      <c r="O76">
        <v>23.069102999999998</v>
      </c>
      <c r="P76">
        <v>23.781469000000001</v>
      </c>
      <c r="Q76">
        <v>24.300283</v>
      </c>
      <c r="R76">
        <v>25.22044</v>
      </c>
      <c r="S76">
        <v>25.921616</v>
      </c>
      <c r="T76">
        <v>26.606038999999999</v>
      </c>
      <c r="U76">
        <v>27.268663</v>
      </c>
      <c r="V76">
        <v>28.014161999999999</v>
      </c>
      <c r="W76">
        <v>28.888258</v>
      </c>
      <c r="X76">
        <v>29.851292000000001</v>
      </c>
      <c r="Y76">
        <v>30.717579000000001</v>
      </c>
      <c r="Z76">
        <v>31.510216</v>
      </c>
      <c r="AA76">
        <v>32.536942000000003</v>
      </c>
      <c r="AB76">
        <v>33.454242999999998</v>
      </c>
      <c r="AC76">
        <v>34.250960999999997</v>
      </c>
      <c r="AD76">
        <v>35.466492000000002</v>
      </c>
      <c r="AE76">
        <v>36.756816999999998</v>
      </c>
      <c r="AF76">
        <v>37.783194999999999</v>
      </c>
      <c r="AG76">
        <v>38.975670000000001</v>
      </c>
      <c r="AH76">
        <v>39.964108000000003</v>
      </c>
      <c r="AI76">
        <v>40.792220999999998</v>
      </c>
      <c r="AJ76">
        <v>41.688946000000001</v>
      </c>
      <c r="AK76">
        <v>42.504292</v>
      </c>
      <c r="AL76" s="4">
        <v>2.3E-2</v>
      </c>
    </row>
    <row r="77" spans="1:38" x14ac:dyDescent="0.3">
      <c r="A77" t="s">
        <v>453</v>
      </c>
      <c r="B77" t="s">
        <v>594</v>
      </c>
      <c r="C77" t="s">
        <v>595</v>
      </c>
      <c r="D77" t="s">
        <v>571</v>
      </c>
      <c r="G77" s="673">
        <v>5.4227220000000003</v>
      </c>
      <c r="H77">
        <v>7.0809300000000004</v>
      </c>
      <c r="I77">
        <v>8.4804739999999992</v>
      </c>
      <c r="J77">
        <v>8.9927600000000005</v>
      </c>
      <c r="K77">
        <v>10.841158</v>
      </c>
      <c r="L77">
        <v>11.899393</v>
      </c>
      <c r="M77">
        <v>13.108364</v>
      </c>
      <c r="N77">
        <v>14.567432</v>
      </c>
      <c r="O77">
        <v>15.200374</v>
      </c>
      <c r="P77">
        <v>15.714444</v>
      </c>
      <c r="Q77">
        <v>16.290115</v>
      </c>
      <c r="R77">
        <v>16.919771000000001</v>
      </c>
      <c r="S77">
        <v>17.494879000000001</v>
      </c>
      <c r="T77">
        <v>18.059370000000001</v>
      </c>
      <c r="U77">
        <v>18.495069999999998</v>
      </c>
      <c r="V77">
        <v>18.953984999999999</v>
      </c>
      <c r="W77">
        <v>19.314917000000001</v>
      </c>
      <c r="X77">
        <v>19.694980999999999</v>
      </c>
      <c r="Y77">
        <v>20.482464</v>
      </c>
      <c r="Z77">
        <v>20.742702000000001</v>
      </c>
      <c r="AA77">
        <v>22.002410999999999</v>
      </c>
      <c r="AB77">
        <v>22.783194000000002</v>
      </c>
      <c r="AC77">
        <v>23.533719999999999</v>
      </c>
      <c r="AD77">
        <v>24.681253000000002</v>
      </c>
      <c r="AE77">
        <v>25.668652000000002</v>
      </c>
      <c r="AF77">
        <v>26.400908000000001</v>
      </c>
      <c r="AG77">
        <v>27.306450000000002</v>
      </c>
      <c r="AH77">
        <v>28.066879</v>
      </c>
      <c r="AI77">
        <v>28.649054</v>
      </c>
      <c r="AJ77">
        <v>29.361336000000001</v>
      </c>
      <c r="AK77">
        <v>29.941208</v>
      </c>
      <c r="AL77" s="4">
        <v>5.0999999999999997E-2</v>
      </c>
    </row>
    <row r="78" spans="1:38" x14ac:dyDescent="0.3">
      <c r="A78" t="s">
        <v>364</v>
      </c>
      <c r="B78" t="s">
        <v>596</v>
      </c>
      <c r="C78" t="s">
        <v>597</v>
      </c>
      <c r="D78" t="s">
        <v>571</v>
      </c>
      <c r="G78" s="673">
        <v>3.0610119999999998</v>
      </c>
      <c r="H78">
        <v>5.058338</v>
      </c>
      <c r="I78">
        <v>4.9606880000000002</v>
      </c>
      <c r="J78">
        <v>4.7308859999999999</v>
      </c>
      <c r="K78">
        <v>4.4869789999999998</v>
      </c>
      <c r="L78">
        <v>4.4059819999999998</v>
      </c>
      <c r="M78">
        <v>4.4885460000000004</v>
      </c>
      <c r="N78">
        <v>4.6922079999999999</v>
      </c>
      <c r="O78">
        <v>4.9800719999999998</v>
      </c>
      <c r="P78">
        <v>5.2466489999999997</v>
      </c>
      <c r="Q78">
        <v>5.4737900000000002</v>
      </c>
      <c r="R78">
        <v>5.6553329999999997</v>
      </c>
      <c r="S78">
        <v>5.8114090000000003</v>
      </c>
      <c r="T78">
        <v>6.0306319999999998</v>
      </c>
      <c r="U78">
        <v>6.158785</v>
      </c>
      <c r="V78">
        <v>6.2683720000000003</v>
      </c>
      <c r="W78">
        <v>6.4107750000000001</v>
      </c>
      <c r="X78">
        <v>6.5754510000000002</v>
      </c>
      <c r="Y78">
        <v>6.7349690000000004</v>
      </c>
      <c r="Z78">
        <v>6.8900499999999996</v>
      </c>
      <c r="AA78">
        <v>7.0822799999999999</v>
      </c>
      <c r="AB78">
        <v>7.2536230000000002</v>
      </c>
      <c r="AC78">
        <v>7.3851310000000003</v>
      </c>
      <c r="AD78">
        <v>7.546316</v>
      </c>
      <c r="AE78">
        <v>7.642658</v>
      </c>
      <c r="AF78">
        <v>7.7947069999999998</v>
      </c>
      <c r="AG78">
        <v>7.9593800000000003</v>
      </c>
      <c r="AH78">
        <v>8.1358029999999992</v>
      </c>
      <c r="AI78">
        <v>8.3268740000000001</v>
      </c>
      <c r="AJ78">
        <v>8.4997769999999999</v>
      </c>
      <c r="AK78">
        <v>8.6865319999999997</v>
      </c>
      <c r="AL78" s="4">
        <v>1.9E-2</v>
      </c>
    </row>
    <row r="79" spans="1:38" x14ac:dyDescent="0.3">
      <c r="A79" t="s">
        <v>470</v>
      </c>
      <c r="B79" t="s">
        <v>598</v>
      </c>
      <c r="C79" t="s">
        <v>599</v>
      </c>
      <c r="D79" t="s">
        <v>571</v>
      </c>
      <c r="G79" s="673">
        <v>4.01729</v>
      </c>
      <c r="H79">
        <v>3.9200170000000001</v>
      </c>
      <c r="I79">
        <v>3.6054369999999998</v>
      </c>
      <c r="J79">
        <v>3.4913690000000002</v>
      </c>
      <c r="K79">
        <v>3.3983819999999998</v>
      </c>
      <c r="L79">
        <v>3.3789889999999998</v>
      </c>
      <c r="M79">
        <v>3.3908390000000002</v>
      </c>
      <c r="N79">
        <v>3.445567</v>
      </c>
      <c r="O79">
        <v>3.533506</v>
      </c>
      <c r="P79">
        <v>3.6329379999999998</v>
      </c>
      <c r="Q79">
        <v>3.7527650000000001</v>
      </c>
      <c r="R79">
        <v>3.866501</v>
      </c>
      <c r="S79">
        <v>3.9937640000000001</v>
      </c>
      <c r="T79">
        <v>4.1150979999999997</v>
      </c>
      <c r="U79">
        <v>4.2374179999999999</v>
      </c>
      <c r="V79">
        <v>4.3664909999999999</v>
      </c>
      <c r="W79">
        <v>4.5016809999999996</v>
      </c>
      <c r="X79">
        <v>4.6472639999999998</v>
      </c>
      <c r="Y79">
        <v>4.7897720000000001</v>
      </c>
      <c r="Z79">
        <v>4.9332200000000004</v>
      </c>
      <c r="AA79">
        <v>5.0880960000000002</v>
      </c>
      <c r="AB79">
        <v>5.2426050000000002</v>
      </c>
      <c r="AC79">
        <v>5.3983359999999996</v>
      </c>
      <c r="AD79">
        <v>5.5599360000000004</v>
      </c>
      <c r="AE79">
        <v>5.7329210000000002</v>
      </c>
      <c r="AF79">
        <v>5.9108970000000003</v>
      </c>
      <c r="AG79">
        <v>6.0977940000000004</v>
      </c>
      <c r="AH79">
        <v>6.284459</v>
      </c>
      <c r="AI79">
        <v>6.4651100000000001</v>
      </c>
      <c r="AJ79">
        <v>6.6547159999999996</v>
      </c>
      <c r="AK79">
        <v>6.8627050000000001</v>
      </c>
      <c r="AL79" s="4">
        <v>1.9E-2</v>
      </c>
    </row>
    <row r="80" spans="1:38" x14ac:dyDescent="0.3">
      <c r="A80" t="s">
        <v>473</v>
      </c>
      <c r="B80" t="s">
        <v>600</v>
      </c>
      <c r="C80" t="s">
        <v>601</v>
      </c>
      <c r="D80" t="s">
        <v>571</v>
      </c>
      <c r="G80" s="673">
        <v>2.821307</v>
      </c>
      <c r="H80">
        <v>2.6913619999999998</v>
      </c>
      <c r="I80">
        <v>2.7431549999999998</v>
      </c>
      <c r="J80">
        <v>2.8010410000000001</v>
      </c>
      <c r="K80">
        <v>2.8696139999999999</v>
      </c>
      <c r="L80">
        <v>2.9360019999999998</v>
      </c>
      <c r="M80">
        <v>2.9961129999999998</v>
      </c>
      <c r="N80">
        <v>3.0601240000000001</v>
      </c>
      <c r="O80">
        <v>3.1369449999999999</v>
      </c>
      <c r="P80">
        <v>3.2139259999999998</v>
      </c>
      <c r="Q80">
        <v>3.2908240000000002</v>
      </c>
      <c r="R80">
        <v>3.3714750000000002</v>
      </c>
      <c r="S80">
        <v>3.4496699999999998</v>
      </c>
      <c r="T80">
        <v>3.5312399999999999</v>
      </c>
      <c r="U80">
        <v>3.6126680000000002</v>
      </c>
      <c r="V80">
        <v>3.6879209999999998</v>
      </c>
      <c r="W80">
        <v>3.7663259999999998</v>
      </c>
      <c r="X80">
        <v>3.848652</v>
      </c>
      <c r="Y80">
        <v>3.944464</v>
      </c>
      <c r="Z80">
        <v>4.0371410000000001</v>
      </c>
      <c r="AA80">
        <v>4.1365400000000001</v>
      </c>
      <c r="AB80">
        <v>4.2392839999999996</v>
      </c>
      <c r="AC80">
        <v>4.3292999999999999</v>
      </c>
      <c r="AD80">
        <v>4.4344049999999999</v>
      </c>
      <c r="AE80">
        <v>4.545051</v>
      </c>
      <c r="AF80">
        <v>4.6587829999999997</v>
      </c>
      <c r="AG80">
        <v>4.7740859999999996</v>
      </c>
      <c r="AH80">
        <v>4.8882709999999996</v>
      </c>
      <c r="AI80">
        <v>5.0032519999999998</v>
      </c>
      <c r="AJ80">
        <v>5.1265590000000003</v>
      </c>
      <c r="AK80">
        <v>5.2522419999999999</v>
      </c>
      <c r="AL80" s="4">
        <v>2.3E-2</v>
      </c>
    </row>
    <row r="81" spans="1:38" x14ac:dyDescent="0.3">
      <c r="A81" t="s">
        <v>476</v>
      </c>
      <c r="B81" t="s">
        <v>602</v>
      </c>
      <c r="C81" t="s">
        <v>603</v>
      </c>
      <c r="D81" t="s">
        <v>571</v>
      </c>
      <c r="G81" s="673">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t="s">
        <v>479</v>
      </c>
    </row>
    <row r="82" spans="1:38" x14ac:dyDescent="0.3">
      <c r="A82" t="s">
        <v>444</v>
      </c>
      <c r="B82" t="s">
        <v>604</v>
      </c>
      <c r="C82" t="s">
        <v>605</v>
      </c>
      <c r="D82" t="s">
        <v>571</v>
      </c>
      <c r="G82" s="673">
        <v>20.713954999999999</v>
      </c>
      <c r="H82">
        <v>21.928906999999999</v>
      </c>
      <c r="I82">
        <v>22.258635999999999</v>
      </c>
      <c r="J82">
        <v>21.687746000000001</v>
      </c>
      <c r="K82">
        <v>21.432552000000001</v>
      </c>
      <c r="L82">
        <v>21.685675</v>
      </c>
      <c r="M82">
        <v>21.965502000000001</v>
      </c>
      <c r="N82">
        <v>22.512975999999998</v>
      </c>
      <c r="O82">
        <v>23.17944</v>
      </c>
      <c r="P82">
        <v>23.771338</v>
      </c>
      <c r="Q82">
        <v>24.363264000000001</v>
      </c>
      <c r="R82">
        <v>24.943731</v>
      </c>
      <c r="S82">
        <v>25.529104</v>
      </c>
      <c r="T82">
        <v>26.149601000000001</v>
      </c>
      <c r="U82">
        <v>26.755617000000001</v>
      </c>
      <c r="V82">
        <v>27.120042999999999</v>
      </c>
      <c r="W82">
        <v>27.645548000000002</v>
      </c>
      <c r="X82">
        <v>28.054914</v>
      </c>
      <c r="Y82">
        <v>28.52524</v>
      </c>
      <c r="Z82">
        <v>29.101257</v>
      </c>
      <c r="AA82">
        <v>29.699963</v>
      </c>
      <c r="AB82">
        <v>30.254791000000001</v>
      </c>
      <c r="AC82">
        <v>30.826568999999999</v>
      </c>
      <c r="AD82">
        <v>31.360878</v>
      </c>
      <c r="AE82">
        <v>31.823613999999999</v>
      </c>
      <c r="AF82">
        <v>32.437401000000001</v>
      </c>
      <c r="AG82">
        <v>33.070732</v>
      </c>
      <c r="AH82">
        <v>33.716315999999999</v>
      </c>
      <c r="AI82">
        <v>34.451973000000002</v>
      </c>
      <c r="AJ82">
        <v>35.131283000000003</v>
      </c>
      <c r="AK82">
        <v>35.716999000000001</v>
      </c>
      <c r="AL82" s="4">
        <v>1.7000000000000001E-2</v>
      </c>
    </row>
    <row r="83" spans="1:38" s="8" customFormat="1" x14ac:dyDescent="0.3">
      <c r="A83" s="8" t="s">
        <v>482</v>
      </c>
      <c r="B83"/>
      <c r="C83" t="s">
        <v>606</v>
      </c>
      <c r="D83"/>
      <c r="F83"/>
      <c r="G83" s="673"/>
      <c r="H83"/>
      <c r="I83"/>
      <c r="J83"/>
      <c r="K83"/>
      <c r="L83"/>
      <c r="M83"/>
      <c r="N83"/>
      <c r="O83"/>
      <c r="P83"/>
      <c r="Q83"/>
      <c r="R83"/>
      <c r="S83"/>
      <c r="T83"/>
      <c r="U83"/>
      <c r="V83"/>
      <c r="W83"/>
      <c r="X83"/>
      <c r="Y83"/>
      <c r="Z83"/>
      <c r="AA83"/>
      <c r="AB83"/>
      <c r="AC83"/>
      <c r="AD83"/>
      <c r="AE83"/>
      <c r="AF83"/>
      <c r="AG83"/>
      <c r="AH83"/>
      <c r="AI83"/>
      <c r="AJ83"/>
      <c r="AK83"/>
      <c r="AL83"/>
    </row>
    <row r="84" spans="1:38" x14ac:dyDescent="0.3">
      <c r="A84" t="s">
        <v>435</v>
      </c>
      <c r="B84" t="s">
        <v>607</v>
      </c>
      <c r="C84" t="s">
        <v>608</v>
      </c>
      <c r="D84" t="s">
        <v>571</v>
      </c>
      <c r="G84" s="673">
        <v>11.987021</v>
      </c>
      <c r="H84">
        <v>17.743065000000001</v>
      </c>
      <c r="I84">
        <v>18.796288000000001</v>
      </c>
      <c r="J84">
        <v>17.557652000000001</v>
      </c>
      <c r="K84">
        <v>17.95776</v>
      </c>
      <c r="L84">
        <v>18.275478</v>
      </c>
      <c r="M84">
        <v>18.869039999999998</v>
      </c>
      <c r="N84">
        <v>19.743797000000001</v>
      </c>
      <c r="O84">
        <v>20.793521999999999</v>
      </c>
      <c r="P84">
        <v>21.664362000000001</v>
      </c>
      <c r="Q84">
        <v>22.562947999999999</v>
      </c>
      <c r="R84">
        <v>23.866371000000001</v>
      </c>
      <c r="S84">
        <v>24.692008999999999</v>
      </c>
      <c r="T84">
        <v>25.592226</v>
      </c>
      <c r="U84">
        <v>26.339003000000002</v>
      </c>
      <c r="V84">
        <v>27.042359999999999</v>
      </c>
      <c r="W84">
        <v>27.812467999999999</v>
      </c>
      <c r="X84">
        <v>28.655745</v>
      </c>
      <c r="Y84">
        <v>29.505571</v>
      </c>
      <c r="Z84">
        <v>30.261047000000001</v>
      </c>
      <c r="AA84">
        <v>31.311506000000001</v>
      </c>
      <c r="AB84">
        <v>32.236378000000002</v>
      </c>
      <c r="AC84">
        <v>32.984577000000002</v>
      </c>
      <c r="AD84">
        <v>33.981448999999998</v>
      </c>
      <c r="AE84">
        <v>35.051872000000003</v>
      </c>
      <c r="AF84">
        <v>35.885441</v>
      </c>
      <c r="AG84">
        <v>36.855953</v>
      </c>
      <c r="AH84">
        <v>37.796000999999997</v>
      </c>
      <c r="AI84">
        <v>38.709395999999998</v>
      </c>
      <c r="AJ84">
        <v>39.558571000000001</v>
      </c>
      <c r="AK84">
        <v>40.421101</v>
      </c>
      <c r="AL84" s="4">
        <v>2.9000000000000001E-2</v>
      </c>
    </row>
    <row r="85" spans="1:38" x14ac:dyDescent="0.3">
      <c r="A85" t="s">
        <v>486</v>
      </c>
      <c r="B85" t="s">
        <v>609</v>
      </c>
      <c r="C85" t="s">
        <v>610</v>
      </c>
      <c r="D85" t="s">
        <v>571</v>
      </c>
      <c r="G85" s="673">
        <v>21.060583000000001</v>
      </c>
      <c r="H85">
        <v>25.695416999999999</v>
      </c>
      <c r="I85">
        <v>26.308959999999999</v>
      </c>
      <c r="J85">
        <v>26.930523000000001</v>
      </c>
      <c r="K85">
        <v>27.301365000000001</v>
      </c>
      <c r="L85">
        <v>27.616278000000001</v>
      </c>
      <c r="M85">
        <v>28.610430000000001</v>
      </c>
      <c r="N85">
        <v>29.713726000000001</v>
      </c>
      <c r="O85">
        <v>30.835906999999999</v>
      </c>
      <c r="P85">
        <v>31.865234000000001</v>
      </c>
      <c r="Q85">
        <v>33.457504</v>
      </c>
      <c r="R85">
        <v>35.15757</v>
      </c>
      <c r="S85">
        <v>36.404007</v>
      </c>
      <c r="T85">
        <v>37.429240999999998</v>
      </c>
      <c r="U85">
        <v>38.908175999999997</v>
      </c>
      <c r="V85">
        <v>40.006335999999997</v>
      </c>
      <c r="W85">
        <v>40.948658000000002</v>
      </c>
      <c r="X85">
        <v>42.048450000000003</v>
      </c>
      <c r="Y85">
        <v>43.538193</v>
      </c>
      <c r="Z85">
        <v>44.485416000000001</v>
      </c>
      <c r="AA85">
        <v>45.852508999999998</v>
      </c>
      <c r="AB85">
        <v>47.228591999999999</v>
      </c>
      <c r="AC85">
        <v>48.336624</v>
      </c>
      <c r="AD85">
        <v>49.926281000000003</v>
      </c>
      <c r="AE85">
        <v>51.563236000000003</v>
      </c>
      <c r="AF85">
        <v>52.912421999999999</v>
      </c>
      <c r="AG85">
        <v>54.585278000000002</v>
      </c>
      <c r="AH85">
        <v>56.020256000000003</v>
      </c>
      <c r="AI85">
        <v>57.158130999999997</v>
      </c>
      <c r="AJ85">
        <v>58.525562000000001</v>
      </c>
      <c r="AK85">
        <v>59.859585000000003</v>
      </c>
      <c r="AL85" s="4">
        <v>0.03</v>
      </c>
    </row>
    <row r="86" spans="1:38" s="288" customFormat="1" x14ac:dyDescent="0.3">
      <c r="A86" s="288" t="s">
        <v>489</v>
      </c>
      <c r="B86" s="288" t="s">
        <v>611</v>
      </c>
      <c r="C86" s="288" t="s">
        <v>612</v>
      </c>
      <c r="D86" s="288" t="s">
        <v>571</v>
      </c>
      <c r="G86" s="673">
        <v>18.753333999999999</v>
      </c>
      <c r="H86" s="288">
        <v>25.844168</v>
      </c>
      <c r="I86" s="288">
        <v>25.379753000000001</v>
      </c>
      <c r="J86" s="288">
        <v>23.113689000000001</v>
      </c>
      <c r="K86" s="288">
        <v>23.481171</v>
      </c>
      <c r="L86" s="288">
        <v>23.796037999999999</v>
      </c>
      <c r="M86" s="288">
        <v>24.637022000000002</v>
      </c>
      <c r="N86" s="288">
        <v>25.563745000000001</v>
      </c>
      <c r="O86" s="288">
        <v>26.489612999999999</v>
      </c>
      <c r="P86" s="288">
        <v>27.337935999999999</v>
      </c>
      <c r="Q86" s="288">
        <v>28.665991000000002</v>
      </c>
      <c r="R86" s="288">
        <v>30.266462000000001</v>
      </c>
      <c r="S86" s="288">
        <v>31.252970000000001</v>
      </c>
      <c r="T86" s="288">
        <v>32.209350999999998</v>
      </c>
      <c r="U86" s="288">
        <v>33.183781000000003</v>
      </c>
      <c r="V86" s="288">
        <v>34.046287999999997</v>
      </c>
      <c r="W86" s="288">
        <v>35.045867999999999</v>
      </c>
      <c r="X86" s="288">
        <v>36.046345000000002</v>
      </c>
      <c r="Y86" s="288">
        <v>37.253506000000002</v>
      </c>
      <c r="Z86" s="288">
        <v>38.097740000000002</v>
      </c>
      <c r="AA86" s="288">
        <v>39.267960000000002</v>
      </c>
      <c r="AB86" s="288">
        <v>40.412998000000002</v>
      </c>
      <c r="AC86" s="288">
        <v>41.400291000000003</v>
      </c>
      <c r="AD86" s="288">
        <v>42.769409000000003</v>
      </c>
      <c r="AE86" s="288">
        <v>44.159633999999997</v>
      </c>
      <c r="AF86" s="288">
        <v>45.307552000000001</v>
      </c>
      <c r="AG86" s="288">
        <v>46.714092000000001</v>
      </c>
      <c r="AH86" s="288">
        <v>47.925528999999997</v>
      </c>
      <c r="AI86" s="288">
        <v>48.888756000000001</v>
      </c>
      <c r="AJ86" s="288">
        <v>50.039580999999998</v>
      </c>
      <c r="AK86" s="288">
        <v>51.175261999999996</v>
      </c>
      <c r="AL86" s="496">
        <v>2.4E-2</v>
      </c>
    </row>
    <row r="87" spans="1:38" x14ac:dyDescent="0.3">
      <c r="A87" t="s">
        <v>492</v>
      </c>
      <c r="B87" t="s">
        <v>613</v>
      </c>
      <c r="C87" t="s">
        <v>614</v>
      </c>
      <c r="D87" t="s">
        <v>571</v>
      </c>
      <c r="G87" s="673">
        <v>9.5686540000000004</v>
      </c>
      <c r="H87">
        <v>14.697266000000001</v>
      </c>
      <c r="I87">
        <v>15.734508999999999</v>
      </c>
      <c r="J87">
        <v>14.949004</v>
      </c>
      <c r="K87">
        <v>16.537255999999999</v>
      </c>
      <c r="L87">
        <v>16.996722999999999</v>
      </c>
      <c r="M87">
        <v>17.578077</v>
      </c>
      <c r="N87">
        <v>18.347017000000001</v>
      </c>
      <c r="O87">
        <v>19.134594</v>
      </c>
      <c r="P87">
        <v>19.803878999999998</v>
      </c>
      <c r="Q87">
        <v>20.194859999999998</v>
      </c>
      <c r="R87">
        <v>21.272349999999999</v>
      </c>
      <c r="S87">
        <v>21.982144999999999</v>
      </c>
      <c r="T87">
        <v>22.615096999999999</v>
      </c>
      <c r="U87">
        <v>23.347526999999999</v>
      </c>
      <c r="V87">
        <v>24.019000999999999</v>
      </c>
      <c r="W87">
        <v>24.826756</v>
      </c>
      <c r="X87">
        <v>25.745712000000001</v>
      </c>
      <c r="Y87">
        <v>26.582815</v>
      </c>
      <c r="Z87">
        <v>27.326975000000001</v>
      </c>
      <c r="AA87">
        <v>28.234632000000001</v>
      </c>
      <c r="AB87">
        <v>29.098369999999999</v>
      </c>
      <c r="AC87">
        <v>29.827629000000002</v>
      </c>
      <c r="AD87">
        <v>30.990594999999999</v>
      </c>
      <c r="AE87">
        <v>32.221457999999998</v>
      </c>
      <c r="AF87">
        <v>33.140506999999999</v>
      </c>
      <c r="AG87">
        <v>34.266182000000001</v>
      </c>
      <c r="AH87">
        <v>35.211314999999999</v>
      </c>
      <c r="AI87">
        <v>35.964252000000002</v>
      </c>
      <c r="AJ87">
        <v>36.867260000000002</v>
      </c>
      <c r="AK87">
        <v>37.599421999999997</v>
      </c>
      <c r="AL87" s="4">
        <v>3.3000000000000002E-2</v>
      </c>
    </row>
    <row r="88" spans="1:38" x14ac:dyDescent="0.3">
      <c r="A88" t="s">
        <v>495</v>
      </c>
      <c r="B88" t="s">
        <v>615</v>
      </c>
      <c r="C88" t="s">
        <v>616</v>
      </c>
      <c r="D88" t="s">
        <v>571</v>
      </c>
      <c r="G88" s="673">
        <v>18.329231</v>
      </c>
      <c r="H88">
        <v>23.712284</v>
      </c>
      <c r="I88">
        <v>23.357372000000002</v>
      </c>
      <c r="J88">
        <v>22.931307</v>
      </c>
      <c r="K88">
        <v>24.283770000000001</v>
      </c>
      <c r="L88">
        <v>24.832190000000001</v>
      </c>
      <c r="M88">
        <v>25.413986000000001</v>
      </c>
      <c r="N88">
        <v>26.126245000000001</v>
      </c>
      <c r="O88">
        <v>26.993334000000001</v>
      </c>
      <c r="P88">
        <v>27.812131999999998</v>
      </c>
      <c r="Q88">
        <v>28.414680000000001</v>
      </c>
      <c r="R88">
        <v>29.842941</v>
      </c>
      <c r="S88">
        <v>30.630652999999999</v>
      </c>
      <c r="T88">
        <v>31.481293000000001</v>
      </c>
      <c r="U88">
        <v>32.237819999999999</v>
      </c>
      <c r="V88">
        <v>33.088394000000001</v>
      </c>
      <c r="W88">
        <v>34.075161000000001</v>
      </c>
      <c r="X88">
        <v>35.117579999999997</v>
      </c>
      <c r="Y88">
        <v>36.096702999999998</v>
      </c>
      <c r="Z88">
        <v>37.027934999999999</v>
      </c>
      <c r="AA88">
        <v>38.180840000000003</v>
      </c>
      <c r="AB88">
        <v>39.227234000000003</v>
      </c>
      <c r="AC88">
        <v>40.141078999999998</v>
      </c>
      <c r="AD88">
        <v>41.489581999999999</v>
      </c>
      <c r="AE88">
        <v>42.917873</v>
      </c>
      <c r="AF88">
        <v>44.069504000000002</v>
      </c>
      <c r="AG88">
        <v>45.396445999999997</v>
      </c>
      <c r="AH88">
        <v>46.538006000000003</v>
      </c>
      <c r="AI88">
        <v>47.508277999999997</v>
      </c>
      <c r="AJ88">
        <v>48.558239</v>
      </c>
      <c r="AK88">
        <v>49.552666000000002</v>
      </c>
      <c r="AL88" s="4">
        <v>2.5999999999999999E-2</v>
      </c>
    </row>
    <row r="89" spans="1:38" x14ac:dyDescent="0.3">
      <c r="A89" t="s">
        <v>453</v>
      </c>
      <c r="B89" t="s">
        <v>617</v>
      </c>
      <c r="C89" t="s">
        <v>618</v>
      </c>
      <c r="D89" t="s">
        <v>571</v>
      </c>
      <c r="G89" s="673">
        <v>9.2080660000000005</v>
      </c>
      <c r="H89">
        <v>12.338293</v>
      </c>
      <c r="I89">
        <v>10.683403</v>
      </c>
      <c r="J89">
        <v>13.39991</v>
      </c>
      <c r="K89">
        <v>14.661341999999999</v>
      </c>
      <c r="L89">
        <v>15.194910999999999</v>
      </c>
      <c r="M89">
        <v>15.760797</v>
      </c>
      <c r="N89">
        <v>16.559521</v>
      </c>
      <c r="O89">
        <v>17.186556</v>
      </c>
      <c r="P89">
        <v>17.727492999999999</v>
      </c>
      <c r="Q89">
        <v>18.288788</v>
      </c>
      <c r="R89">
        <v>18.997254999999999</v>
      </c>
      <c r="S89">
        <v>19.558371999999999</v>
      </c>
      <c r="T89">
        <v>20.162931</v>
      </c>
      <c r="U89">
        <v>20.632057</v>
      </c>
      <c r="V89">
        <v>21.135794000000001</v>
      </c>
      <c r="W89">
        <v>21.582094000000001</v>
      </c>
      <c r="X89">
        <v>22.108855999999999</v>
      </c>
      <c r="Y89">
        <v>22.878723000000001</v>
      </c>
      <c r="Z89">
        <v>23.307366999999999</v>
      </c>
      <c r="AA89">
        <v>24.337975</v>
      </c>
      <c r="AB89">
        <v>25.095728000000001</v>
      </c>
      <c r="AC89">
        <v>25.804514000000001</v>
      </c>
      <c r="AD89">
        <v>26.898869000000001</v>
      </c>
      <c r="AE89">
        <v>27.877486999999999</v>
      </c>
      <c r="AF89">
        <v>28.674365999999999</v>
      </c>
      <c r="AG89">
        <v>29.592096000000002</v>
      </c>
      <c r="AH89">
        <v>30.364156999999999</v>
      </c>
      <c r="AI89">
        <v>31.004999000000002</v>
      </c>
      <c r="AJ89">
        <v>31.779109999999999</v>
      </c>
      <c r="AK89">
        <v>32.433025000000001</v>
      </c>
      <c r="AL89" s="4">
        <v>3.4000000000000002E-2</v>
      </c>
    </row>
    <row r="90" spans="1:38" x14ac:dyDescent="0.3">
      <c r="A90" t="s">
        <v>364</v>
      </c>
      <c r="B90" t="s">
        <v>619</v>
      </c>
      <c r="C90" t="s">
        <v>620</v>
      </c>
      <c r="D90" t="s">
        <v>571</v>
      </c>
      <c r="G90" s="673">
        <v>13.013437</v>
      </c>
      <c r="H90">
        <v>14.643957</v>
      </c>
      <c r="I90">
        <v>14.980418999999999</v>
      </c>
      <c r="J90">
        <v>14.500601</v>
      </c>
      <c r="K90">
        <v>14.249805</v>
      </c>
      <c r="L90">
        <v>14.148581999999999</v>
      </c>
      <c r="M90">
        <v>14.163821</v>
      </c>
      <c r="N90">
        <v>14.277957000000001</v>
      </c>
      <c r="O90">
        <v>14.477740000000001</v>
      </c>
      <c r="P90">
        <v>14.671865</v>
      </c>
      <c r="Q90">
        <v>14.818662</v>
      </c>
      <c r="R90">
        <v>15.988823999999999</v>
      </c>
      <c r="S90">
        <v>16.109753000000001</v>
      </c>
      <c r="T90">
        <v>16.465042</v>
      </c>
      <c r="U90">
        <v>16.630462999999999</v>
      </c>
      <c r="V90">
        <v>16.757871999999999</v>
      </c>
      <c r="W90">
        <v>16.966201999999999</v>
      </c>
      <c r="X90">
        <v>17.194476999999999</v>
      </c>
      <c r="Y90">
        <v>17.442927999999998</v>
      </c>
      <c r="Z90">
        <v>17.689232000000001</v>
      </c>
      <c r="AA90">
        <v>18.046989</v>
      </c>
      <c r="AB90">
        <v>18.386621000000002</v>
      </c>
      <c r="AC90">
        <v>18.675523999999999</v>
      </c>
      <c r="AD90">
        <v>19.048964000000002</v>
      </c>
      <c r="AE90">
        <v>19.389071000000001</v>
      </c>
      <c r="AF90">
        <v>19.754519999999999</v>
      </c>
      <c r="AG90">
        <v>20.152256000000001</v>
      </c>
      <c r="AH90">
        <v>20.559598999999999</v>
      </c>
      <c r="AI90">
        <v>20.944855</v>
      </c>
      <c r="AJ90">
        <v>21.352035999999998</v>
      </c>
      <c r="AK90">
        <v>21.758521999999999</v>
      </c>
      <c r="AL90" s="4">
        <v>1.4E-2</v>
      </c>
    </row>
    <row r="91" spans="1:38" x14ac:dyDescent="0.3">
      <c r="A91" t="s">
        <v>444</v>
      </c>
      <c r="B91" t="s">
        <v>621</v>
      </c>
      <c r="C91" t="s">
        <v>622</v>
      </c>
      <c r="D91" t="s">
        <v>571</v>
      </c>
      <c r="G91" s="673">
        <v>34.841343000000002</v>
      </c>
      <c r="H91">
        <v>38.968001999999998</v>
      </c>
      <c r="I91">
        <v>40.594608000000001</v>
      </c>
      <c r="J91">
        <v>39.879086000000001</v>
      </c>
      <c r="K91">
        <v>39.632289999999998</v>
      </c>
      <c r="L91">
        <v>40.610897000000001</v>
      </c>
      <c r="M91">
        <v>41.951397</v>
      </c>
      <c r="N91">
        <v>43.136710999999998</v>
      </c>
      <c r="O91">
        <v>44.314509999999999</v>
      </c>
      <c r="P91">
        <v>45.435577000000002</v>
      </c>
      <c r="Q91">
        <v>46.288277000000001</v>
      </c>
      <c r="R91">
        <v>47.476753000000002</v>
      </c>
      <c r="S91">
        <v>48.648167000000001</v>
      </c>
      <c r="T91">
        <v>49.863818999999999</v>
      </c>
      <c r="U91">
        <v>50.919105999999999</v>
      </c>
      <c r="V91">
        <v>51.607914000000001</v>
      </c>
      <c r="W91">
        <v>52.363822999999996</v>
      </c>
      <c r="X91">
        <v>53.207638000000003</v>
      </c>
      <c r="Y91">
        <v>54.069462000000001</v>
      </c>
      <c r="Z91">
        <v>54.961468000000004</v>
      </c>
      <c r="AA91">
        <v>55.954433000000002</v>
      </c>
      <c r="AB91">
        <v>56.915714000000001</v>
      </c>
      <c r="AC91">
        <v>57.924885000000003</v>
      </c>
      <c r="AD91">
        <v>58.831890000000001</v>
      </c>
      <c r="AE91">
        <v>59.756126000000002</v>
      </c>
      <c r="AF91">
        <v>60.851680999999999</v>
      </c>
      <c r="AG91">
        <v>61.931538000000003</v>
      </c>
      <c r="AH91">
        <v>62.955235000000002</v>
      </c>
      <c r="AI91">
        <v>64.088181000000006</v>
      </c>
      <c r="AJ91">
        <v>65.222069000000005</v>
      </c>
      <c r="AK91">
        <v>66.289719000000005</v>
      </c>
      <c r="AL91" s="4">
        <v>1.7999999999999999E-2</v>
      </c>
    </row>
    <row r="92" spans="1:38" x14ac:dyDescent="0.3">
      <c r="A92" t="s">
        <v>504</v>
      </c>
      <c r="C92" t="s">
        <v>623</v>
      </c>
    </row>
    <row r="93" spans="1:38" x14ac:dyDescent="0.3">
      <c r="A93" t="s">
        <v>439</v>
      </c>
      <c r="B93" t="s">
        <v>624</v>
      </c>
      <c r="C93" t="s">
        <v>625</v>
      </c>
      <c r="D93" t="s">
        <v>571</v>
      </c>
      <c r="G93" s="673">
        <v>17.709454000000001</v>
      </c>
      <c r="H93">
        <v>21.714523</v>
      </c>
      <c r="I93">
        <v>22.561377</v>
      </c>
      <c r="J93">
        <v>21.257321999999998</v>
      </c>
      <c r="K93">
        <v>22.243842999999998</v>
      </c>
      <c r="L93">
        <v>22.046334999999999</v>
      </c>
      <c r="M93">
        <v>21.870823000000001</v>
      </c>
      <c r="N93">
        <v>21.887105999999999</v>
      </c>
      <c r="O93">
        <v>22.683128</v>
      </c>
      <c r="P93">
        <v>23.405909000000001</v>
      </c>
      <c r="Q93">
        <v>23.963944999999999</v>
      </c>
      <c r="R93">
        <v>24.753965000000001</v>
      </c>
      <c r="S93">
        <v>25.473471</v>
      </c>
      <c r="T93">
        <v>26.089749999999999</v>
      </c>
      <c r="U93">
        <v>26.838135000000001</v>
      </c>
      <c r="V93">
        <v>27.567629</v>
      </c>
      <c r="W93">
        <v>28.437875999999999</v>
      </c>
      <c r="X93">
        <v>29.365234000000001</v>
      </c>
      <c r="Y93">
        <v>30.166359</v>
      </c>
      <c r="Z93">
        <v>30.935541000000001</v>
      </c>
      <c r="AA93">
        <v>31.969131000000001</v>
      </c>
      <c r="AB93">
        <v>32.835921999999997</v>
      </c>
      <c r="AC93">
        <v>33.642344999999999</v>
      </c>
      <c r="AD93">
        <v>34.795284000000002</v>
      </c>
      <c r="AE93">
        <v>36.043427000000001</v>
      </c>
      <c r="AF93">
        <v>37.038795</v>
      </c>
      <c r="AG93">
        <v>38.309024999999998</v>
      </c>
      <c r="AH93">
        <v>39.302478999999998</v>
      </c>
      <c r="AI93">
        <v>40.103634</v>
      </c>
      <c r="AJ93">
        <v>41.011313999999999</v>
      </c>
      <c r="AK93">
        <v>41.844185000000003</v>
      </c>
      <c r="AL93" s="4">
        <v>2.3E-2</v>
      </c>
    </row>
    <row r="94" spans="1:38" x14ac:dyDescent="0.3">
      <c r="A94" t="s">
        <v>453</v>
      </c>
      <c r="B94" t="s">
        <v>626</v>
      </c>
      <c r="C94" t="s">
        <v>627</v>
      </c>
      <c r="D94" t="s">
        <v>571</v>
      </c>
      <c r="G94" s="673">
        <v>8.2907849999999996</v>
      </c>
      <c r="H94">
        <v>12.984576000000001</v>
      </c>
      <c r="I94">
        <v>13.659781000000001</v>
      </c>
      <c r="J94">
        <v>13.354027</v>
      </c>
      <c r="K94">
        <v>14.633819000000001</v>
      </c>
      <c r="L94">
        <v>15.198003999999999</v>
      </c>
      <c r="M94">
        <v>15.768628</v>
      </c>
      <c r="N94">
        <v>16.651994999999999</v>
      </c>
      <c r="O94">
        <v>17.263632000000001</v>
      </c>
      <c r="P94">
        <v>17.801155000000001</v>
      </c>
      <c r="Q94">
        <v>18.328420999999999</v>
      </c>
      <c r="R94">
        <v>19.105263000000001</v>
      </c>
      <c r="S94">
        <v>19.649632</v>
      </c>
      <c r="T94">
        <v>20.263002</v>
      </c>
      <c r="U94">
        <v>20.751069999999999</v>
      </c>
      <c r="V94">
        <v>21.264869999999998</v>
      </c>
      <c r="W94">
        <v>21.709292999999999</v>
      </c>
      <c r="X94">
        <v>22.257158</v>
      </c>
      <c r="Y94">
        <v>23.002699</v>
      </c>
      <c r="Z94">
        <v>23.486324</v>
      </c>
      <c r="AA94">
        <v>24.352485999999999</v>
      </c>
      <c r="AB94">
        <v>24.964276999999999</v>
      </c>
      <c r="AC94">
        <v>25.443667999999999</v>
      </c>
      <c r="AD94">
        <v>26.253325</v>
      </c>
      <c r="AE94">
        <v>26.872534000000002</v>
      </c>
      <c r="AF94">
        <v>27.16844</v>
      </c>
      <c r="AG94">
        <v>28.181767000000001</v>
      </c>
      <c r="AH94">
        <v>28.978007999999999</v>
      </c>
      <c r="AI94">
        <v>29.710591999999998</v>
      </c>
      <c r="AJ94">
        <v>30.498549000000001</v>
      </c>
      <c r="AK94">
        <v>31.186319000000001</v>
      </c>
      <c r="AL94" s="4">
        <v>3.1E-2</v>
      </c>
    </row>
    <row r="95" spans="1:38" x14ac:dyDescent="0.3">
      <c r="A95" t="s">
        <v>364</v>
      </c>
      <c r="B95" t="s">
        <v>628</v>
      </c>
      <c r="C95" t="s">
        <v>629</v>
      </c>
      <c r="D95" t="s">
        <v>571</v>
      </c>
      <c r="G95" s="673">
        <v>2.4475289999999998</v>
      </c>
      <c r="H95">
        <v>5.1494070000000001</v>
      </c>
      <c r="I95">
        <v>4.1386919999999998</v>
      </c>
      <c r="J95">
        <v>3.9437709999999999</v>
      </c>
      <c r="K95">
        <v>3.7141220000000001</v>
      </c>
      <c r="L95">
        <v>3.6173790000000001</v>
      </c>
      <c r="M95">
        <v>3.701848</v>
      </c>
      <c r="N95">
        <v>3.8982290000000002</v>
      </c>
      <c r="O95">
        <v>4.1704220000000003</v>
      </c>
      <c r="P95">
        <v>4.3753929999999999</v>
      </c>
      <c r="Q95">
        <v>4.5724280000000004</v>
      </c>
      <c r="R95">
        <v>4.7417389999999999</v>
      </c>
      <c r="S95">
        <v>4.8741890000000003</v>
      </c>
      <c r="T95">
        <v>5.0549720000000002</v>
      </c>
      <c r="U95">
        <v>5.1291609999999999</v>
      </c>
      <c r="V95">
        <v>5.2013290000000003</v>
      </c>
      <c r="W95">
        <v>5.3055859999999999</v>
      </c>
      <c r="X95">
        <v>5.4273629999999997</v>
      </c>
      <c r="Y95">
        <v>5.5707560000000003</v>
      </c>
      <c r="Z95">
        <v>5.6911420000000001</v>
      </c>
      <c r="AA95">
        <v>5.8698399999999999</v>
      </c>
      <c r="AB95">
        <v>5.9949409999999999</v>
      </c>
      <c r="AC95">
        <v>6.097003</v>
      </c>
      <c r="AD95">
        <v>6.220631</v>
      </c>
      <c r="AE95">
        <v>6.2801609999999997</v>
      </c>
      <c r="AF95">
        <v>6.3996740000000001</v>
      </c>
      <c r="AG95">
        <v>6.5364690000000003</v>
      </c>
      <c r="AH95">
        <v>6.665673</v>
      </c>
      <c r="AI95">
        <v>6.8439860000000001</v>
      </c>
      <c r="AJ95">
        <v>6.9645710000000003</v>
      </c>
      <c r="AK95">
        <v>7.1068150000000001</v>
      </c>
      <c r="AL95" s="4">
        <v>1.0999999999999999E-2</v>
      </c>
    </row>
    <row r="96" spans="1:38" x14ac:dyDescent="0.3">
      <c r="A96" t="s">
        <v>512</v>
      </c>
      <c r="B96" t="s">
        <v>630</v>
      </c>
      <c r="C96" t="s">
        <v>631</v>
      </c>
      <c r="D96" t="s">
        <v>571</v>
      </c>
      <c r="G96" s="673">
        <v>1.9632609999999999</v>
      </c>
      <c r="H96">
        <v>2.0572599999999999</v>
      </c>
      <c r="I96">
        <v>2.0783670000000001</v>
      </c>
      <c r="J96">
        <v>2.097407</v>
      </c>
      <c r="K96">
        <v>2.1439349999999999</v>
      </c>
      <c r="L96">
        <v>2.1407660000000002</v>
      </c>
      <c r="M96">
        <v>2.1570260000000001</v>
      </c>
      <c r="N96">
        <v>2.210102</v>
      </c>
      <c r="O96">
        <v>2.2536779999999998</v>
      </c>
      <c r="P96">
        <v>2.3172190000000001</v>
      </c>
      <c r="Q96">
        <v>2.3676409999999999</v>
      </c>
      <c r="R96">
        <v>2.4206819999999998</v>
      </c>
      <c r="S96">
        <v>2.4600759999999999</v>
      </c>
      <c r="T96">
        <v>2.5099079999999998</v>
      </c>
      <c r="U96">
        <v>2.5566460000000002</v>
      </c>
      <c r="V96">
        <v>2.5944929999999999</v>
      </c>
      <c r="W96">
        <v>2.6303939999999999</v>
      </c>
      <c r="X96">
        <v>2.6840579999999998</v>
      </c>
      <c r="Y96">
        <v>2.742861</v>
      </c>
      <c r="Z96">
        <v>2.7995589999999999</v>
      </c>
      <c r="AA96">
        <v>2.8707180000000001</v>
      </c>
      <c r="AB96">
        <v>2.9292899999999999</v>
      </c>
      <c r="AC96">
        <v>2.9788790000000001</v>
      </c>
      <c r="AD96">
        <v>3.0285739999999999</v>
      </c>
      <c r="AE96">
        <v>3.088838</v>
      </c>
      <c r="AF96">
        <v>3.153721</v>
      </c>
      <c r="AG96">
        <v>3.220818</v>
      </c>
      <c r="AH96">
        <v>3.2843019999999998</v>
      </c>
      <c r="AI96">
        <v>3.3435030000000001</v>
      </c>
      <c r="AJ96">
        <v>3.4226719999999999</v>
      </c>
      <c r="AK96">
        <v>3.4958179999999999</v>
      </c>
      <c r="AL96" s="4">
        <v>1.7999999999999999E-2</v>
      </c>
    </row>
    <row r="97" spans="1:38" x14ac:dyDescent="0.3">
      <c r="A97" t="s">
        <v>515</v>
      </c>
      <c r="B97" t="s">
        <v>632</v>
      </c>
      <c r="C97" t="s">
        <v>633</v>
      </c>
      <c r="D97" t="s">
        <v>571</v>
      </c>
      <c r="G97" s="673">
        <v>0.68612300000000004</v>
      </c>
      <c r="H97">
        <v>0.71666399999999997</v>
      </c>
      <c r="I97">
        <v>0.73504000000000003</v>
      </c>
      <c r="J97">
        <v>0.75029400000000002</v>
      </c>
      <c r="K97">
        <v>0.76839900000000005</v>
      </c>
      <c r="L97">
        <v>0.788937</v>
      </c>
      <c r="M97">
        <v>0.80945999999999996</v>
      </c>
      <c r="N97">
        <v>0.83239399999999997</v>
      </c>
      <c r="O97">
        <v>0.85455099999999995</v>
      </c>
      <c r="P97">
        <v>0.87787400000000004</v>
      </c>
      <c r="Q97">
        <v>0.90090700000000001</v>
      </c>
      <c r="R97">
        <v>0.92300800000000005</v>
      </c>
      <c r="S97">
        <v>0.946218</v>
      </c>
      <c r="T97">
        <v>0.96992599999999995</v>
      </c>
      <c r="U97">
        <v>0.99299499999999996</v>
      </c>
      <c r="V97">
        <v>1.0178720000000001</v>
      </c>
      <c r="W97">
        <v>1.0433110000000001</v>
      </c>
      <c r="X97">
        <v>1.06792</v>
      </c>
      <c r="Y97">
        <v>1.094794</v>
      </c>
      <c r="Z97">
        <v>1.1221639999999999</v>
      </c>
      <c r="AA97">
        <v>1.150844</v>
      </c>
      <c r="AB97">
        <v>1.1802429999999999</v>
      </c>
      <c r="AC97">
        <v>1.2105250000000001</v>
      </c>
      <c r="AD97">
        <v>1.2417180000000001</v>
      </c>
      <c r="AE97">
        <v>1.273598</v>
      </c>
      <c r="AF97">
        <v>1.306138</v>
      </c>
      <c r="AG97">
        <v>1.3396779999999999</v>
      </c>
      <c r="AH97">
        <v>1.373974</v>
      </c>
      <c r="AI97">
        <v>1.4092260000000001</v>
      </c>
      <c r="AJ97">
        <v>1.4454959999999999</v>
      </c>
      <c r="AK97">
        <v>1.482631</v>
      </c>
      <c r="AL97" s="4">
        <v>2.5000000000000001E-2</v>
      </c>
    </row>
    <row r="98" spans="1:38" x14ac:dyDescent="0.3">
      <c r="A98" t="s">
        <v>518</v>
      </c>
      <c r="C98" t="s">
        <v>634</v>
      </c>
    </row>
    <row r="99" spans="1:38" x14ac:dyDescent="0.3">
      <c r="A99" t="s">
        <v>435</v>
      </c>
      <c r="B99" t="s">
        <v>635</v>
      </c>
      <c r="C99" t="s">
        <v>636</v>
      </c>
      <c r="D99" t="s">
        <v>571</v>
      </c>
      <c r="G99" s="673">
        <v>14.346581</v>
      </c>
      <c r="H99">
        <v>19.489792000000001</v>
      </c>
      <c r="I99">
        <v>21.882176999999999</v>
      </c>
      <c r="J99">
        <v>21.038895</v>
      </c>
      <c r="K99">
        <v>21.513981000000001</v>
      </c>
      <c r="L99">
        <v>21.920898000000001</v>
      </c>
      <c r="M99">
        <v>22.564674</v>
      </c>
      <c r="N99">
        <v>23.513065000000001</v>
      </c>
      <c r="O99">
        <v>24.709696000000001</v>
      </c>
      <c r="P99">
        <v>25.813897999999998</v>
      </c>
      <c r="Q99">
        <v>26.949466999999999</v>
      </c>
      <c r="R99">
        <v>28.290825000000002</v>
      </c>
      <c r="S99">
        <v>29.357288</v>
      </c>
      <c r="T99">
        <v>30.465374000000001</v>
      </c>
      <c r="U99">
        <v>31.451861999999998</v>
      </c>
      <c r="V99">
        <v>32.369880999999999</v>
      </c>
      <c r="W99">
        <v>33.327412000000002</v>
      </c>
      <c r="X99">
        <v>34.351162000000002</v>
      </c>
      <c r="Y99">
        <v>35.395015999999998</v>
      </c>
      <c r="Z99">
        <v>36.350257999999997</v>
      </c>
      <c r="AA99">
        <v>37.587746000000003</v>
      </c>
      <c r="AB99">
        <v>38.751227999999998</v>
      </c>
      <c r="AC99">
        <v>39.734715000000001</v>
      </c>
      <c r="AD99">
        <v>40.925120999999997</v>
      </c>
      <c r="AE99">
        <v>42.216320000000003</v>
      </c>
      <c r="AF99">
        <v>43.295077999999997</v>
      </c>
      <c r="AG99">
        <v>44.474280999999998</v>
      </c>
      <c r="AH99">
        <v>45.630074</v>
      </c>
      <c r="AI99">
        <v>46.753692999999998</v>
      </c>
      <c r="AJ99">
        <v>47.799995000000003</v>
      </c>
      <c r="AK99">
        <v>48.83305</v>
      </c>
      <c r="AL99" s="4">
        <v>3.2000000000000001E-2</v>
      </c>
    </row>
    <row r="100" spans="1:38" x14ac:dyDescent="0.3">
      <c r="A100" t="s">
        <v>486</v>
      </c>
      <c r="B100" t="s">
        <v>637</v>
      </c>
      <c r="C100" t="s">
        <v>638</v>
      </c>
      <c r="D100" t="s">
        <v>571</v>
      </c>
      <c r="G100" s="673">
        <v>21.060583000000001</v>
      </c>
      <c r="H100">
        <v>25.695416999999999</v>
      </c>
      <c r="I100">
        <v>26.308959999999999</v>
      </c>
      <c r="J100">
        <v>26.930523000000001</v>
      </c>
      <c r="K100">
        <v>27.301365000000001</v>
      </c>
      <c r="L100">
        <v>27.616278000000001</v>
      </c>
      <c r="M100">
        <v>28.610430000000001</v>
      </c>
      <c r="N100">
        <v>29.713726000000001</v>
      </c>
      <c r="O100">
        <v>30.835906999999999</v>
      </c>
      <c r="P100">
        <v>31.865234000000001</v>
      </c>
      <c r="Q100">
        <v>33.457504</v>
      </c>
      <c r="R100">
        <v>35.15757</v>
      </c>
      <c r="S100">
        <v>36.404007</v>
      </c>
      <c r="T100">
        <v>37.429240999999998</v>
      </c>
      <c r="U100">
        <v>38.908175999999997</v>
      </c>
      <c r="V100">
        <v>40.006335999999997</v>
      </c>
      <c r="W100">
        <v>40.948658000000002</v>
      </c>
      <c r="X100">
        <v>42.048450000000003</v>
      </c>
      <c r="Y100">
        <v>43.538193</v>
      </c>
      <c r="Z100">
        <v>44.485416000000001</v>
      </c>
      <c r="AA100">
        <v>45.852508999999998</v>
      </c>
      <c r="AB100">
        <v>47.228591999999999</v>
      </c>
      <c r="AC100">
        <v>48.336624</v>
      </c>
      <c r="AD100">
        <v>49.926281000000003</v>
      </c>
      <c r="AE100">
        <v>51.563236000000003</v>
      </c>
      <c r="AF100">
        <v>52.912421999999999</v>
      </c>
      <c r="AG100">
        <v>54.585278000000002</v>
      </c>
      <c r="AH100">
        <v>56.020256000000003</v>
      </c>
      <c r="AI100">
        <v>57.158130999999997</v>
      </c>
      <c r="AJ100">
        <v>58.525562000000001</v>
      </c>
      <c r="AK100">
        <v>59.859585000000003</v>
      </c>
      <c r="AL100" s="4">
        <v>0.03</v>
      </c>
    </row>
    <row r="101" spans="1:38" x14ac:dyDescent="0.3">
      <c r="A101" t="s">
        <v>489</v>
      </c>
      <c r="B101" t="s">
        <v>639</v>
      </c>
      <c r="C101" t="s">
        <v>640</v>
      </c>
      <c r="D101" t="s">
        <v>571</v>
      </c>
      <c r="G101" s="673">
        <v>18.741731999999999</v>
      </c>
      <c r="H101">
        <v>25.834620999999999</v>
      </c>
      <c r="I101">
        <v>25.374689</v>
      </c>
      <c r="J101">
        <v>23.140045000000001</v>
      </c>
      <c r="K101">
        <v>23.520002000000002</v>
      </c>
      <c r="L101">
        <v>23.833424000000001</v>
      </c>
      <c r="M101">
        <v>24.663691</v>
      </c>
      <c r="N101">
        <v>25.574255000000001</v>
      </c>
      <c r="O101">
        <v>26.500551000000002</v>
      </c>
      <c r="P101">
        <v>27.349276</v>
      </c>
      <c r="Q101">
        <v>28.677558999999999</v>
      </c>
      <c r="R101">
        <v>30.27524</v>
      </c>
      <c r="S101">
        <v>31.261913</v>
      </c>
      <c r="T101">
        <v>32.218173999999998</v>
      </c>
      <c r="U101">
        <v>33.192824999999999</v>
      </c>
      <c r="V101">
        <v>34.055714000000002</v>
      </c>
      <c r="W101">
        <v>35.055560999999997</v>
      </c>
      <c r="X101">
        <v>36.056358000000003</v>
      </c>
      <c r="Y101">
        <v>37.263939000000001</v>
      </c>
      <c r="Z101">
        <v>38.108607999999997</v>
      </c>
      <c r="AA101">
        <v>39.279288999999999</v>
      </c>
      <c r="AB101">
        <v>40.424843000000003</v>
      </c>
      <c r="AC101">
        <v>41.412663000000002</v>
      </c>
      <c r="AD101">
        <v>42.782356</v>
      </c>
      <c r="AE101">
        <v>44.172997000000002</v>
      </c>
      <c r="AF101">
        <v>45.321545</v>
      </c>
      <c r="AG101">
        <v>46.728549999999998</v>
      </c>
      <c r="AH101">
        <v>47.940548</v>
      </c>
      <c r="AI101">
        <v>48.904311999999997</v>
      </c>
      <c r="AJ101">
        <v>50.055655999999999</v>
      </c>
      <c r="AK101">
        <v>51.192059</v>
      </c>
      <c r="AL101" s="4">
        <v>2.4E-2</v>
      </c>
    </row>
    <row r="102" spans="1:38" x14ac:dyDescent="0.3">
      <c r="A102" t="s">
        <v>492</v>
      </c>
      <c r="B102" t="s">
        <v>641</v>
      </c>
      <c r="C102" t="s">
        <v>642</v>
      </c>
      <c r="D102" t="s">
        <v>571</v>
      </c>
      <c r="G102" s="673">
        <v>9.5686540000000004</v>
      </c>
      <c r="H102">
        <v>14.697266000000001</v>
      </c>
      <c r="I102">
        <v>15.734508999999999</v>
      </c>
      <c r="J102">
        <v>14.949004</v>
      </c>
      <c r="K102">
        <v>16.537255999999999</v>
      </c>
      <c r="L102">
        <v>16.996722999999999</v>
      </c>
      <c r="M102">
        <v>17.578077</v>
      </c>
      <c r="N102">
        <v>18.347017000000001</v>
      </c>
      <c r="O102">
        <v>19.134594</v>
      </c>
      <c r="P102">
        <v>19.803878999999998</v>
      </c>
      <c r="Q102">
        <v>20.194859999999998</v>
      </c>
      <c r="R102">
        <v>21.272349999999999</v>
      </c>
      <c r="S102">
        <v>21.982144999999999</v>
      </c>
      <c r="T102">
        <v>22.615096999999999</v>
      </c>
      <c r="U102">
        <v>23.347526999999999</v>
      </c>
      <c r="V102">
        <v>24.019000999999999</v>
      </c>
      <c r="W102">
        <v>24.826756</v>
      </c>
      <c r="X102">
        <v>25.745712000000001</v>
      </c>
      <c r="Y102">
        <v>26.582815</v>
      </c>
      <c r="Z102">
        <v>27.326975000000001</v>
      </c>
      <c r="AA102">
        <v>28.234632000000001</v>
      </c>
      <c r="AB102">
        <v>29.098369999999999</v>
      </c>
      <c r="AC102">
        <v>29.827629000000002</v>
      </c>
      <c r="AD102">
        <v>30.990594999999999</v>
      </c>
      <c r="AE102">
        <v>32.221457999999998</v>
      </c>
      <c r="AF102">
        <v>33.140506999999999</v>
      </c>
      <c r="AG102">
        <v>34.266182000000001</v>
      </c>
      <c r="AH102">
        <v>35.211314999999999</v>
      </c>
      <c r="AI102">
        <v>35.964252000000002</v>
      </c>
      <c r="AJ102">
        <v>36.867260000000002</v>
      </c>
      <c r="AK102">
        <v>37.599421999999997</v>
      </c>
      <c r="AL102" s="4">
        <v>3.3000000000000002E-2</v>
      </c>
    </row>
    <row r="103" spans="1:38" x14ac:dyDescent="0.3">
      <c r="A103" t="s">
        <v>439</v>
      </c>
      <c r="B103" t="s">
        <v>643</v>
      </c>
      <c r="C103" t="s">
        <v>644</v>
      </c>
      <c r="D103" t="s">
        <v>571</v>
      </c>
      <c r="G103" s="673">
        <v>18.184811</v>
      </c>
      <c r="H103">
        <v>23.239584000000001</v>
      </c>
      <c r="I103">
        <v>23.164829000000001</v>
      </c>
      <c r="J103">
        <v>22.644846000000001</v>
      </c>
      <c r="K103">
        <v>23.938997000000001</v>
      </c>
      <c r="L103">
        <v>24.386374</v>
      </c>
      <c r="M103">
        <v>24.871693</v>
      </c>
      <c r="N103">
        <v>25.488479999999999</v>
      </c>
      <c r="O103">
        <v>26.341660999999998</v>
      </c>
      <c r="P103">
        <v>27.126272</v>
      </c>
      <c r="Q103">
        <v>27.708763000000001</v>
      </c>
      <c r="R103">
        <v>29.014953999999999</v>
      </c>
      <c r="S103">
        <v>29.775953000000001</v>
      </c>
      <c r="T103">
        <v>30.584291</v>
      </c>
      <c r="U103">
        <v>31.313175000000001</v>
      </c>
      <c r="V103">
        <v>32.133198</v>
      </c>
      <c r="W103">
        <v>33.076819999999998</v>
      </c>
      <c r="X103">
        <v>34.119953000000002</v>
      </c>
      <c r="Y103">
        <v>35.068652999999998</v>
      </c>
      <c r="Z103">
        <v>35.952002999999998</v>
      </c>
      <c r="AA103">
        <v>37.071465000000003</v>
      </c>
      <c r="AB103">
        <v>38.080447999999997</v>
      </c>
      <c r="AC103">
        <v>38.968570999999997</v>
      </c>
      <c r="AD103">
        <v>40.282406000000002</v>
      </c>
      <c r="AE103">
        <v>41.665806000000003</v>
      </c>
      <c r="AF103">
        <v>42.793480000000002</v>
      </c>
      <c r="AG103">
        <v>44.089336000000003</v>
      </c>
      <c r="AH103">
        <v>45.180489000000001</v>
      </c>
      <c r="AI103">
        <v>46.116871000000003</v>
      </c>
      <c r="AJ103">
        <v>47.127524999999999</v>
      </c>
      <c r="AK103">
        <v>48.060661000000003</v>
      </c>
      <c r="AL103" s="4">
        <v>2.5000000000000001E-2</v>
      </c>
    </row>
    <row r="104" spans="1:38" x14ac:dyDescent="0.3">
      <c r="A104" t="s">
        <v>453</v>
      </c>
      <c r="B104" t="s">
        <v>645</v>
      </c>
      <c r="C104" t="s">
        <v>646</v>
      </c>
      <c r="D104" t="s">
        <v>571</v>
      </c>
      <c r="G104" s="673">
        <v>8.8440239999999992</v>
      </c>
      <c r="H104">
        <v>12.013578000000001</v>
      </c>
      <c r="I104">
        <v>10.711199000000001</v>
      </c>
      <c r="J104">
        <v>13.111525</v>
      </c>
      <c r="K104">
        <v>14.420871999999999</v>
      </c>
      <c r="L104">
        <v>14.991304</v>
      </c>
      <c r="M104">
        <v>15.588189</v>
      </c>
      <c r="N104">
        <v>16.426817</v>
      </c>
      <c r="O104">
        <v>17.045929000000001</v>
      </c>
      <c r="P104">
        <v>17.577954999999999</v>
      </c>
      <c r="Q104">
        <v>18.131346000000001</v>
      </c>
      <c r="R104">
        <v>18.83493</v>
      </c>
      <c r="S104">
        <v>19.390612000000001</v>
      </c>
      <c r="T104">
        <v>19.986488000000001</v>
      </c>
      <c r="U104">
        <v>20.449728</v>
      </c>
      <c r="V104">
        <v>20.947158999999999</v>
      </c>
      <c r="W104">
        <v>21.381837999999998</v>
      </c>
      <c r="X104">
        <v>21.892192999999999</v>
      </c>
      <c r="Y104">
        <v>22.658173000000001</v>
      </c>
      <c r="Z104">
        <v>23.067655999999999</v>
      </c>
      <c r="AA104">
        <v>24.107140000000001</v>
      </c>
      <c r="AB104">
        <v>24.855139000000001</v>
      </c>
      <c r="AC104">
        <v>25.554290999999999</v>
      </c>
      <c r="AD104">
        <v>26.638961999999999</v>
      </c>
      <c r="AE104">
        <v>27.605753</v>
      </c>
      <c r="AF104">
        <v>28.380806</v>
      </c>
      <c r="AG104">
        <v>29.296219000000001</v>
      </c>
      <c r="AH104">
        <v>30.064723999999998</v>
      </c>
      <c r="AI104">
        <v>30.698937999999998</v>
      </c>
      <c r="AJ104">
        <v>31.464458</v>
      </c>
      <c r="AK104">
        <v>32.107470999999997</v>
      </c>
      <c r="AL104" s="4">
        <v>3.4000000000000002E-2</v>
      </c>
    </row>
    <row r="105" spans="1:38" x14ac:dyDescent="0.3">
      <c r="A105" t="s">
        <v>364</v>
      </c>
      <c r="B105" t="s">
        <v>647</v>
      </c>
      <c r="C105" t="s">
        <v>648</v>
      </c>
      <c r="D105" t="s">
        <v>571</v>
      </c>
      <c r="G105" s="673">
        <v>4.5260930000000004</v>
      </c>
      <c r="H105">
        <v>6.7148839999999996</v>
      </c>
      <c r="I105">
        <v>6.5152419999999998</v>
      </c>
      <c r="J105">
        <v>6.2548729999999999</v>
      </c>
      <c r="K105">
        <v>6.0366970000000002</v>
      </c>
      <c r="L105">
        <v>6.0098890000000003</v>
      </c>
      <c r="M105">
        <v>6.1200739999999998</v>
      </c>
      <c r="N105">
        <v>6.339232</v>
      </c>
      <c r="O105">
        <v>6.6465300000000003</v>
      </c>
      <c r="P105">
        <v>6.9717190000000002</v>
      </c>
      <c r="Q105">
        <v>7.2456719999999999</v>
      </c>
      <c r="R105">
        <v>7.5899960000000002</v>
      </c>
      <c r="S105">
        <v>7.7840930000000004</v>
      </c>
      <c r="T105">
        <v>8.0660229999999995</v>
      </c>
      <c r="U105">
        <v>8.2437559999999994</v>
      </c>
      <c r="V105">
        <v>8.3941949999999999</v>
      </c>
      <c r="W105">
        <v>8.5761079999999996</v>
      </c>
      <c r="X105">
        <v>8.7776490000000003</v>
      </c>
      <c r="Y105">
        <v>8.9758239999999994</v>
      </c>
      <c r="Z105">
        <v>9.1765039999999996</v>
      </c>
      <c r="AA105">
        <v>9.4051410000000004</v>
      </c>
      <c r="AB105">
        <v>9.6027430000000003</v>
      </c>
      <c r="AC105">
        <v>9.773263</v>
      </c>
      <c r="AD105">
        <v>9.9754389999999997</v>
      </c>
      <c r="AE105">
        <v>10.109999</v>
      </c>
      <c r="AF105">
        <v>10.307829</v>
      </c>
      <c r="AG105">
        <v>10.523292</v>
      </c>
      <c r="AH105">
        <v>10.743744</v>
      </c>
      <c r="AI105">
        <v>10.980556999999999</v>
      </c>
      <c r="AJ105">
        <v>11.211596</v>
      </c>
      <c r="AK105">
        <v>11.437503</v>
      </c>
      <c r="AL105" s="4">
        <v>1.9E-2</v>
      </c>
    </row>
    <row r="106" spans="1:38" x14ac:dyDescent="0.3">
      <c r="A106" t="s">
        <v>470</v>
      </c>
      <c r="B106" t="s">
        <v>649</v>
      </c>
      <c r="C106" t="s">
        <v>650</v>
      </c>
      <c r="D106" t="s">
        <v>571</v>
      </c>
      <c r="G106" s="673">
        <v>4.01729</v>
      </c>
      <c r="H106">
        <v>3.9200170000000001</v>
      </c>
      <c r="I106">
        <v>3.6054369999999998</v>
      </c>
      <c r="J106">
        <v>3.4913690000000002</v>
      </c>
      <c r="K106">
        <v>3.3983819999999998</v>
      </c>
      <c r="L106">
        <v>3.3789889999999998</v>
      </c>
      <c r="M106">
        <v>3.3908390000000002</v>
      </c>
      <c r="N106">
        <v>3.445567</v>
      </c>
      <c r="O106">
        <v>3.533506</v>
      </c>
      <c r="P106">
        <v>3.6329379999999998</v>
      </c>
      <c r="Q106">
        <v>3.7527650000000001</v>
      </c>
      <c r="R106">
        <v>3.866501</v>
      </c>
      <c r="S106">
        <v>3.9937640000000001</v>
      </c>
      <c r="T106">
        <v>4.1150979999999997</v>
      </c>
      <c r="U106">
        <v>4.2374179999999999</v>
      </c>
      <c r="V106">
        <v>4.3664909999999999</v>
      </c>
      <c r="W106">
        <v>4.5016809999999996</v>
      </c>
      <c r="X106">
        <v>4.6472639999999998</v>
      </c>
      <c r="Y106">
        <v>4.7897720000000001</v>
      </c>
      <c r="Z106">
        <v>4.9332200000000004</v>
      </c>
      <c r="AA106">
        <v>5.0880960000000002</v>
      </c>
      <c r="AB106">
        <v>5.2426050000000002</v>
      </c>
      <c r="AC106">
        <v>5.3983359999999996</v>
      </c>
      <c r="AD106">
        <v>5.5599360000000004</v>
      </c>
      <c r="AE106">
        <v>5.7329210000000002</v>
      </c>
      <c r="AF106">
        <v>5.9108970000000003</v>
      </c>
      <c r="AG106">
        <v>6.0977940000000004</v>
      </c>
      <c r="AH106">
        <v>6.284459</v>
      </c>
      <c r="AI106">
        <v>6.4651100000000001</v>
      </c>
      <c r="AJ106">
        <v>6.6547159999999996</v>
      </c>
      <c r="AK106">
        <v>6.8627050000000001</v>
      </c>
      <c r="AL106" s="4">
        <v>1.9E-2</v>
      </c>
    </row>
    <row r="107" spans="1:38" x14ac:dyDescent="0.3">
      <c r="A107" t="s">
        <v>536</v>
      </c>
      <c r="B107" t="s">
        <v>651</v>
      </c>
      <c r="C107" t="s">
        <v>652</v>
      </c>
      <c r="D107" t="s">
        <v>571</v>
      </c>
      <c r="G107" s="673">
        <v>2.0209510000000002</v>
      </c>
      <c r="H107">
        <v>2.092638</v>
      </c>
      <c r="I107">
        <v>2.1172270000000002</v>
      </c>
      <c r="J107">
        <v>2.1386210000000001</v>
      </c>
      <c r="K107">
        <v>2.19346</v>
      </c>
      <c r="L107">
        <v>2.1963949999999999</v>
      </c>
      <c r="M107">
        <v>2.21658</v>
      </c>
      <c r="N107">
        <v>2.2709800000000002</v>
      </c>
      <c r="O107">
        <v>2.3175560000000002</v>
      </c>
      <c r="P107">
        <v>2.3840710000000001</v>
      </c>
      <c r="Q107">
        <v>2.43743</v>
      </c>
      <c r="R107">
        <v>2.4933290000000001</v>
      </c>
      <c r="S107">
        <v>2.5370089999999998</v>
      </c>
      <c r="T107">
        <v>2.5885760000000002</v>
      </c>
      <c r="U107">
        <v>2.6421009999999998</v>
      </c>
      <c r="V107">
        <v>2.6850019999999999</v>
      </c>
      <c r="W107">
        <v>2.7282139999999999</v>
      </c>
      <c r="X107">
        <v>2.786699</v>
      </c>
      <c r="Y107">
        <v>2.8497979999999998</v>
      </c>
      <c r="Z107">
        <v>2.9108179999999999</v>
      </c>
      <c r="AA107">
        <v>2.9877199999999999</v>
      </c>
      <c r="AB107">
        <v>3.051393</v>
      </c>
      <c r="AC107">
        <v>3.1057329999999999</v>
      </c>
      <c r="AD107">
        <v>3.1620149999999998</v>
      </c>
      <c r="AE107">
        <v>3.2285529999999998</v>
      </c>
      <c r="AF107">
        <v>3.2993199999999998</v>
      </c>
      <c r="AG107">
        <v>3.3713150000000001</v>
      </c>
      <c r="AH107">
        <v>3.44021</v>
      </c>
      <c r="AI107">
        <v>3.504696</v>
      </c>
      <c r="AJ107">
        <v>3.5878350000000001</v>
      </c>
      <c r="AK107">
        <v>3.6654499999999999</v>
      </c>
      <c r="AL107" s="4">
        <v>0.02</v>
      </c>
    </row>
    <row r="108" spans="1:38" x14ac:dyDescent="0.3">
      <c r="A108" t="s">
        <v>476</v>
      </c>
      <c r="B108" t="s">
        <v>653</v>
      </c>
      <c r="C108" t="s">
        <v>654</v>
      </c>
      <c r="D108" t="s">
        <v>571</v>
      </c>
      <c r="G108" s="673">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t="s">
        <v>479</v>
      </c>
    </row>
    <row r="109" spans="1:38" x14ac:dyDescent="0.3">
      <c r="A109" t="s">
        <v>444</v>
      </c>
      <c r="B109" t="s">
        <v>655</v>
      </c>
      <c r="C109" t="s">
        <v>656</v>
      </c>
      <c r="D109" t="s">
        <v>571</v>
      </c>
      <c r="G109" s="673">
        <v>30.52927</v>
      </c>
      <c r="H109">
        <v>32.461033</v>
      </c>
      <c r="I109">
        <v>33.04562</v>
      </c>
      <c r="J109">
        <v>33.004742</v>
      </c>
      <c r="K109">
        <v>32.914279999999998</v>
      </c>
      <c r="L109">
        <v>33.510502000000002</v>
      </c>
      <c r="M109">
        <v>34.228614999999998</v>
      </c>
      <c r="N109">
        <v>35.170924999999997</v>
      </c>
      <c r="O109">
        <v>36.187804999999997</v>
      </c>
      <c r="P109">
        <v>37.176769</v>
      </c>
      <c r="Q109">
        <v>38.099013999999997</v>
      </c>
      <c r="R109">
        <v>39.110560999999997</v>
      </c>
      <c r="S109">
        <v>40.050980000000003</v>
      </c>
      <c r="T109">
        <v>41.163466999999997</v>
      </c>
      <c r="U109">
        <v>42.225441000000004</v>
      </c>
      <c r="V109">
        <v>42.904305000000001</v>
      </c>
      <c r="W109">
        <v>43.757179000000001</v>
      </c>
      <c r="X109">
        <v>44.491202999999999</v>
      </c>
      <c r="Y109">
        <v>45.244118</v>
      </c>
      <c r="Z109">
        <v>46.261253000000004</v>
      </c>
      <c r="AA109">
        <v>47.281002000000001</v>
      </c>
      <c r="AB109">
        <v>48.16328</v>
      </c>
      <c r="AC109">
        <v>49.21022</v>
      </c>
      <c r="AD109">
        <v>50.200352000000002</v>
      </c>
      <c r="AE109">
        <v>50.977482000000002</v>
      </c>
      <c r="AF109">
        <v>52.126575000000003</v>
      </c>
      <c r="AG109">
        <v>53.222785999999999</v>
      </c>
      <c r="AH109">
        <v>54.273021999999997</v>
      </c>
      <c r="AI109">
        <v>55.583485000000003</v>
      </c>
      <c r="AJ109">
        <v>56.726512999999997</v>
      </c>
      <c r="AK109">
        <v>57.605263000000001</v>
      </c>
      <c r="AL109" s="4">
        <v>0.02</v>
      </c>
    </row>
    <row r="110" spans="1:38" x14ac:dyDescent="0.3">
      <c r="A110" t="s">
        <v>543</v>
      </c>
      <c r="C110" t="s">
        <v>657</v>
      </c>
    </row>
    <row r="111" spans="1:38" x14ac:dyDescent="0.3">
      <c r="A111" t="s">
        <v>658</v>
      </c>
      <c r="C111" t="s">
        <v>659</v>
      </c>
    </row>
    <row r="112" spans="1:38" x14ac:dyDescent="0.3">
      <c r="A112" t="s">
        <v>433</v>
      </c>
      <c r="B112" t="s">
        <v>660</v>
      </c>
      <c r="C112" t="s">
        <v>661</v>
      </c>
      <c r="D112" t="s">
        <v>662</v>
      </c>
      <c r="G112" s="673">
        <v>246.644623</v>
      </c>
      <c r="H112">
        <v>274.75665300000003</v>
      </c>
      <c r="I112">
        <v>282.02075200000002</v>
      </c>
      <c r="J112">
        <v>286.20111100000003</v>
      </c>
      <c r="K112">
        <v>288.20675699999998</v>
      </c>
      <c r="L112">
        <v>294.44158900000002</v>
      </c>
      <c r="M112">
        <v>302.19567899999998</v>
      </c>
      <c r="N112">
        <v>311.29156499999999</v>
      </c>
      <c r="O112">
        <v>321.77432299999998</v>
      </c>
      <c r="P112">
        <v>332.630402</v>
      </c>
      <c r="Q112">
        <v>342.45663500000001</v>
      </c>
      <c r="R112">
        <v>355.06091300000003</v>
      </c>
      <c r="S112">
        <v>365.27722199999999</v>
      </c>
      <c r="T112">
        <v>377.34936499999998</v>
      </c>
      <c r="U112">
        <v>388.63220200000001</v>
      </c>
      <c r="V112">
        <v>397.51559400000002</v>
      </c>
      <c r="W112">
        <v>408.180115</v>
      </c>
      <c r="X112">
        <v>418.84121699999997</v>
      </c>
      <c r="Y112">
        <v>429.648865</v>
      </c>
      <c r="Z112">
        <v>442.12435900000003</v>
      </c>
      <c r="AA112">
        <v>454.80560300000002</v>
      </c>
      <c r="AB112">
        <v>466.88235500000002</v>
      </c>
      <c r="AC112">
        <v>480.18594400000001</v>
      </c>
      <c r="AD112">
        <v>493.36175500000002</v>
      </c>
      <c r="AE112">
        <v>505.55471799999998</v>
      </c>
      <c r="AF112">
        <v>520.60107400000004</v>
      </c>
      <c r="AG112">
        <v>535.42602499999998</v>
      </c>
      <c r="AH112">
        <v>550.24298099999999</v>
      </c>
      <c r="AI112">
        <v>566.61499000000003</v>
      </c>
      <c r="AJ112">
        <v>582.39544699999999</v>
      </c>
      <c r="AK112">
        <v>596.77319299999999</v>
      </c>
      <c r="AL112" s="4">
        <v>2.7E-2</v>
      </c>
    </row>
    <row r="113" spans="1:38" x14ac:dyDescent="0.3">
      <c r="A113" t="s">
        <v>447</v>
      </c>
      <c r="B113" t="s">
        <v>663</v>
      </c>
      <c r="C113" t="s">
        <v>664</v>
      </c>
      <c r="D113" t="s">
        <v>662</v>
      </c>
      <c r="G113" s="673">
        <v>173.49534600000001</v>
      </c>
      <c r="H113">
        <v>197.94026199999999</v>
      </c>
      <c r="I113">
        <v>206.52299500000001</v>
      </c>
      <c r="J113">
        <v>204.484253</v>
      </c>
      <c r="K113">
        <v>203.79495199999999</v>
      </c>
      <c r="L113">
        <v>207.09669500000001</v>
      </c>
      <c r="M113">
        <v>211.095474</v>
      </c>
      <c r="N113">
        <v>217.16265899999999</v>
      </c>
      <c r="O113">
        <v>223.97851600000001</v>
      </c>
      <c r="P113">
        <v>230.93884299999999</v>
      </c>
      <c r="Q113">
        <v>237.02470400000001</v>
      </c>
      <c r="R113">
        <v>245.28102100000001</v>
      </c>
      <c r="S113">
        <v>251.525589</v>
      </c>
      <c r="T113">
        <v>259.56954999999999</v>
      </c>
      <c r="U113">
        <v>266.95376599999997</v>
      </c>
      <c r="V113">
        <v>272.41683999999998</v>
      </c>
      <c r="W113">
        <v>279.12619000000001</v>
      </c>
      <c r="X113">
        <v>285.69381700000002</v>
      </c>
      <c r="Y113">
        <v>292.35488900000001</v>
      </c>
      <c r="Z113">
        <v>300.53656000000001</v>
      </c>
      <c r="AA113">
        <v>308.674713</v>
      </c>
      <c r="AB113">
        <v>316.274902</v>
      </c>
      <c r="AC113">
        <v>324.93261699999999</v>
      </c>
      <c r="AD113">
        <v>333.95410199999998</v>
      </c>
      <c r="AE113">
        <v>341.54922499999998</v>
      </c>
      <c r="AF113">
        <v>351.54641700000002</v>
      </c>
      <c r="AG113">
        <v>361.37936400000001</v>
      </c>
      <c r="AH113">
        <v>370.90063500000002</v>
      </c>
      <c r="AI113">
        <v>382.05593900000002</v>
      </c>
      <c r="AJ113">
        <v>392.81509399999999</v>
      </c>
      <c r="AK113">
        <v>402.17343099999999</v>
      </c>
      <c r="AL113" s="4">
        <v>2.5000000000000001E-2</v>
      </c>
    </row>
    <row r="114" spans="1:38" x14ac:dyDescent="0.3">
      <c r="A114" t="s">
        <v>460</v>
      </c>
      <c r="B114" t="s">
        <v>665</v>
      </c>
      <c r="C114" t="s">
        <v>666</v>
      </c>
      <c r="D114" t="s">
        <v>662</v>
      </c>
      <c r="G114" s="673">
        <v>151.91566499999999</v>
      </c>
      <c r="H114">
        <v>207.87148999999999</v>
      </c>
      <c r="I114">
        <v>222.101822</v>
      </c>
      <c r="J114">
        <v>216.77546699999999</v>
      </c>
      <c r="K114">
        <v>219.22020000000001</v>
      </c>
      <c r="L114">
        <v>223.70854199999999</v>
      </c>
      <c r="M114">
        <v>231.34451300000001</v>
      </c>
      <c r="N114">
        <v>241.03848300000001</v>
      </c>
      <c r="O114">
        <v>254.377747</v>
      </c>
      <c r="P114">
        <v>266.31781000000001</v>
      </c>
      <c r="Q114">
        <v>278.11086999999998</v>
      </c>
      <c r="R114">
        <v>290.352081</v>
      </c>
      <c r="S114">
        <v>302.45700099999999</v>
      </c>
      <c r="T114">
        <v>314.93847699999998</v>
      </c>
      <c r="U114">
        <v>325.372772</v>
      </c>
      <c r="V114">
        <v>335.25311299999998</v>
      </c>
      <c r="W114">
        <v>346.38146999999998</v>
      </c>
      <c r="X114">
        <v>359.34768700000001</v>
      </c>
      <c r="Y114">
        <v>372.17266799999999</v>
      </c>
      <c r="Z114">
        <v>383.170593</v>
      </c>
      <c r="AA114">
        <v>397.90978999999999</v>
      </c>
      <c r="AB114">
        <v>412.68615699999998</v>
      </c>
      <c r="AC114">
        <v>425.94271900000001</v>
      </c>
      <c r="AD114">
        <v>440.55062900000001</v>
      </c>
      <c r="AE114">
        <v>455.16085800000002</v>
      </c>
      <c r="AF114">
        <v>469.07247899999999</v>
      </c>
      <c r="AG114">
        <v>485.45648199999999</v>
      </c>
      <c r="AH114">
        <v>499.61651599999999</v>
      </c>
      <c r="AI114">
        <v>512.55181900000002</v>
      </c>
      <c r="AJ114">
        <v>527.263733</v>
      </c>
      <c r="AK114">
        <v>545.07385299999999</v>
      </c>
      <c r="AL114" s="4">
        <v>3.4000000000000002E-2</v>
      </c>
    </row>
    <row r="115" spans="1:38" x14ac:dyDescent="0.3">
      <c r="A115" t="s">
        <v>482</v>
      </c>
      <c r="B115" t="s">
        <v>667</v>
      </c>
      <c r="C115" t="s">
        <v>668</v>
      </c>
      <c r="D115" t="s">
        <v>662</v>
      </c>
      <c r="G115" s="673">
        <v>411.85290500000002</v>
      </c>
      <c r="H115">
        <v>608.60992399999998</v>
      </c>
      <c r="I115">
        <v>617.48187299999995</v>
      </c>
      <c r="J115">
        <v>586.63934300000005</v>
      </c>
      <c r="K115">
        <v>608.144409</v>
      </c>
      <c r="L115">
        <v>619.56567399999994</v>
      </c>
      <c r="M115">
        <v>638.83477800000003</v>
      </c>
      <c r="N115">
        <v>659.09545900000001</v>
      </c>
      <c r="O115">
        <v>680.03027299999997</v>
      </c>
      <c r="P115">
        <v>699.07324200000005</v>
      </c>
      <c r="Q115">
        <v>723.95440699999995</v>
      </c>
      <c r="R115">
        <v>761.15173300000004</v>
      </c>
      <c r="S115">
        <v>782.38348399999995</v>
      </c>
      <c r="T115">
        <v>804.76629600000001</v>
      </c>
      <c r="U115">
        <v>827.06945800000005</v>
      </c>
      <c r="V115">
        <v>848.08575399999995</v>
      </c>
      <c r="W115">
        <v>872.93933100000004</v>
      </c>
      <c r="X115">
        <v>900.212402</v>
      </c>
      <c r="Y115">
        <v>930.22808799999996</v>
      </c>
      <c r="Z115">
        <v>954.62152100000003</v>
      </c>
      <c r="AA115">
        <v>987.11413600000003</v>
      </c>
      <c r="AB115">
        <v>1018.673767</v>
      </c>
      <c r="AC115">
        <v>1047.360596</v>
      </c>
      <c r="AD115">
        <v>1087.0263669999999</v>
      </c>
      <c r="AE115">
        <v>1128.3382570000001</v>
      </c>
      <c r="AF115">
        <v>1164.267456</v>
      </c>
      <c r="AG115">
        <v>1207.455688</v>
      </c>
      <c r="AH115">
        <v>1245.2613530000001</v>
      </c>
      <c r="AI115">
        <v>1277.421875</v>
      </c>
      <c r="AJ115">
        <v>1315.5474850000001</v>
      </c>
      <c r="AK115">
        <v>1354.25647</v>
      </c>
      <c r="AL115" s="4">
        <v>2.8000000000000001E-2</v>
      </c>
    </row>
    <row r="116" spans="1:38" x14ac:dyDescent="0.3">
      <c r="A116" t="s">
        <v>556</v>
      </c>
      <c r="B116" t="s">
        <v>669</v>
      </c>
      <c r="C116" t="s">
        <v>670</v>
      </c>
      <c r="D116" t="s">
        <v>662</v>
      </c>
      <c r="G116" s="673">
        <v>983.90850799999998</v>
      </c>
      <c r="H116">
        <v>1289.1782229999999</v>
      </c>
      <c r="I116">
        <v>1328.127563</v>
      </c>
      <c r="J116">
        <v>1294.10022</v>
      </c>
      <c r="K116">
        <v>1319.3664550000001</v>
      </c>
      <c r="L116">
        <v>1344.8123780000001</v>
      </c>
      <c r="M116">
        <v>1383.4704589999999</v>
      </c>
      <c r="N116">
        <v>1428.588135</v>
      </c>
      <c r="O116">
        <v>1480.160889</v>
      </c>
      <c r="P116">
        <v>1528.960327</v>
      </c>
      <c r="Q116">
        <v>1581.5466309999999</v>
      </c>
      <c r="R116">
        <v>1651.8458250000001</v>
      </c>
      <c r="S116">
        <v>1701.643311</v>
      </c>
      <c r="T116">
        <v>1756.6236570000001</v>
      </c>
      <c r="U116">
        <v>1808.0280760000001</v>
      </c>
      <c r="V116">
        <v>1853.271362</v>
      </c>
      <c r="W116">
        <v>1906.6270750000001</v>
      </c>
      <c r="X116">
        <v>1964.0952150000001</v>
      </c>
      <c r="Y116">
        <v>2024.4045410000001</v>
      </c>
      <c r="Z116">
        <v>2080.453125</v>
      </c>
      <c r="AA116">
        <v>2148.5041500000002</v>
      </c>
      <c r="AB116">
        <v>2214.5173340000001</v>
      </c>
      <c r="AC116">
        <v>2278.4216310000002</v>
      </c>
      <c r="AD116">
        <v>2354.8928219999998</v>
      </c>
      <c r="AE116">
        <v>2430.6030270000001</v>
      </c>
      <c r="AF116">
        <v>2505.4873050000001</v>
      </c>
      <c r="AG116">
        <v>2589.717529</v>
      </c>
      <c r="AH116">
        <v>2666.0214839999999</v>
      </c>
      <c r="AI116">
        <v>2738.6447750000002</v>
      </c>
      <c r="AJ116">
        <v>2818.0217290000001</v>
      </c>
      <c r="AK116">
        <v>2898.2766109999998</v>
      </c>
      <c r="AL116" s="4">
        <v>2.8000000000000001E-2</v>
      </c>
    </row>
    <row r="117" spans="1:38" x14ac:dyDescent="0.3">
      <c r="A117" t="s">
        <v>559</v>
      </c>
      <c r="B117" t="s">
        <v>671</v>
      </c>
      <c r="C117" t="s">
        <v>672</v>
      </c>
      <c r="D117" t="s">
        <v>662</v>
      </c>
      <c r="G117" s="673">
        <v>0.66034599999999999</v>
      </c>
      <c r="H117">
        <v>0.92960200000000004</v>
      </c>
      <c r="I117">
        <v>0.97737099999999999</v>
      </c>
      <c r="J117">
        <v>0.93283300000000002</v>
      </c>
      <c r="K117">
        <v>0.93543799999999999</v>
      </c>
      <c r="L117">
        <v>0.93598300000000001</v>
      </c>
      <c r="M117">
        <v>0.94391400000000003</v>
      </c>
      <c r="N117">
        <v>0.94850400000000001</v>
      </c>
      <c r="O117">
        <v>0.94725099999999995</v>
      </c>
      <c r="P117">
        <v>0.94460500000000003</v>
      </c>
      <c r="Q117">
        <v>0.95249200000000001</v>
      </c>
      <c r="R117">
        <v>0.95626599999999995</v>
      </c>
      <c r="S117">
        <v>0.94968200000000003</v>
      </c>
      <c r="T117">
        <v>0.95227200000000001</v>
      </c>
      <c r="U117">
        <v>0.936442</v>
      </c>
      <c r="V117">
        <v>0.93252599999999997</v>
      </c>
      <c r="W117">
        <v>0.95257700000000001</v>
      </c>
      <c r="X117">
        <v>0.97111999999999998</v>
      </c>
      <c r="Y117">
        <v>0.98984899999999998</v>
      </c>
      <c r="Z117">
        <v>1.013503</v>
      </c>
      <c r="AA117">
        <v>1.0477449999999999</v>
      </c>
      <c r="AB117">
        <v>1.081852</v>
      </c>
      <c r="AC117">
        <v>1.119707</v>
      </c>
      <c r="AD117">
        <v>1.1661490000000001</v>
      </c>
      <c r="AE117">
        <v>1.214553</v>
      </c>
      <c r="AF117">
        <v>1.2608250000000001</v>
      </c>
      <c r="AG117">
        <v>1.315426</v>
      </c>
      <c r="AH117">
        <v>1.3691610000000001</v>
      </c>
      <c r="AI117">
        <v>1.419259</v>
      </c>
      <c r="AJ117">
        <v>1.476709</v>
      </c>
      <c r="AK117">
        <v>1.536724</v>
      </c>
      <c r="AL117" s="4">
        <v>1.7000000000000001E-2</v>
      </c>
    </row>
    <row r="118" spans="1:38" x14ac:dyDescent="0.3">
      <c r="A118" t="s">
        <v>562</v>
      </c>
      <c r="B118" t="s">
        <v>673</v>
      </c>
      <c r="C118" t="s">
        <v>674</v>
      </c>
      <c r="D118" t="s">
        <v>662</v>
      </c>
      <c r="G118" s="673">
        <v>984.568848</v>
      </c>
      <c r="H118">
        <v>1290.107788</v>
      </c>
      <c r="I118">
        <v>1329.1048579999999</v>
      </c>
      <c r="J118">
        <v>1295.0329589999999</v>
      </c>
      <c r="K118">
        <v>1320.3017580000001</v>
      </c>
      <c r="L118">
        <v>1345.7482910000001</v>
      </c>
      <c r="M118">
        <v>1384.414307</v>
      </c>
      <c r="N118">
        <v>1429.536499</v>
      </c>
      <c r="O118">
        <v>1481.108154</v>
      </c>
      <c r="P118">
        <v>1529.9047849999999</v>
      </c>
      <c r="Q118">
        <v>1582.4990230000001</v>
      </c>
      <c r="R118">
        <v>1652.802246</v>
      </c>
      <c r="S118">
        <v>1702.593018</v>
      </c>
      <c r="T118">
        <v>1757.5758060000001</v>
      </c>
      <c r="U118">
        <v>1808.9646</v>
      </c>
      <c r="V118">
        <v>1854.203857</v>
      </c>
      <c r="W118">
        <v>1907.5798339999999</v>
      </c>
      <c r="X118">
        <v>1965.0661620000001</v>
      </c>
      <c r="Y118">
        <v>2025.394409</v>
      </c>
      <c r="Z118">
        <v>2081.466797</v>
      </c>
      <c r="AA118">
        <v>2149.5520019999999</v>
      </c>
      <c r="AB118">
        <v>2215.5991210000002</v>
      </c>
      <c r="AC118">
        <v>2279.5415039999998</v>
      </c>
      <c r="AD118">
        <v>2356.0588379999999</v>
      </c>
      <c r="AE118">
        <v>2431.8176269999999</v>
      </c>
      <c r="AF118">
        <v>2506.7482909999999</v>
      </c>
      <c r="AG118">
        <v>2591.0329590000001</v>
      </c>
      <c r="AH118">
        <v>2667.390625</v>
      </c>
      <c r="AI118">
        <v>2740.0642090000001</v>
      </c>
      <c r="AJ118">
        <v>2819.4982909999999</v>
      </c>
      <c r="AK118">
        <v>2899.813232</v>
      </c>
      <c r="AL118" s="4">
        <v>2.8000000000000001E-2</v>
      </c>
    </row>
  </sheetData>
  <pageMargins left="0.7" right="0.7" top="0.75" bottom="0.75" header="0.3" footer="0.3"/>
  <pageSetup orientation="portrait"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A567E-8628-4734-81ED-1D1B59135DE6}">
  <dimension ref="A1:W198"/>
  <sheetViews>
    <sheetView zoomScaleNormal="100" workbookViewId="0">
      <pane xSplit="3" ySplit="2" topLeftCell="D3" activePane="bottomRight" state="frozen"/>
      <selection pane="topRight" activeCell="D1" sqref="D1"/>
      <selection pane="bottomLeft" activeCell="A3" sqref="A3"/>
      <selection pane="bottomRight" activeCell="D12" sqref="D12"/>
    </sheetView>
  </sheetViews>
  <sheetFormatPr defaultColWidth="19" defaultRowHeight="13.2" x14ac:dyDescent="0.25"/>
  <cols>
    <col min="1" max="1" width="15.88671875" style="776" customWidth="1"/>
    <col min="2" max="2" width="6.5546875" style="317" customWidth="1"/>
    <col min="3" max="3" width="50.88671875" style="317" customWidth="1"/>
    <col min="4" max="6" width="19" style="317" customWidth="1"/>
    <col min="7" max="7" width="21.88671875" style="317" customWidth="1"/>
    <col min="8" max="17" width="19" style="317" customWidth="1"/>
    <col min="18" max="18" width="21.5546875" style="317" bestFit="1" customWidth="1"/>
    <col min="19" max="16384" width="19" style="317"/>
  </cols>
  <sheetData>
    <row r="1" spans="1:23" ht="13.35" customHeight="1" x14ac:dyDescent="0.25">
      <c r="A1" s="771"/>
      <c r="B1" s="329"/>
      <c r="C1" s="329"/>
      <c r="D1" s="318" t="s">
        <v>786</v>
      </c>
      <c r="E1" s="1051" t="s">
        <v>787</v>
      </c>
      <c r="F1" s="1051"/>
      <c r="G1" s="1051"/>
      <c r="H1" s="1051"/>
      <c r="I1" s="1052" t="s">
        <v>788</v>
      </c>
      <c r="J1" s="1052"/>
      <c r="K1" s="1053" t="s">
        <v>789</v>
      </c>
      <c r="L1" s="1053"/>
      <c r="M1" s="1053"/>
      <c r="N1" s="1053"/>
      <c r="O1" s="1053"/>
      <c r="P1" s="1053"/>
      <c r="Q1" s="1053"/>
      <c r="R1" s="772"/>
      <c r="S1" s="329"/>
      <c r="T1" s="329"/>
    </row>
    <row r="2" spans="1:23" ht="57.75" customHeight="1" x14ac:dyDescent="0.25">
      <c r="A2" s="773" t="s">
        <v>790</v>
      </c>
      <c r="B2" s="320" t="s">
        <v>791</v>
      </c>
      <c r="C2" s="320" t="s">
        <v>792</v>
      </c>
      <c r="D2" s="318" t="s">
        <v>737</v>
      </c>
      <c r="E2" s="321" t="s">
        <v>793</v>
      </c>
      <c r="F2" s="321" t="s">
        <v>794</v>
      </c>
      <c r="G2" s="321" t="s">
        <v>795</v>
      </c>
      <c r="H2" s="321" t="s">
        <v>796</v>
      </c>
      <c r="I2" s="322" t="s">
        <v>797</v>
      </c>
      <c r="J2" s="322" t="s">
        <v>798</v>
      </c>
      <c r="K2" s="774" t="s">
        <v>799</v>
      </c>
      <c r="L2" s="774" t="s">
        <v>800</v>
      </c>
      <c r="M2" s="774" t="s">
        <v>801</v>
      </c>
      <c r="N2" s="774" t="s">
        <v>740</v>
      </c>
      <c r="O2" s="774" t="s">
        <v>802</v>
      </c>
      <c r="P2" s="774" t="s">
        <v>803</v>
      </c>
      <c r="Q2" s="774" t="s">
        <v>804</v>
      </c>
      <c r="R2" s="774" t="s">
        <v>805</v>
      </c>
      <c r="S2" s="774" t="s">
        <v>806</v>
      </c>
      <c r="T2" s="774" t="s">
        <v>807</v>
      </c>
    </row>
    <row r="3" spans="1:23" ht="14.4" x14ac:dyDescent="0.3">
      <c r="A3" s="1045" t="s">
        <v>741</v>
      </c>
      <c r="B3" s="1047" t="s">
        <v>808</v>
      </c>
      <c r="C3" s="329" t="s">
        <v>809</v>
      </c>
      <c r="D3" s="330">
        <v>82.8</v>
      </c>
      <c r="E3" s="331">
        <v>20.710808797885711</v>
      </c>
      <c r="F3" s="332">
        <v>3494.932571428571</v>
      </c>
      <c r="G3" s="333">
        <f t="shared" ref="G3:G66" si="0">E3/$G$170</f>
        <v>2.3257505668597096</v>
      </c>
      <c r="H3" s="334">
        <f t="shared" ref="H3:H66" si="1">E3/D3</f>
        <v>0.25013054103726706</v>
      </c>
      <c r="I3" s="335">
        <v>2408.2335811495018</v>
      </c>
      <c r="J3" s="336">
        <f>I3*'[3]%Non-FF'!$AF$3/1000</f>
        <v>6.7430540272186649E-3</v>
      </c>
      <c r="K3" s="336">
        <f t="shared" ref="K3:K66" si="2">G3-J3</f>
        <v>2.3190075128324907</v>
      </c>
      <c r="L3" s="336">
        <f>K3*'[3]FR SO Table'!$D$2</f>
        <v>2.0407266112925919</v>
      </c>
      <c r="M3" s="329">
        <v>15</v>
      </c>
      <c r="N3" s="336">
        <f t="shared" ref="N3:N66" si="3">K3*M3</f>
        <v>34.78511269248736</v>
      </c>
      <c r="O3" s="336">
        <f>N3*'[3]FR SO Table'!$D$2</f>
        <v>30.61089916938888</v>
      </c>
      <c r="P3" s="415">
        <f>N3*F170</f>
        <v>2232.5085326038388</v>
      </c>
      <c r="Q3" s="416">
        <f>G3*M3*'[3]FR SO Table'!$D$2*F170</f>
        <v>1970.3200622299419</v>
      </c>
      <c r="R3" s="338" t="s">
        <v>810</v>
      </c>
      <c r="S3" s="775">
        <f>E3*VLOOKUP(R3,'[3]FR SO Table'!$A$37:$B$44,2,FALSE)</f>
        <v>3110.245711222487</v>
      </c>
      <c r="T3" s="329">
        <f>S3*M3*(1-J3)</f>
        <v>46339.097345306829</v>
      </c>
      <c r="V3" s="1009"/>
      <c r="W3" s="346"/>
    </row>
    <row r="4" spans="1:23" ht="14.4" x14ac:dyDescent="0.3">
      <c r="A4" s="1045"/>
      <c r="B4" s="1047"/>
      <c r="C4" s="329" t="s">
        <v>811</v>
      </c>
      <c r="D4" s="330">
        <v>82.8</v>
      </c>
      <c r="E4" s="331">
        <v>28.282237204235166</v>
      </c>
      <c r="F4" s="332">
        <v>3991.6851800554014</v>
      </c>
      <c r="G4" s="333">
        <f t="shared" si="0"/>
        <v>3.1759951941869926</v>
      </c>
      <c r="H4" s="334">
        <f t="shared" si="1"/>
        <v>0.34157291309462762</v>
      </c>
      <c r="I4" s="335">
        <v>3288.6322330506009</v>
      </c>
      <c r="J4" s="336">
        <f>I4*'[3]%Non-FF'!$AF$3/1000</f>
        <v>9.2081702525417652E-3</v>
      </c>
      <c r="K4" s="336">
        <f t="shared" si="2"/>
        <v>3.1667870239344507</v>
      </c>
      <c r="L4" s="336">
        <f>K4*'[3]FR SO Table'!$D$2</f>
        <v>2.786772581062317</v>
      </c>
      <c r="M4" s="329">
        <v>15</v>
      </c>
      <c r="N4" s="336">
        <f t="shared" si="3"/>
        <v>47.501805359016757</v>
      </c>
      <c r="O4" s="336">
        <f>N4*'[3]FR SO Table'!$D$2</f>
        <v>41.801588715934749</v>
      </c>
      <c r="P4" s="415">
        <f>N4*F170</f>
        <v>3048.665867941696</v>
      </c>
      <c r="Q4" s="416">
        <f>G4*M4*'[3]FR SO Table'!$D$2*F170</f>
        <v>2690.6269046305601</v>
      </c>
      <c r="R4" s="338" t="s">
        <v>810</v>
      </c>
      <c r="S4" s="775">
        <f>E4*VLOOKUP(R4,'[3]FR SO Table'!$A$37:$B$44,2,FALSE)</f>
        <v>4247.2849721460161</v>
      </c>
      <c r="T4" s="329">
        <f t="shared" ref="T4:T77" si="4">S4*M4*(1-J4)</f>
        <v>63122.628735171507</v>
      </c>
      <c r="U4" s="340"/>
      <c r="V4" s="1009"/>
      <c r="W4" s="346"/>
    </row>
    <row r="5" spans="1:23" ht="14.4" x14ac:dyDescent="0.3">
      <c r="A5" s="1045"/>
      <c r="B5" s="1047"/>
      <c r="C5" s="329" t="s">
        <v>812</v>
      </c>
      <c r="D5" s="330">
        <v>82.8</v>
      </c>
      <c r="E5" s="331">
        <v>35.123496813461543</v>
      </c>
      <c r="F5" s="332">
        <v>3754.1466666666665</v>
      </c>
      <c r="G5" s="333">
        <f t="shared" si="0"/>
        <v>3.9442444484516055</v>
      </c>
      <c r="H5" s="334">
        <f t="shared" si="1"/>
        <v>0.4241968214186177</v>
      </c>
      <c r="I5" s="335">
        <v>4084.1275364490166</v>
      </c>
      <c r="J5" s="336">
        <f>I5*'[3]%Non-FF'!$AF$3/1000</f>
        <v>1.1435557102057346E-2</v>
      </c>
      <c r="K5" s="336">
        <f t="shared" si="2"/>
        <v>3.932808891349548</v>
      </c>
      <c r="L5" s="336">
        <f>K5*'[3]FR SO Table'!$D$2</f>
        <v>3.4608718243876027</v>
      </c>
      <c r="M5" s="329">
        <v>15</v>
      </c>
      <c r="N5" s="336">
        <f t="shared" si="3"/>
        <v>58.992133370243224</v>
      </c>
      <c r="O5" s="336">
        <f>N5*'[3]FR SO Table'!$D$2</f>
        <v>51.913077365814047</v>
      </c>
      <c r="P5" s="415">
        <f>N5*F170</f>
        <v>3786.1151197022104</v>
      </c>
      <c r="Q5" s="416">
        <f>G5*M5*'[3]FR SO Table'!$D$2*F170</f>
        <v>3341.4692348614381</v>
      </c>
      <c r="R5" s="338" t="s">
        <v>810</v>
      </c>
      <c r="S5" s="775">
        <f>E5*VLOOKUP(R5,'[3]FR SO Table'!$A$37:$B$44,2,FALSE)</f>
        <v>5274.6711339615877</v>
      </c>
      <c r="T5" s="329">
        <f t="shared" si="4"/>
        <v>78215.284965218947</v>
      </c>
      <c r="U5" s="340"/>
      <c r="V5" s="1009"/>
      <c r="W5" s="346"/>
    </row>
    <row r="6" spans="1:23" ht="14.4" x14ac:dyDescent="0.3">
      <c r="A6" s="1045"/>
      <c r="B6" s="1047"/>
      <c r="C6" s="329" t="s">
        <v>813</v>
      </c>
      <c r="D6" s="330">
        <v>82.8</v>
      </c>
      <c r="E6" s="331">
        <v>49.55582941120322</v>
      </c>
      <c r="F6" s="332">
        <v>4342.6274193548397</v>
      </c>
      <c r="G6" s="333">
        <f t="shared" si="0"/>
        <v>5.5649443471311875</v>
      </c>
      <c r="H6" s="334">
        <f t="shared" si="1"/>
        <v>0.59850035520776834</v>
      </c>
      <c r="I6" s="335">
        <v>5762.3057454887476</v>
      </c>
      <c r="J6" s="336">
        <f>I6*'[3]%Non-FF'!$AF$3/1000</f>
        <v>1.6134456087368639E-2</v>
      </c>
      <c r="K6" s="336">
        <f t="shared" si="2"/>
        <v>5.5488098910438186</v>
      </c>
      <c r="L6" s="336">
        <f>K6*'[3]FR SO Table'!$D$2</f>
        <v>4.8829527041185612</v>
      </c>
      <c r="M6" s="329">
        <v>15</v>
      </c>
      <c r="N6" s="336">
        <f t="shared" si="3"/>
        <v>83.232148365657281</v>
      </c>
      <c r="O6" s="336">
        <f>N6*'[3]FR SO Table'!$D$2</f>
        <v>73.244290561778413</v>
      </c>
      <c r="P6" s="415">
        <f>N6*F170</f>
        <v>5341.8392821078851</v>
      </c>
      <c r="Q6" s="416">
        <f>G6*M6*'[3]FR SO Table'!$D$2*F170</f>
        <v>4714.4872922252116</v>
      </c>
      <c r="R6" s="338" t="s">
        <v>810</v>
      </c>
      <c r="S6" s="775">
        <f>E6*VLOOKUP(R6,'[3]FR SO Table'!$A$37:$B$44,2,FALSE)</f>
        <v>7442.0466818274444</v>
      </c>
      <c r="T6" s="329">
        <f t="shared" si="4"/>
        <v>109829.59959659028</v>
      </c>
      <c r="U6" s="340"/>
      <c r="V6" s="1009"/>
      <c r="W6" s="346"/>
    </row>
    <row r="7" spans="1:23" ht="14.4" x14ac:dyDescent="0.3">
      <c r="A7" s="1045"/>
      <c r="B7" s="1047"/>
      <c r="C7" s="329" t="s">
        <v>814</v>
      </c>
      <c r="D7" s="330">
        <v>82.8</v>
      </c>
      <c r="E7" s="331">
        <v>65.030340962812474</v>
      </c>
      <c r="F7" s="332">
        <v>5036.2559999999994</v>
      </c>
      <c r="G7" s="333">
        <f t="shared" si="0"/>
        <v>7.3026772557902841</v>
      </c>
      <c r="H7" s="334">
        <f t="shared" si="1"/>
        <v>0.7853905913383149</v>
      </c>
      <c r="I7" s="335">
        <v>7561.6675538154041</v>
      </c>
      <c r="J7" s="336">
        <f>I7*'[3]%Non-FF'!$AF$3/1000</f>
        <v>2.1172669150683318E-2</v>
      </c>
      <c r="K7" s="336">
        <f t="shared" si="2"/>
        <v>7.2815045866396009</v>
      </c>
      <c r="L7" s="336">
        <f>K7*'[3]FR SO Table'!$D$2</f>
        <v>6.4077240362428496</v>
      </c>
      <c r="M7" s="329">
        <v>15</v>
      </c>
      <c r="N7" s="336">
        <f t="shared" si="3"/>
        <v>109.22256879959401</v>
      </c>
      <c r="O7" s="336">
        <f>N7*'[3]FR SO Table'!$D$2</f>
        <v>96.115860543642739</v>
      </c>
      <c r="P7" s="415">
        <f>N7*F170</f>
        <v>7009.9044655579446</v>
      </c>
      <c r="Q7" s="416">
        <f>G7*M7*'[3]FR SO Table'!$D$2*F170</f>
        <v>6186.6529068513919</v>
      </c>
      <c r="R7" s="338" t="s">
        <v>810</v>
      </c>
      <c r="S7" s="775">
        <f>E7*VLOOKUP(R7,'[3]FR SO Table'!$A$37:$B$44,2,FALSE)</f>
        <v>9765.9314540903633</v>
      </c>
      <c r="T7" s="329">
        <f t="shared" si="4"/>
        <v>143387.40927696985</v>
      </c>
      <c r="U7" s="340"/>
      <c r="V7" s="1009"/>
      <c r="W7" s="346"/>
    </row>
    <row r="8" spans="1:23" ht="14.4" x14ac:dyDescent="0.3">
      <c r="A8" s="1045"/>
      <c r="B8" s="1047"/>
      <c r="C8" s="329" t="s">
        <v>815</v>
      </c>
      <c r="D8" s="330">
        <v>82.8</v>
      </c>
      <c r="E8" s="331">
        <v>45.961548274237771</v>
      </c>
      <c r="F8" s="332">
        <v>5481.4246666666677</v>
      </c>
      <c r="G8" s="333">
        <f t="shared" si="0"/>
        <v>5.1613192896392786</v>
      </c>
      <c r="H8" s="334">
        <f t="shared" si="1"/>
        <v>0.55509116273234027</v>
      </c>
      <c r="I8" s="335">
        <v>5344.3660783997411</v>
      </c>
      <c r="J8" s="336">
        <f>I8*'[3]%Non-FF'!$AF$3/1000</f>
        <v>1.4964225019519408E-2</v>
      </c>
      <c r="K8" s="336">
        <f t="shared" si="2"/>
        <v>5.1463550646197591</v>
      </c>
      <c r="L8" s="336">
        <f>K8*'[3]FR SO Table'!$D$2</f>
        <v>4.5287924568653883</v>
      </c>
      <c r="M8" s="329">
        <v>15</v>
      </c>
      <c r="N8" s="336">
        <f t="shared" si="3"/>
        <v>77.195325969296391</v>
      </c>
      <c r="O8" s="336">
        <f>N8*'[3]FR SO Table'!$D$2</f>
        <v>67.931886852980838</v>
      </c>
      <c r="P8" s="415">
        <f>O8*F170</f>
        <v>4359.8684982243103</v>
      </c>
      <c r="Q8" s="416">
        <f>G8*M8*'[3]FR SO Table'!$D$2*F170</f>
        <v>4372.545830519447</v>
      </c>
      <c r="R8" s="338" t="s">
        <v>810</v>
      </c>
      <c r="S8" s="775">
        <f>E8*VLOOKUP(R8,'[3]FR SO Table'!$A$37:$B$44,2,FALSE)</f>
        <v>6902.2755120836573</v>
      </c>
      <c r="T8" s="329">
        <f t="shared" si="4"/>
        <v>101984.82462261179</v>
      </c>
      <c r="V8" s="1009"/>
      <c r="W8" s="346"/>
    </row>
    <row r="9" spans="1:23" ht="14.4" x14ac:dyDescent="0.3">
      <c r="A9" s="1045" t="s">
        <v>742</v>
      </c>
      <c r="B9" s="1047" t="s">
        <v>808</v>
      </c>
      <c r="C9" s="329" t="s">
        <v>809</v>
      </c>
      <c r="D9" s="330">
        <v>82.8</v>
      </c>
      <c r="E9" s="331">
        <v>15.936967369973054</v>
      </c>
      <c r="F9" s="332">
        <v>3494.932571428571</v>
      </c>
      <c r="G9" s="333">
        <f t="shared" si="0"/>
        <v>1.7896650611985463</v>
      </c>
      <c r="H9" s="334">
        <f t="shared" si="1"/>
        <v>0.19247545132817698</v>
      </c>
      <c r="I9" s="335">
        <v>1853.1357406945415</v>
      </c>
      <c r="J9" s="336">
        <f>I9*'[3]%Non-FF'!$AF$3/1000</f>
        <v>5.1887800739447622E-3</v>
      </c>
      <c r="K9" s="336">
        <f t="shared" si="2"/>
        <v>1.7844762811246015</v>
      </c>
      <c r="L9" s="336">
        <f>K9*'[3]FR SO Table'!$D$2</f>
        <v>1.5703391273896496</v>
      </c>
      <c r="M9" s="329">
        <v>15</v>
      </c>
      <c r="N9" s="336">
        <f t="shared" si="3"/>
        <v>26.767144216869024</v>
      </c>
      <c r="O9" s="336">
        <f>N9*'[3]FR SO Table'!$D$2</f>
        <v>23.555086910844743</v>
      </c>
      <c r="P9" s="415">
        <f>O9*F170</f>
        <v>1511.7654779380157</v>
      </c>
      <c r="Q9" s="416">
        <f>G9*M9*'[3]FR SO Table'!$D$2*F170</f>
        <v>1516.1612878859401</v>
      </c>
      <c r="R9" s="338" t="s">
        <v>810</v>
      </c>
      <c r="S9" s="775">
        <f>E9*VLOOKUP(R9,'[3]FR SO Table'!$A$37:$B$44,2,FALSE)</f>
        <v>2393.3340747857037</v>
      </c>
      <c r="T9" s="329">
        <f t="shared" si="4"/>
        <v>35713.733859422442</v>
      </c>
      <c r="V9" s="1009"/>
      <c r="W9" s="346"/>
    </row>
    <row r="10" spans="1:23" ht="14.4" x14ac:dyDescent="0.3">
      <c r="A10" s="1045"/>
      <c r="B10" s="1047"/>
      <c r="C10" s="329" t="s">
        <v>811</v>
      </c>
      <c r="D10" s="330">
        <v>82.8</v>
      </c>
      <c r="E10" s="331">
        <v>21.763181528658961</v>
      </c>
      <c r="F10" s="332">
        <v>3991.6851800554014</v>
      </c>
      <c r="G10" s="333">
        <f t="shared" si="0"/>
        <v>2.4439283019268907</v>
      </c>
      <c r="H10" s="334">
        <f t="shared" si="1"/>
        <v>0.26284035662631594</v>
      </c>
      <c r="I10" s="335">
        <v>2530.6025033324377</v>
      </c>
      <c r="J10" s="336">
        <f>I10*'[3]%Non-FF'!$AF$3/1000</f>
        <v>7.0856870093308879E-3</v>
      </c>
      <c r="K10" s="336">
        <f t="shared" si="2"/>
        <v>2.4368426149175599</v>
      </c>
      <c r="L10" s="336">
        <f>K10*'[3]FR SO Table'!$D$2</f>
        <v>2.1444215011274532</v>
      </c>
      <c r="M10" s="329">
        <v>15</v>
      </c>
      <c r="N10" s="336">
        <f t="shared" si="3"/>
        <v>36.5526392237634</v>
      </c>
      <c r="O10" s="336">
        <f>N10*'[3]FR SO Table'!$D$2</f>
        <v>32.166322516911798</v>
      </c>
      <c r="P10" s="415">
        <f>O10*F170</f>
        <v>2064.4345791353994</v>
      </c>
      <c r="Q10" s="416">
        <f>G10*M10*'[3]FR SO Table'!$D$2*F170</f>
        <v>2070.4374031132161</v>
      </c>
      <c r="R10" s="338" t="s">
        <v>810</v>
      </c>
      <c r="S10" s="775">
        <f>E10*VLOOKUP(R10,'[3]FR SO Table'!$A$37:$B$44,2,FALSE)</f>
        <v>3268.2857860663598</v>
      </c>
      <c r="T10" s="329">
        <f t="shared" si="4"/>
        <v>48676.916038938733</v>
      </c>
      <c r="V10" s="1009"/>
      <c r="W10" s="346"/>
    </row>
    <row r="11" spans="1:23" ht="14.4" x14ac:dyDescent="0.3">
      <c r="A11" s="1045"/>
      <c r="B11" s="1047"/>
      <c r="C11" s="329" t="s">
        <v>812</v>
      </c>
      <c r="D11" s="330">
        <v>82.8</v>
      </c>
      <c r="E11" s="331">
        <v>27.027530797958661</v>
      </c>
      <c r="F11" s="332">
        <v>3754.1466666666665</v>
      </c>
      <c r="G11" s="333">
        <f t="shared" si="0"/>
        <v>3.0350961030835109</v>
      </c>
      <c r="H11" s="334">
        <f t="shared" si="1"/>
        <v>0.32641945408162637</v>
      </c>
      <c r="I11" s="335">
        <v>3142.7361392975181</v>
      </c>
      <c r="J11" s="336">
        <f>I11*'[3]%Non-FF'!$AF$3/1000</f>
        <v>8.7996611900331267E-3</v>
      </c>
      <c r="K11" s="336">
        <f t="shared" si="2"/>
        <v>3.0262964418934777</v>
      </c>
      <c r="L11" s="336">
        <f>K11*'[3]FR SO Table'!$D$2</f>
        <v>2.6631408688662606</v>
      </c>
      <c r="M11" s="329">
        <v>15</v>
      </c>
      <c r="N11" s="336">
        <f t="shared" si="3"/>
        <v>45.394446628402164</v>
      </c>
      <c r="O11" s="336">
        <f>N11*'[3]FR SO Table'!$D$2</f>
        <v>39.947113032993911</v>
      </c>
      <c r="P11" s="415">
        <f>O11*F170</f>
        <v>2563.8057144575496</v>
      </c>
      <c r="Q11" s="416">
        <f>G11*M11*'[3]FR SO Table'!$D$2*F170</f>
        <v>2571.2605762258768</v>
      </c>
      <c r="R11" s="338" t="s">
        <v>810</v>
      </c>
      <c r="S11" s="775">
        <f>E11*VLOOKUP(R11,'[3]FR SO Table'!$A$37:$B$44,2,FALSE)</f>
        <v>4058.8594375834423</v>
      </c>
      <c r="T11" s="329">
        <f t="shared" si="4"/>
        <v>60347.142745721088</v>
      </c>
      <c r="V11" s="1009"/>
      <c r="W11" s="346"/>
    </row>
    <row r="12" spans="1:23" ht="14.4" x14ac:dyDescent="0.3">
      <c r="A12" s="1045"/>
      <c r="B12" s="1047"/>
      <c r="C12" s="329" t="s">
        <v>813</v>
      </c>
      <c r="D12" s="330">
        <v>82.8</v>
      </c>
      <c r="E12" s="331">
        <v>38.133210731920876</v>
      </c>
      <c r="F12" s="332">
        <v>4342.6274193548397</v>
      </c>
      <c r="G12" s="333">
        <f t="shared" si="0"/>
        <v>4.2822246751174484</v>
      </c>
      <c r="H12" s="334">
        <f t="shared" si="1"/>
        <v>0.46054602333237776</v>
      </c>
      <c r="I12" s="335">
        <v>4434.0942711535909</v>
      </c>
      <c r="J12" s="336">
        <f>I12*'[3]%Non-FF'!$AF$3/1000</f>
        <v>1.2415463959230164E-2</v>
      </c>
      <c r="K12" s="336">
        <f t="shared" si="2"/>
        <v>4.2698092111582184</v>
      </c>
      <c r="L12" s="336">
        <f>K12*'[3]FR SO Table'!$D$2</f>
        <v>3.7574321058192326</v>
      </c>
      <c r="M12" s="329">
        <v>15</v>
      </c>
      <c r="N12" s="336">
        <f t="shared" si="3"/>
        <v>64.047138167373276</v>
      </c>
      <c r="O12" s="336">
        <f>N12*'[3]FR SO Table'!$D$2</f>
        <v>56.361481587288488</v>
      </c>
      <c r="P12" s="415">
        <f>O12*F170</f>
        <v>3617.2798882721754</v>
      </c>
      <c r="Q12" s="416">
        <f>G12*M12*'[3]FR SO Table'!$D$2*F170</f>
        <v>3627.7979713673003</v>
      </c>
      <c r="R12" s="338" t="s">
        <v>810</v>
      </c>
      <c r="S12" s="775">
        <f>E12*VLOOKUP(R12,'[3]FR SO Table'!$A$37:$B$44,2,FALSE)</f>
        <v>5726.6549216662179</v>
      </c>
      <c r="T12" s="329">
        <f t="shared" si="4"/>
        <v>84833.337658189834</v>
      </c>
      <c r="V12" s="1009"/>
      <c r="W12" s="346"/>
    </row>
    <row r="13" spans="1:23" ht="14.4" x14ac:dyDescent="0.3">
      <c r="A13" s="1045"/>
      <c r="B13" s="1047"/>
      <c r="C13" s="329" t="s">
        <v>814</v>
      </c>
      <c r="D13" s="330">
        <v>82.8</v>
      </c>
      <c r="E13" s="331">
        <v>50.040847370884201</v>
      </c>
      <c r="F13" s="332">
        <v>5036.2559999999994</v>
      </c>
      <c r="G13" s="333">
        <f t="shared" si="0"/>
        <v>5.6194101483306236</v>
      </c>
      <c r="H13" s="334">
        <f t="shared" si="1"/>
        <v>0.60435806003483339</v>
      </c>
      <c r="I13" s="335">
        <v>5818.7031826609536</v>
      </c>
      <c r="J13" s="336">
        <f>I13*'[3]%Non-FF'!$AF$3/1000</f>
        <v>1.6292368911450816E-2</v>
      </c>
      <c r="K13" s="336">
        <f t="shared" si="2"/>
        <v>5.6031177794191729</v>
      </c>
      <c r="L13" s="336">
        <f>K13*'[3]FR SO Table'!$D$2</f>
        <v>4.9307436458888727</v>
      </c>
      <c r="M13" s="329">
        <v>15</v>
      </c>
      <c r="N13" s="336">
        <f t="shared" si="3"/>
        <v>84.046766691287587</v>
      </c>
      <c r="O13" s="336">
        <f>N13*'[3]FR SO Table'!$D$2</f>
        <v>73.961154688333082</v>
      </c>
      <c r="P13" s="415">
        <f>O13*F170</f>
        <v>4746.826907897218</v>
      </c>
      <c r="Q13" s="416">
        <f>G13*M13*'[3]FR SO Table'!$D$2*F170</f>
        <v>4760.6294118221449</v>
      </c>
      <c r="R13" s="338" t="s">
        <v>810</v>
      </c>
      <c r="S13" s="775">
        <f>E13*VLOOKUP(R13,'[3]FR SO Table'!$A$37:$B$44,2,FALSE)</f>
        <v>7514.8842539225352</v>
      </c>
      <c r="T13" s="329">
        <f t="shared" si="4"/>
        <v>110886.73480996165</v>
      </c>
      <c r="V13" s="1009"/>
      <c r="W13" s="346"/>
    </row>
    <row r="14" spans="1:23" ht="14.4" x14ac:dyDescent="0.3">
      <c r="A14" s="1045"/>
      <c r="B14" s="1047"/>
      <c r="C14" s="329" t="s">
        <v>815</v>
      </c>
      <c r="D14" s="330">
        <v>82.8</v>
      </c>
      <c r="E14" s="331">
        <v>35.367411397025968</v>
      </c>
      <c r="F14" s="332">
        <v>5481.4246666666677</v>
      </c>
      <c r="G14" s="333">
        <f t="shared" si="0"/>
        <v>3.9716351933774252</v>
      </c>
      <c r="H14" s="334">
        <f t="shared" si="1"/>
        <v>0.42714264972253585</v>
      </c>
      <c r="I14" s="335">
        <v>4112.4896973286013</v>
      </c>
      <c r="J14" s="336">
        <f>I14*'[3]%Non-FF'!$AF$3/1000</f>
        <v>1.1514971152520186E-2</v>
      </c>
      <c r="K14" s="336">
        <f t="shared" si="2"/>
        <v>3.960120222224905</v>
      </c>
      <c r="L14" s="336">
        <f>K14*'[3]FR SO Table'!$D$2</f>
        <v>3.4849057955579168</v>
      </c>
      <c r="M14" s="329">
        <v>15</v>
      </c>
      <c r="N14" s="336">
        <f t="shared" si="3"/>
        <v>59.401803333373579</v>
      </c>
      <c r="O14" s="336">
        <f>N14*'[3]FR SO Table'!$D$2</f>
        <v>52.273586933368755</v>
      </c>
      <c r="P14" s="415">
        <f>O14*F170</f>
        <v>3354.9188093836069</v>
      </c>
      <c r="Q14" s="416">
        <f>G14*M14*'[3]FR SO Table'!$D$2*F170</f>
        <v>3364.6740165847145</v>
      </c>
      <c r="R14" s="338" t="s">
        <v>810</v>
      </c>
      <c r="S14" s="775">
        <f>E14*VLOOKUP(R14,'[3]FR SO Table'!$A$37:$B$44,2,FALSE)</f>
        <v>5311.301006548375</v>
      </c>
      <c r="T14" s="329">
        <f t="shared" si="4"/>
        <v>78752.122930134283</v>
      </c>
      <c r="V14" s="1009"/>
      <c r="W14" s="346"/>
    </row>
    <row r="15" spans="1:23" ht="14.4" x14ac:dyDescent="0.3">
      <c r="A15" s="1045" t="s">
        <v>743</v>
      </c>
      <c r="B15" s="1047" t="s">
        <v>808</v>
      </c>
      <c r="C15" s="329" t="s">
        <v>809</v>
      </c>
      <c r="D15" s="330">
        <v>82.8</v>
      </c>
      <c r="E15" s="331">
        <v>16.775755126287429</v>
      </c>
      <c r="F15" s="332">
        <v>3494.932571428571</v>
      </c>
      <c r="G15" s="333">
        <f t="shared" si="0"/>
        <v>1.8838579591563649</v>
      </c>
      <c r="H15" s="334">
        <f t="shared" si="1"/>
        <v>0.20260573824018635</v>
      </c>
      <c r="I15" s="335">
        <v>1950.6692007310967</v>
      </c>
      <c r="J15" s="336">
        <f>I15*'[3]%Non-FF'!$AF$3/1000</f>
        <v>5.4618737620471189E-3</v>
      </c>
      <c r="K15" s="336">
        <f t="shared" si="2"/>
        <v>1.8783960853943178</v>
      </c>
      <c r="L15" s="336">
        <f>K15*'[3]FR SO Table'!$D$2</f>
        <v>1.6529885551469998</v>
      </c>
      <c r="M15" s="329">
        <v>15</v>
      </c>
      <c r="N15" s="336">
        <f t="shared" si="3"/>
        <v>28.175941280914767</v>
      </c>
      <c r="O15" s="336">
        <f>N15*'[3]FR SO Table'!$D$2</f>
        <v>24.794828327205</v>
      </c>
      <c r="P15" s="415">
        <f>O15*F170</f>
        <v>1591.332082040017</v>
      </c>
      <c r="Q15" s="416">
        <f>G15*M15*'[3]FR SO Table'!$D$2*F170</f>
        <v>1595.959250406253</v>
      </c>
      <c r="R15" s="338" t="s">
        <v>810</v>
      </c>
      <c r="S15" s="775">
        <f>E15*VLOOKUP(R15,'[3]FR SO Table'!$A$37:$B$44,2,FALSE)</f>
        <v>2519.2990260902147</v>
      </c>
      <c r="T15" s="329">
        <f t="shared" si="4"/>
        <v>37583.083992612927</v>
      </c>
      <c r="V15" s="1009"/>
      <c r="W15" s="346"/>
    </row>
    <row r="16" spans="1:23" ht="14.4" x14ac:dyDescent="0.3">
      <c r="A16" s="1045"/>
      <c r="B16" s="1047"/>
      <c r="C16" s="329" t="s">
        <v>811</v>
      </c>
      <c r="D16" s="330">
        <v>82.8</v>
      </c>
      <c r="E16" s="331">
        <v>22.908612135430484</v>
      </c>
      <c r="F16" s="332">
        <v>3991.6851800554014</v>
      </c>
      <c r="G16" s="333">
        <f t="shared" si="0"/>
        <v>2.5725561072914638</v>
      </c>
      <c r="H16" s="334">
        <f t="shared" si="1"/>
        <v>0.27667405960664837</v>
      </c>
      <c r="I16" s="335">
        <v>2663.7921087709869</v>
      </c>
      <c r="J16" s="336">
        <f>I16*'[3]%Non-FF'!$AF$3/1000</f>
        <v>7.4586179045588287E-3</v>
      </c>
      <c r="K16" s="336">
        <f t="shared" si="2"/>
        <v>2.565097489386905</v>
      </c>
      <c r="L16" s="336">
        <f>K16*'[3]FR SO Table'!$D$2</f>
        <v>2.2572857906604766</v>
      </c>
      <c r="M16" s="329">
        <v>15</v>
      </c>
      <c r="N16" s="336">
        <f t="shared" si="3"/>
        <v>38.476462340803572</v>
      </c>
      <c r="O16" s="336">
        <f>N16*'[3]FR SO Table'!$D$2</f>
        <v>33.859286859907151</v>
      </c>
      <c r="P16" s="415">
        <f>O16*F170</f>
        <v>2173.0890306688411</v>
      </c>
      <c r="Q16" s="416">
        <f>G16*M16*'[3]FR SO Table'!$D$2*F170</f>
        <v>2179.4077927507537</v>
      </c>
      <c r="R16" s="338" t="s">
        <v>810</v>
      </c>
      <c r="S16" s="775">
        <f>E16*VLOOKUP(R16,'[3]FR SO Table'!$A$37:$B$44,2,FALSE)</f>
        <v>3440.3008274382732</v>
      </c>
      <c r="T16" s="329">
        <f t="shared" si="4"/>
        <v>51219.614071345102</v>
      </c>
      <c r="U16" s="340"/>
      <c r="V16" s="1009"/>
      <c r="W16" s="346"/>
    </row>
    <row r="17" spans="1:23" ht="14.4" x14ac:dyDescent="0.3">
      <c r="A17" s="1045"/>
      <c r="B17" s="1047"/>
      <c r="C17" s="329" t="s">
        <v>812</v>
      </c>
      <c r="D17" s="330">
        <v>82.8</v>
      </c>
      <c r="E17" s="331">
        <v>28.450032418903852</v>
      </c>
      <c r="F17" s="332">
        <v>3754.1466666666665</v>
      </c>
      <c r="G17" s="333">
        <f t="shared" si="0"/>
        <v>3.1948380032458008</v>
      </c>
      <c r="H17" s="334">
        <f t="shared" si="1"/>
        <v>0.34359942534908033</v>
      </c>
      <c r="I17" s="335">
        <v>3308.1433045237036</v>
      </c>
      <c r="J17" s="336">
        <f>I17*'[3]%Non-FF'!$AF$3/1000</f>
        <v>9.2628012526664513E-3</v>
      </c>
      <c r="K17" s="336">
        <f t="shared" si="2"/>
        <v>3.1855752019931343</v>
      </c>
      <c r="L17" s="336">
        <f>K17*'[3]FR SO Table'!$D$2</f>
        <v>2.8033061777539587</v>
      </c>
      <c r="M17" s="329">
        <v>15</v>
      </c>
      <c r="N17" s="336">
        <f t="shared" si="3"/>
        <v>47.783628029897017</v>
      </c>
      <c r="O17" s="336">
        <f>N17*'[3]FR SO Table'!$D$2</f>
        <v>42.04959266630938</v>
      </c>
      <c r="P17" s="415">
        <f>O17*F170</f>
        <v>2698.7428573237362</v>
      </c>
      <c r="Q17" s="416">
        <f>G17*M17*'[3]FR SO Table'!$D$2*F170</f>
        <v>2706.5900802377651</v>
      </c>
      <c r="R17" s="338" t="s">
        <v>810</v>
      </c>
      <c r="S17" s="775">
        <f>E17*VLOOKUP(R17,'[3]FR SO Table'!$A$37:$B$44,2,FALSE)</f>
        <v>4272.4836185088861</v>
      </c>
      <c r="T17" s="329">
        <f t="shared" si="4"/>
        <v>63493.62677843048</v>
      </c>
      <c r="U17" s="340"/>
      <c r="V17" s="1009"/>
      <c r="W17" s="346"/>
    </row>
    <row r="18" spans="1:23" ht="14.4" x14ac:dyDescent="0.3">
      <c r="A18" s="1045"/>
      <c r="B18" s="1047"/>
      <c r="C18" s="329" t="s">
        <v>813</v>
      </c>
      <c r="D18" s="330">
        <v>82.8</v>
      </c>
      <c r="E18" s="331">
        <v>40.140221823074612</v>
      </c>
      <c r="F18" s="332">
        <v>4342.6274193548397</v>
      </c>
      <c r="G18" s="333">
        <f t="shared" si="0"/>
        <v>4.5076049211762621</v>
      </c>
      <c r="H18" s="334">
        <f t="shared" si="1"/>
        <v>0.48478528771829243</v>
      </c>
      <c r="I18" s="335">
        <v>4667.4676538458862</v>
      </c>
      <c r="J18" s="336">
        <f>I18*'[3]%Non-FF'!$AF$3/1000</f>
        <v>1.3068909430768598E-2</v>
      </c>
      <c r="K18" s="336">
        <f t="shared" si="2"/>
        <v>4.4945360117454936</v>
      </c>
      <c r="L18" s="336">
        <f>K18*'[3]FR SO Table'!$D$2</f>
        <v>3.9551916903360347</v>
      </c>
      <c r="M18" s="329">
        <v>15</v>
      </c>
      <c r="N18" s="336">
        <f t="shared" si="3"/>
        <v>67.418040176182402</v>
      </c>
      <c r="O18" s="336">
        <f>N18*'[3]FR SO Table'!$D$2</f>
        <v>59.327875355040518</v>
      </c>
      <c r="P18" s="415">
        <f>O18*F170</f>
        <v>3807.6630402865007</v>
      </c>
      <c r="Q18" s="416">
        <f>G18*M18*'[3]FR SO Table'!$D$2*F170</f>
        <v>3818.7347067024216</v>
      </c>
      <c r="R18" s="338" t="s">
        <v>810</v>
      </c>
      <c r="S18" s="775">
        <f>E18*VLOOKUP(R18,'[3]FR SO Table'!$A$37:$B$44,2,FALSE)</f>
        <v>6028.0578122802299</v>
      </c>
      <c r="T18" s="329">
        <f t="shared" si="4"/>
        <v>89239.165060321553</v>
      </c>
      <c r="U18" s="340"/>
      <c r="V18" s="1009"/>
      <c r="W18" s="346"/>
    </row>
    <row r="19" spans="1:23" ht="14.4" x14ac:dyDescent="0.3">
      <c r="A19" s="1045"/>
      <c r="B19" s="1047"/>
      <c r="C19" s="329" t="s">
        <v>814</v>
      </c>
      <c r="D19" s="330">
        <v>82.8</v>
      </c>
      <c r="E19" s="331">
        <v>52.674576179878109</v>
      </c>
      <c r="F19" s="332">
        <v>5036.2559999999994</v>
      </c>
      <c r="G19" s="333">
        <f t="shared" si="0"/>
        <v>5.9151685771901308</v>
      </c>
      <c r="H19" s="334">
        <f t="shared" si="1"/>
        <v>0.63616637898403516</v>
      </c>
      <c r="I19" s="335">
        <v>6124.9507185904777</v>
      </c>
      <c r="J19" s="336">
        <f>I19*'[3]%Non-FF'!$AF$3/1000</f>
        <v>1.7149862012053489E-2</v>
      </c>
      <c r="K19" s="336">
        <f t="shared" si="2"/>
        <v>5.8980187151780772</v>
      </c>
      <c r="L19" s="336">
        <f>K19*'[3]FR SO Table'!$D$2</f>
        <v>5.1902564693567088</v>
      </c>
      <c r="M19" s="329">
        <v>15</v>
      </c>
      <c r="N19" s="336">
        <f t="shared" si="3"/>
        <v>88.470280727671152</v>
      </c>
      <c r="O19" s="336">
        <f>N19*'[3]FR SO Table'!$D$2</f>
        <v>77.85384704035063</v>
      </c>
      <c r="P19" s="415">
        <f>O19*F170</f>
        <v>4996.6599030497036</v>
      </c>
      <c r="Q19" s="416">
        <f>G19*M19*'[3]FR SO Table'!$D$2*F170</f>
        <v>5011.1888545496267</v>
      </c>
      <c r="R19" s="338" t="s">
        <v>810</v>
      </c>
      <c r="S19" s="775">
        <f>E19*VLOOKUP(R19,'[3]FR SO Table'!$A$37:$B$44,2,FALSE)</f>
        <v>7910.4044778131956</v>
      </c>
      <c r="T19" s="329">
        <f t="shared" si="4"/>
        <v>116621.13198838754</v>
      </c>
      <c r="U19" s="340"/>
      <c r="V19" s="1009"/>
      <c r="W19" s="346"/>
    </row>
    <row r="20" spans="1:23" ht="14.4" x14ac:dyDescent="0.3">
      <c r="A20" s="1045"/>
      <c r="B20" s="1047"/>
      <c r="C20" s="329" t="s">
        <v>815</v>
      </c>
      <c r="D20" s="330">
        <v>82.8</v>
      </c>
      <c r="E20" s="331">
        <v>37.228854102132594</v>
      </c>
      <c r="F20" s="332">
        <v>5481.4246666666677</v>
      </c>
      <c r="G20" s="333">
        <f t="shared" si="0"/>
        <v>4.1806686246078151</v>
      </c>
      <c r="H20" s="334">
        <f t="shared" si="1"/>
        <v>0.44962384181319559</v>
      </c>
      <c r="I20" s="335">
        <v>4328.9365235037903</v>
      </c>
      <c r="J20" s="336">
        <f>I20*'[3]%Non-FF'!$AF$3/1000</f>
        <v>1.2121022265810719E-2</v>
      </c>
      <c r="K20" s="336">
        <f t="shared" si="2"/>
        <v>4.1685476023420041</v>
      </c>
      <c r="L20" s="336">
        <f>K20*'[3]FR SO Table'!$D$2</f>
        <v>3.6683218900609642</v>
      </c>
      <c r="M20" s="329">
        <v>15</v>
      </c>
      <c r="N20" s="336">
        <f t="shared" si="3"/>
        <v>62.528214035130063</v>
      </c>
      <c r="O20" s="336">
        <f>N20*'[3]FR SO Table'!$D$2</f>
        <v>55.024828350914461</v>
      </c>
      <c r="P20" s="415">
        <f>O20*F170</f>
        <v>3531.4934835616905</v>
      </c>
      <c r="Q20" s="416">
        <f>G20*M20*'[3]FR SO Table'!$D$2*F170</f>
        <v>3541.762122720751</v>
      </c>
      <c r="R20" s="338" t="s">
        <v>810</v>
      </c>
      <c r="S20" s="775">
        <f>E20*VLOOKUP(R20,'[3]FR SO Table'!$A$37:$B$44,2,FALSE)</f>
        <v>5590.8431647877624</v>
      </c>
      <c r="T20" s="329">
        <f t="shared" si="4"/>
        <v>82846.146454540722</v>
      </c>
      <c r="V20" s="1009"/>
      <c r="W20" s="346"/>
    </row>
    <row r="21" spans="1:23" ht="14.4" x14ac:dyDescent="0.3">
      <c r="A21" s="1045" t="s">
        <v>744</v>
      </c>
      <c r="B21" s="1047" t="s">
        <v>808</v>
      </c>
      <c r="C21" s="329" t="s">
        <v>809</v>
      </c>
      <c r="D21" s="330">
        <v>82.8</v>
      </c>
      <c r="E21" s="331">
        <v>19.675268357991424</v>
      </c>
      <c r="F21" s="332">
        <v>3494.932571428571</v>
      </c>
      <c r="G21" s="333">
        <f t="shared" si="0"/>
        <v>2.209463038516724</v>
      </c>
      <c r="H21" s="334">
        <f t="shared" si="1"/>
        <v>0.23762401398540367</v>
      </c>
      <c r="I21" s="335">
        <v>2287.8219020920264</v>
      </c>
      <c r="J21" s="336">
        <f>I21*'[3]%Non-FF'!$AF$3/1000</f>
        <v>6.40590132585773E-3</v>
      </c>
      <c r="K21" s="336">
        <f t="shared" si="2"/>
        <v>2.203057137190866</v>
      </c>
      <c r="L21" s="336">
        <f>K21*'[3]FR SO Table'!$D$2</f>
        <v>1.9386902807279625</v>
      </c>
      <c r="M21" s="329">
        <v>15</v>
      </c>
      <c r="N21" s="336">
        <f t="shared" si="3"/>
        <v>33.045857057862989</v>
      </c>
      <c r="O21" s="336">
        <f>N21*'[3]FR SO Table'!$D$2</f>
        <v>29.080354210919435</v>
      </c>
      <c r="P21" s="415">
        <f>O21*F170</f>
        <v>1866.3771332568094</v>
      </c>
      <c r="Q21" s="416">
        <f>G21*M21*'[3]FR SO Table'!$D$2*F170</f>
        <v>1871.8040591184447</v>
      </c>
      <c r="R21" s="338" t="s">
        <v>810</v>
      </c>
      <c r="S21" s="775">
        <f>E21*VLOOKUP(R21,'[3]FR SO Table'!$A$37:$B$44,2,FALSE)</f>
        <v>2954.7334256613622</v>
      </c>
      <c r="T21" s="329">
        <f t="shared" si="4"/>
        <v>44037.085423385426</v>
      </c>
      <c r="V21" s="1009"/>
      <c r="W21" s="346"/>
    </row>
    <row r="22" spans="1:23" ht="14.4" x14ac:dyDescent="0.3">
      <c r="A22" s="1045"/>
      <c r="B22" s="1047"/>
      <c r="C22" s="329" t="s">
        <v>811</v>
      </c>
      <c r="D22" s="330">
        <v>82.8</v>
      </c>
      <c r="E22" s="331">
        <v>26.868125344023408</v>
      </c>
      <c r="F22" s="332">
        <v>3991.6851800554014</v>
      </c>
      <c r="G22" s="333">
        <f t="shared" si="0"/>
        <v>3.0171954344776428</v>
      </c>
      <c r="H22" s="334">
        <f t="shared" si="1"/>
        <v>0.32449426743989623</v>
      </c>
      <c r="I22" s="335">
        <v>3124.2006213980708</v>
      </c>
      <c r="J22" s="336">
        <f>I22*'[3]%Non-FF'!$AF$3/1000</f>
        <v>8.7477617399146761E-3</v>
      </c>
      <c r="K22" s="336">
        <f t="shared" si="2"/>
        <v>3.0084476727377281</v>
      </c>
      <c r="L22" s="336">
        <f>K22*'[3]FR SO Table'!$D$2</f>
        <v>2.6474339520092012</v>
      </c>
      <c r="M22" s="329">
        <v>15</v>
      </c>
      <c r="N22" s="336">
        <f t="shared" si="3"/>
        <v>45.126715091065918</v>
      </c>
      <c r="O22" s="336">
        <f>N22*'[3]FR SO Table'!$D$2</f>
        <v>39.71150928013801</v>
      </c>
      <c r="P22" s="415">
        <f>O22*F170</f>
        <v>2548.6846655992576</v>
      </c>
      <c r="Q22" s="416">
        <f>G22*M22*'[3]FR SO Table'!$D$2*F170</f>
        <v>2556.095559399032</v>
      </c>
      <c r="R22" s="338" t="s">
        <v>810</v>
      </c>
      <c r="S22" s="775">
        <f>E22*VLOOKUP(R22,'[3]FR SO Table'!$A$37:$B$44,2,FALSE)</f>
        <v>4034.9207235387157</v>
      </c>
      <c r="T22" s="329">
        <f t="shared" si="4"/>
        <v>59994.362976146323</v>
      </c>
      <c r="V22" s="1009"/>
      <c r="W22" s="346"/>
    </row>
    <row r="23" spans="1:23" ht="14.4" x14ac:dyDescent="0.3">
      <c r="A23" s="1045"/>
      <c r="B23" s="1047"/>
      <c r="C23" s="329" t="s">
        <v>812</v>
      </c>
      <c r="D23" s="330">
        <v>82.8</v>
      </c>
      <c r="E23" s="331">
        <v>33.367321972788467</v>
      </c>
      <c r="F23" s="332">
        <v>3754.1466666666665</v>
      </c>
      <c r="G23" s="333">
        <f t="shared" si="0"/>
        <v>3.7470322260290252</v>
      </c>
      <c r="H23" s="334">
        <f t="shared" si="1"/>
        <v>0.40298698034768682</v>
      </c>
      <c r="I23" s="335">
        <v>3879.9211596265654</v>
      </c>
      <c r="J23" s="336">
        <f>I23*'[3]%Non-FF'!$AF$3/1000</f>
        <v>1.086377924695448E-2</v>
      </c>
      <c r="K23" s="336">
        <f t="shared" si="2"/>
        <v>3.7361684467820706</v>
      </c>
      <c r="L23" s="336">
        <f>K23*'[3]FR SO Table'!$D$2</f>
        <v>3.2878282331682227</v>
      </c>
      <c r="M23" s="329">
        <v>15</v>
      </c>
      <c r="N23" s="336">
        <f t="shared" si="3"/>
        <v>56.042526701731056</v>
      </c>
      <c r="O23" s="336">
        <f>N23*'[3]FR SO Table'!$D$2</f>
        <v>49.317423497523336</v>
      </c>
      <c r="P23" s="415">
        <f>O23*F170</f>
        <v>3165.1922400710482</v>
      </c>
      <c r="Q23" s="416">
        <f>G23*M23*'[3]FR SO Table'!$D$2*F170</f>
        <v>3174.3957731183659</v>
      </c>
      <c r="R23" s="338" t="s">
        <v>810</v>
      </c>
      <c r="S23" s="775">
        <f>E23*VLOOKUP(R23,'[3]FR SO Table'!$A$37:$B$44,2,FALSE)</f>
        <v>5010.9375772635085</v>
      </c>
      <c r="T23" s="329">
        <f t="shared" si="4"/>
        <v>74347.497864057732</v>
      </c>
      <c r="V23" s="1009"/>
      <c r="W23" s="346"/>
    </row>
    <row r="24" spans="1:23" ht="14.4" x14ac:dyDescent="0.3">
      <c r="A24" s="1045"/>
      <c r="B24" s="1047"/>
      <c r="C24" s="329" t="s">
        <v>813</v>
      </c>
      <c r="D24" s="330">
        <v>82.8</v>
      </c>
      <c r="E24" s="331">
        <v>47.078037940643057</v>
      </c>
      <c r="F24" s="332">
        <v>4342.6274193548397</v>
      </c>
      <c r="G24" s="333">
        <f t="shared" si="0"/>
        <v>5.2866971297746277</v>
      </c>
      <c r="H24" s="334">
        <f t="shared" si="1"/>
        <v>0.56857533744737998</v>
      </c>
      <c r="I24" s="335">
        <v>5474.1904582143097</v>
      </c>
      <c r="J24" s="336">
        <f>I24*'[3]%Non-FF'!$AF$3/1000</f>
        <v>1.5327733283000203E-2</v>
      </c>
      <c r="K24" s="336">
        <f t="shared" si="2"/>
        <v>5.2713693964916271</v>
      </c>
      <c r="L24" s="336">
        <f>K24*'[3]FR SO Table'!$D$2</f>
        <v>4.6388050689126326</v>
      </c>
      <c r="M24" s="329">
        <v>15</v>
      </c>
      <c r="N24" s="336">
        <f t="shared" si="3"/>
        <v>79.070540947374411</v>
      </c>
      <c r="O24" s="336">
        <f>N24*'[3]FR SO Table'!$D$2</f>
        <v>69.582076033689489</v>
      </c>
      <c r="P24" s="415">
        <f>O24*F170</f>
        <v>4465.777639842192</v>
      </c>
      <c r="Q24" s="416">
        <f>G24*M24*'[3]FR SO Table'!$D$2*F170</f>
        <v>4478.7629276139514</v>
      </c>
      <c r="R24" s="338" t="s">
        <v>810</v>
      </c>
      <c r="S24" s="775">
        <f>E24*VLOOKUP(R24,'[3]FR SO Table'!$A$37:$B$44,2,FALSE)</f>
        <v>7069.9443477360719</v>
      </c>
      <c r="T24" s="329">
        <f t="shared" si="4"/>
        <v>104423.67189672477</v>
      </c>
      <c r="V24" s="1009"/>
      <c r="W24" s="346"/>
    </row>
    <row r="25" spans="1:23" ht="14.4" x14ac:dyDescent="0.3">
      <c r="A25" s="1045"/>
      <c r="B25" s="1047"/>
      <c r="C25" s="329" t="s">
        <v>814</v>
      </c>
      <c r="D25" s="330">
        <v>82.8</v>
      </c>
      <c r="E25" s="331">
        <v>61.778823914671847</v>
      </c>
      <c r="F25" s="332">
        <v>5036.2559999999994</v>
      </c>
      <c r="G25" s="333">
        <f t="shared" si="0"/>
        <v>6.9375433930007695</v>
      </c>
      <c r="H25" s="334">
        <f t="shared" si="1"/>
        <v>0.74612106177139914</v>
      </c>
      <c r="I25" s="335">
        <v>7183.5841761246338</v>
      </c>
      <c r="J25" s="336">
        <f>I25*'[3]%Non-FF'!$AF$3/1000</f>
        <v>2.0114035693149152E-2</v>
      </c>
      <c r="K25" s="336">
        <f t="shared" si="2"/>
        <v>6.9174293573076202</v>
      </c>
      <c r="L25" s="336">
        <f>K25*'[3]FR SO Table'!$D$2</f>
        <v>6.0873378344307065</v>
      </c>
      <c r="M25" s="329">
        <v>15</v>
      </c>
      <c r="N25" s="336">
        <f t="shared" si="3"/>
        <v>103.7614403596143</v>
      </c>
      <c r="O25" s="336">
        <f>N25*'[3]FR SO Table'!$D$2</f>
        <v>91.310067516460592</v>
      </c>
      <c r="P25" s="415">
        <f>O25*F170</f>
        <v>5860.280133206441</v>
      </c>
      <c r="Q25" s="416">
        <f>G25*M25*'[3]FR SO Table'!$D$2*F170</f>
        <v>5877.3202615088212</v>
      </c>
      <c r="R25" s="338" t="s">
        <v>810</v>
      </c>
      <c r="S25" s="775">
        <f>E25*VLOOKUP(R25,'[3]FR SO Table'!$A$37:$B$44,2,FALSE)</f>
        <v>9277.6348813858458</v>
      </c>
      <c r="T25" s="329">
        <f t="shared" si="4"/>
        <v>136365.36303350469</v>
      </c>
      <c r="V25" s="1009"/>
      <c r="W25" s="346"/>
    </row>
    <row r="26" spans="1:23" ht="14.4" x14ac:dyDescent="0.3">
      <c r="A26" s="1045"/>
      <c r="B26" s="1047"/>
      <c r="C26" s="329" t="s">
        <v>815</v>
      </c>
      <c r="D26" s="330">
        <v>82.8</v>
      </c>
      <c r="E26" s="331">
        <v>43.663470860525884</v>
      </c>
      <c r="F26" s="332">
        <v>5481.4246666666677</v>
      </c>
      <c r="G26" s="333">
        <f t="shared" si="0"/>
        <v>4.9032533251573147</v>
      </c>
      <c r="H26" s="334">
        <f t="shared" si="1"/>
        <v>0.52733660459572329</v>
      </c>
      <c r="I26" s="335">
        <v>5077.1477744797539</v>
      </c>
      <c r="J26" s="336">
        <f>I26*'[3]%Non-FF'!$AF$3/1000</f>
        <v>1.4216013768543437E-2</v>
      </c>
      <c r="K26" s="336">
        <f t="shared" si="2"/>
        <v>4.8890373113887708</v>
      </c>
      <c r="L26" s="336">
        <f>K26*'[3]FR SO Table'!$D$2</f>
        <v>4.3023528340221189</v>
      </c>
      <c r="M26" s="329">
        <v>15</v>
      </c>
      <c r="N26" s="336">
        <f t="shared" si="3"/>
        <v>73.335559670831557</v>
      </c>
      <c r="O26" s="336">
        <f>N26*'[3]FR SO Table'!$D$2</f>
        <v>64.535292510331786</v>
      </c>
      <c r="P26" s="415">
        <f>O26*F170</f>
        <v>4141.8750733130946</v>
      </c>
      <c r="Q26" s="416">
        <f>G26*M26*'[3]FR SO Table'!$D$2*F170</f>
        <v>4153.9185389934746</v>
      </c>
      <c r="R26" s="338" t="s">
        <v>810</v>
      </c>
      <c r="S26" s="775">
        <f>E26*VLOOKUP(R26,'[3]FR SO Table'!$A$37:$B$44,2,FALSE)</f>
        <v>6557.1617364794747</v>
      </c>
      <c r="T26" s="329">
        <f t="shared" si="4"/>
        <v>96959.175524266742</v>
      </c>
      <c r="V26" s="1009"/>
      <c r="W26" s="346"/>
    </row>
    <row r="27" spans="1:23" ht="12.6" customHeight="1" x14ac:dyDescent="0.3">
      <c r="A27" s="1045" t="s">
        <v>745</v>
      </c>
      <c r="B27" s="1047" t="s">
        <v>808</v>
      </c>
      <c r="C27" s="329" t="s">
        <v>816</v>
      </c>
      <c r="D27" s="330">
        <v>82.8</v>
      </c>
      <c r="E27" s="331">
        <v>13.14452911254762</v>
      </c>
      <c r="F27" s="332">
        <v>2759.8</v>
      </c>
      <c r="G27" s="333">
        <f t="shared" si="0"/>
        <v>1.4760841226892332</v>
      </c>
      <c r="H27" s="334">
        <f t="shared" si="1"/>
        <v>0.15875035160081666</v>
      </c>
      <c r="I27" s="335">
        <v>1493.7708695646511</v>
      </c>
      <c r="J27" s="336">
        <f>I27*'[3]%Non-FF'!$AF$3/1000</f>
        <v>4.1825584347810604E-3</v>
      </c>
      <c r="K27" s="336">
        <f t="shared" si="2"/>
        <v>1.4719015642544522</v>
      </c>
      <c r="L27" s="336">
        <f>K27*'[3]FR SO Table'!$D$3</f>
        <v>1.2952733765439182</v>
      </c>
      <c r="M27" s="329">
        <v>15</v>
      </c>
      <c r="N27" s="336">
        <f t="shared" si="3"/>
        <v>22.078523463816783</v>
      </c>
      <c r="O27" s="336">
        <f>N27*'[3]FR SO Table'!$D$3</f>
        <v>19.429100648158773</v>
      </c>
      <c r="P27" s="415">
        <f t="shared" ref="P27:P58" si="5">O27*F170</f>
        <v>1246.9596795988302</v>
      </c>
      <c r="Q27" s="417">
        <f>G27*M27*'[3]FR SO Table'!$D$3*$F$170</f>
        <v>1250.5030427233742</v>
      </c>
      <c r="R27" s="338" t="s">
        <v>810</v>
      </c>
      <c r="S27" s="775">
        <f>E27*VLOOKUP(R27,'[3]FR SO Table'!$A$37:$B$44,2,FALSE)</f>
        <v>1973.9796594768388</v>
      </c>
      <c r="T27" s="329">
        <f t="shared" si="4"/>
        <v>29485.850613030118</v>
      </c>
      <c r="V27" s="1009"/>
      <c r="W27" s="346"/>
    </row>
    <row r="28" spans="1:23" ht="12.6" customHeight="1" x14ac:dyDescent="0.3">
      <c r="A28" s="1045"/>
      <c r="B28" s="1047"/>
      <c r="C28" s="329" t="s">
        <v>817</v>
      </c>
      <c r="D28" s="330">
        <v>82.8</v>
      </c>
      <c r="E28" s="331">
        <v>15.641342489912143</v>
      </c>
      <c r="F28" s="332">
        <v>2763.7148469387757</v>
      </c>
      <c r="G28" s="333">
        <f t="shared" si="0"/>
        <v>1.7564674328929977</v>
      </c>
      <c r="H28" s="334">
        <f t="shared" si="1"/>
        <v>0.18890510253517082</v>
      </c>
      <c r="I28" s="335">
        <v>1805.8610380299601</v>
      </c>
      <c r="J28" s="336">
        <f>I28*'[3]%Non-FF'!$AF$3/1000</f>
        <v>5.056410906483933E-3</v>
      </c>
      <c r="K28" s="336">
        <f t="shared" si="2"/>
        <v>1.7514110219865138</v>
      </c>
      <c r="L28" s="336">
        <f>K28*'[3]FR SO Table'!$D$3</f>
        <v>1.5412416993481324</v>
      </c>
      <c r="M28" s="329">
        <v>15</v>
      </c>
      <c r="N28" s="336">
        <f t="shared" si="3"/>
        <v>26.271165329797707</v>
      </c>
      <c r="O28" s="336">
        <f>N28*'[3]FR SO Table'!$D$3</f>
        <v>23.118625490221984</v>
      </c>
      <c r="P28" s="415">
        <f t="shared" si="5"/>
        <v>0</v>
      </c>
      <c r="Q28" s="417">
        <f>G28*M28*'[3]FR SO Table'!$D$3*$F$170</f>
        <v>1488.0370539285586</v>
      </c>
      <c r="R28" s="338" t="s">
        <v>810</v>
      </c>
      <c r="S28" s="775">
        <f>E28*VLOOKUP(R28,'[3]FR SO Table'!$A$37:$B$44,2,FALSE)</f>
        <v>2348.9386084225562</v>
      </c>
      <c r="T28" s="329">
        <f t="shared" si="4"/>
        <v>35055.921144364009</v>
      </c>
      <c r="V28" s="1009"/>
      <c r="W28" s="346"/>
    </row>
    <row r="29" spans="1:23" ht="12.6" customHeight="1" x14ac:dyDescent="0.3">
      <c r="A29" s="1045"/>
      <c r="B29" s="1047"/>
      <c r="C29" s="329" t="s">
        <v>818</v>
      </c>
      <c r="D29" s="330">
        <v>82.8</v>
      </c>
      <c r="E29" s="331">
        <v>17.513250237266281</v>
      </c>
      <c r="F29" s="332">
        <v>2761.0533464566915</v>
      </c>
      <c r="G29" s="333">
        <f t="shared" si="0"/>
        <v>1.9666760513493859</v>
      </c>
      <c r="H29" s="334">
        <f t="shared" si="1"/>
        <v>0.2115126840249551</v>
      </c>
      <c r="I29" s="335">
        <v>2051.2822665679651</v>
      </c>
      <c r="J29" s="336">
        <f>I29*'[3]%Non-FF'!$AF$3/1000</f>
        <v>5.7435903463903528E-3</v>
      </c>
      <c r="K29" s="336">
        <f t="shared" si="2"/>
        <v>1.9609324610029957</v>
      </c>
      <c r="L29" s="336">
        <f>K29*'[3]FR SO Table'!$D$3</f>
        <v>1.7256205656826364</v>
      </c>
      <c r="M29" s="329">
        <v>15</v>
      </c>
      <c r="N29" s="336">
        <f t="shared" si="3"/>
        <v>29.413986915044934</v>
      </c>
      <c r="O29" s="336">
        <f>N29*'[3]FR SO Table'!$D$3</f>
        <v>25.884308485239544</v>
      </c>
      <c r="P29" s="415">
        <f t="shared" si="5"/>
        <v>0</v>
      </c>
      <c r="Q29" s="417">
        <f>G29*M29*'[3]FR SO Table'!$D$3*$F$170</f>
        <v>1666.1207504779679</v>
      </c>
      <c r="R29" s="338" t="s">
        <v>810</v>
      </c>
      <c r="S29" s="775">
        <f>E29*VLOOKUP(R29,'[3]FR SO Table'!$A$37:$B$44,2,FALSE)</f>
        <v>2630.0523543814638</v>
      </c>
      <c r="T29" s="329">
        <f t="shared" si="4"/>
        <v>39224.19616602506</v>
      </c>
      <c r="V29" s="1009"/>
      <c r="W29" s="346"/>
    </row>
    <row r="30" spans="1:23" ht="12.6" customHeight="1" x14ac:dyDescent="0.3">
      <c r="A30" s="1045"/>
      <c r="B30" s="1047"/>
      <c r="C30" s="329" t="s">
        <v>819</v>
      </c>
      <c r="D30" s="330">
        <v>82.8</v>
      </c>
      <c r="E30" s="331">
        <v>24.962169729268918</v>
      </c>
      <c r="F30" s="332">
        <v>2894.4784401114207</v>
      </c>
      <c r="G30" s="333">
        <f t="shared" si="0"/>
        <v>2.8031633609510296</v>
      </c>
      <c r="H30" s="334">
        <f t="shared" si="1"/>
        <v>0.30147547982208839</v>
      </c>
      <c r="I30" s="335">
        <v>2891.6948715985559</v>
      </c>
      <c r="J30" s="336">
        <f>I30*'[3]%Non-FF'!$AF$3/1000</f>
        <v>8.0967456404760288E-3</v>
      </c>
      <c r="K30" s="336">
        <f t="shared" si="2"/>
        <v>2.7950666153105534</v>
      </c>
      <c r="L30" s="336">
        <f>K30*'[3]FR SO Table'!$D$3</f>
        <v>2.4596586214732872</v>
      </c>
      <c r="M30" s="329">
        <v>15</v>
      </c>
      <c r="N30" s="336">
        <f t="shared" si="3"/>
        <v>41.925999229658302</v>
      </c>
      <c r="O30" s="336">
        <f>N30*'[3]FR SO Table'!$D$3</f>
        <v>36.894879322099314</v>
      </c>
      <c r="P30" s="415">
        <f t="shared" si="5"/>
        <v>0</v>
      </c>
      <c r="Q30" s="417">
        <f>G30*M30*'[3]FR SO Table'!$D$3*$F$170</f>
        <v>2374.77272347705</v>
      </c>
      <c r="R30" s="338" t="s">
        <v>810</v>
      </c>
      <c r="S30" s="775">
        <f>E30*VLOOKUP(R30,'[3]FR SO Table'!$A$37:$B$44,2,FALSE)</f>
        <v>3748.6938390929599</v>
      </c>
      <c r="T30" s="329">
        <f t="shared" si="4"/>
        <v>55775.124278907075</v>
      </c>
      <c r="U30" s="344"/>
      <c r="V30" s="1009"/>
      <c r="W30" s="346"/>
    </row>
    <row r="31" spans="1:23" ht="12.6" customHeight="1" x14ac:dyDescent="0.3">
      <c r="A31" s="1045"/>
      <c r="B31" s="1047"/>
      <c r="C31" s="329" t="s">
        <v>820</v>
      </c>
      <c r="D31" s="330">
        <v>82.8</v>
      </c>
      <c r="E31" s="331">
        <v>25.462229174684445</v>
      </c>
      <c r="F31" s="332">
        <v>3132.3553684210528</v>
      </c>
      <c r="G31" s="333">
        <f t="shared" si="0"/>
        <v>2.859318267791628</v>
      </c>
      <c r="H31" s="334">
        <f t="shared" si="1"/>
        <v>0.30751484510488464</v>
      </c>
      <c r="I31" s="335">
        <v>2990.7585260660549</v>
      </c>
      <c r="J31" s="336">
        <f>I31*'[3]%Non-FF'!$AF$3/1000</f>
        <v>8.374123872985027E-3</v>
      </c>
      <c r="K31" s="336">
        <f t="shared" si="2"/>
        <v>2.8509441439186429</v>
      </c>
      <c r="L31" s="336">
        <f>K31*'[3]FR SO Table'!$D$3</f>
        <v>2.5088308466484062</v>
      </c>
      <c r="M31" s="329">
        <v>15</v>
      </c>
      <c r="N31" s="336">
        <f t="shared" si="3"/>
        <v>42.764162158779641</v>
      </c>
      <c r="O31" s="336">
        <f>N31*'[3]FR SO Table'!$D$3</f>
        <v>37.632462699726091</v>
      </c>
      <c r="P31" s="415">
        <f t="shared" si="5"/>
        <v>0</v>
      </c>
      <c r="Q31" s="417">
        <f>G31*M31*'[3]FR SO Table'!$D$3*$F$170</f>
        <v>2422.3458128346406</v>
      </c>
      <c r="R31" s="338" t="s">
        <v>810</v>
      </c>
      <c r="S31" s="775">
        <f>E31*VLOOKUP(R31,'[3]FR SO Table'!$A$37:$B$44,2,FALSE)</f>
        <v>3823.7902663082368</v>
      </c>
      <c r="T31" s="329">
        <f t="shared" si="4"/>
        <v>56876.540594307866</v>
      </c>
      <c r="U31" s="340"/>
      <c r="V31" s="1009"/>
      <c r="W31" s="346"/>
    </row>
    <row r="32" spans="1:23" ht="12.6" customHeight="1" x14ac:dyDescent="0.3">
      <c r="A32" s="1045"/>
      <c r="B32" s="1047"/>
      <c r="C32" s="329" t="s">
        <v>821</v>
      </c>
      <c r="D32" s="330">
        <v>82.8</v>
      </c>
      <c r="E32" s="331">
        <v>31.753272681102089</v>
      </c>
      <c r="F32" s="332">
        <v>3426.4881818181802</v>
      </c>
      <c r="G32" s="333">
        <f t="shared" si="0"/>
        <v>3.5657802000114645</v>
      </c>
      <c r="H32" s="334">
        <f t="shared" si="1"/>
        <v>0.38349363141427645</v>
      </c>
      <c r="I32" s="335">
        <v>3753.3556019810362</v>
      </c>
      <c r="J32" s="336">
        <f>I32*'[3]%Non-FF'!$AF$3/1000</f>
        <v>1.0509395685546995E-2</v>
      </c>
      <c r="K32" s="336">
        <f t="shared" si="2"/>
        <v>3.5552708043259176</v>
      </c>
      <c r="L32" s="336">
        <f>K32*'[3]FR SO Table'!$D$3</f>
        <v>3.1286383078068081</v>
      </c>
      <c r="M32" s="329">
        <v>15</v>
      </c>
      <c r="N32" s="336">
        <f t="shared" si="3"/>
        <v>53.329062064888767</v>
      </c>
      <c r="O32" s="336">
        <f>N32*'[3]FR SO Table'!$D$3</f>
        <v>46.929574617102119</v>
      </c>
      <c r="P32" s="415">
        <f t="shared" si="5"/>
        <v>0</v>
      </c>
      <c r="Q32" s="417">
        <f>G32*M32*'[3]FR SO Table'!$D$3*$F$170</f>
        <v>3020.8434067249127</v>
      </c>
      <c r="R32" s="338" t="s">
        <v>810</v>
      </c>
      <c r="S32" s="775">
        <f>E32*VLOOKUP(R32,'[3]FR SO Table'!$A$37:$B$44,2,FALSE)</f>
        <v>4768.5477248845064</v>
      </c>
      <c r="T32" s="329">
        <f t="shared" si="4"/>
        <v>70776.4975499742</v>
      </c>
      <c r="U32" s="340"/>
      <c r="V32" s="1009"/>
      <c r="W32" s="346"/>
    </row>
    <row r="33" spans="1:23" ht="12.9" customHeight="1" x14ac:dyDescent="0.3">
      <c r="A33" s="1045"/>
      <c r="B33" s="1047"/>
      <c r="C33" s="329" t="s">
        <v>822</v>
      </c>
      <c r="D33" s="330">
        <v>82.8</v>
      </c>
      <c r="E33" s="331">
        <v>54.752426317234466</v>
      </c>
      <c r="F33" s="332">
        <v>3981.0000000000005</v>
      </c>
      <c r="G33" s="333">
        <f t="shared" si="0"/>
        <v>6.1485037975558079</v>
      </c>
      <c r="H33" s="334">
        <f t="shared" si="1"/>
        <v>0.66126118740621342</v>
      </c>
      <c r="I33" s="335">
        <v>6450.8613639464793</v>
      </c>
      <c r="J33" s="336">
        <f>I33*'[3]%Non-FF'!$AF$3/1000</f>
        <v>1.80624118190503E-2</v>
      </c>
      <c r="K33" s="336">
        <f t="shared" si="2"/>
        <v>6.1304413857367575</v>
      </c>
      <c r="L33" s="336">
        <f>K33*'[3]FR SO Table'!$D$3</f>
        <v>5.3947884194483473</v>
      </c>
      <c r="M33" s="329">
        <v>15</v>
      </c>
      <c r="N33" s="336">
        <f t="shared" si="3"/>
        <v>91.95662078605136</v>
      </c>
      <c r="O33" s="336">
        <f>N33*'[3]FR SO Table'!$D$3</f>
        <v>80.92182629172521</v>
      </c>
      <c r="P33" s="415">
        <f t="shared" si="5"/>
        <v>0</v>
      </c>
      <c r="Q33" s="417">
        <f>G33*M33*'[3]FR SO Table'!$D$3*$F$170</f>
        <v>5208.8648531981407</v>
      </c>
      <c r="R33" s="338" t="s">
        <v>810</v>
      </c>
      <c r="S33" s="775">
        <f>E33*VLOOKUP(R33,'[3]FR SO Table'!$A$37:$B$44,2,FALSE)</f>
        <v>8222.4456221906858</v>
      </c>
      <c r="T33" s="329">
        <f t="shared" si="4"/>
        <v>121108.92634804395</v>
      </c>
      <c r="U33" s="340"/>
      <c r="V33" s="1009"/>
      <c r="W33" s="346"/>
    </row>
    <row r="34" spans="1:23" ht="12.9" customHeight="1" x14ac:dyDescent="0.3">
      <c r="A34" s="1045"/>
      <c r="B34" s="1047"/>
      <c r="C34" s="329" t="s">
        <v>823</v>
      </c>
      <c r="D34" s="330">
        <v>82.8</v>
      </c>
      <c r="E34" s="331">
        <v>77.337802173093664</v>
      </c>
      <c r="F34" s="332">
        <v>4631.1000000000004</v>
      </c>
      <c r="G34" s="333">
        <f t="shared" si="0"/>
        <v>8.6847616140475772</v>
      </c>
      <c r="H34" s="334">
        <f t="shared" si="1"/>
        <v>0.93403142721127619</v>
      </c>
      <c r="I34" s="335">
        <v>9111.8416765744041</v>
      </c>
      <c r="J34" s="336">
        <f>I34*'[3]%Non-FF'!$AF$3/1000</f>
        <v>2.5513156694408557E-2</v>
      </c>
      <c r="K34" s="336">
        <f t="shared" si="2"/>
        <v>8.6592484573531685</v>
      </c>
      <c r="L34" s="336">
        <f>K34*'[3]FR SO Table'!$D$3</f>
        <v>7.6201386424707893</v>
      </c>
      <c r="M34" s="329">
        <v>15</v>
      </c>
      <c r="N34" s="336">
        <f t="shared" si="3"/>
        <v>129.88872686029754</v>
      </c>
      <c r="O34" s="336">
        <f>N34*'[3]FR SO Table'!$D$3</f>
        <v>114.30207963706185</v>
      </c>
      <c r="P34" s="415">
        <f t="shared" si="5"/>
        <v>0</v>
      </c>
      <c r="Q34" s="417">
        <f>G34*M34*'[3]FR SO Table'!$D$3*$F$170</f>
        <v>7357.5216051423722</v>
      </c>
      <c r="R34" s="338" t="s">
        <v>810</v>
      </c>
      <c r="S34" s="775">
        <f>E34*VLOOKUP(R34,'[3]FR SO Table'!$A$37:$B$44,2,FALSE)</f>
        <v>11614.204441344342</v>
      </c>
      <c r="T34" s="329">
        <f t="shared" si="4"/>
        <v>169768.34135327142</v>
      </c>
      <c r="U34" s="340"/>
      <c r="V34" s="1009"/>
      <c r="W34" s="346"/>
    </row>
    <row r="35" spans="1:23" ht="12.6" customHeight="1" x14ac:dyDescent="0.3">
      <c r="A35" s="1045" t="s">
        <v>746</v>
      </c>
      <c r="B35" s="1047" t="s">
        <v>808</v>
      </c>
      <c r="C35" s="329" t="s">
        <v>816</v>
      </c>
      <c r="D35" s="330">
        <v>82.8</v>
      </c>
      <c r="E35" s="331">
        <v>10.114715152105394</v>
      </c>
      <c r="F35" s="332">
        <v>2759.8</v>
      </c>
      <c r="G35" s="333">
        <f t="shared" si="0"/>
        <v>1.1358467324093648</v>
      </c>
      <c r="H35" s="334">
        <f t="shared" si="1"/>
        <v>0.12215839555682843</v>
      </c>
      <c r="I35" s="335">
        <v>1149.4566841299991</v>
      </c>
      <c r="J35" s="336">
        <f>I35*'[3]%Non-FF'!$AF$3/1000</f>
        <v>3.2184787155640259E-3</v>
      </c>
      <c r="K35" s="336">
        <f t="shared" si="2"/>
        <v>1.1326282536938008</v>
      </c>
      <c r="L35" s="336">
        <f>K35*'[3]FR SO Table'!$D$3</f>
        <v>0.99671286325054487</v>
      </c>
      <c r="M35" s="329">
        <v>15</v>
      </c>
      <c r="N35" s="336">
        <f t="shared" si="3"/>
        <v>16.989423805407011</v>
      </c>
      <c r="O35" s="336">
        <f>N35*'[3]FR SO Table'!$D$3</f>
        <v>14.950692948758171</v>
      </c>
      <c r="P35" s="415">
        <f t="shared" si="5"/>
        <v>0</v>
      </c>
      <c r="Q35" s="417">
        <f>G35*M35*'[3]FR SO Table'!$D$3*$F$170</f>
        <v>962.26209137563626</v>
      </c>
      <c r="R35" s="338" t="s">
        <v>810</v>
      </c>
      <c r="S35" s="775">
        <f>E35*VLOOKUP(R35,'[3]FR SO Table'!$A$37:$B$44,2,FALSE)</f>
        <v>1518.9773479674275</v>
      </c>
      <c r="T35" s="329">
        <f t="shared" si="4"/>
        <v>22711.328275553558</v>
      </c>
      <c r="U35" s="345"/>
      <c r="V35" s="1009"/>
      <c r="W35" s="346"/>
    </row>
    <row r="36" spans="1:23" ht="12.6" customHeight="1" x14ac:dyDescent="0.3">
      <c r="A36" s="1045"/>
      <c r="B36" s="1047"/>
      <c r="C36" s="329" t="s">
        <v>817</v>
      </c>
      <c r="D36" s="330">
        <v>82.8</v>
      </c>
      <c r="E36" s="331">
        <v>12.036013045987394</v>
      </c>
      <c r="F36" s="332">
        <v>2763.7148469387757</v>
      </c>
      <c r="G36" s="333">
        <f t="shared" si="0"/>
        <v>1.3516016896111618</v>
      </c>
      <c r="H36" s="334">
        <f t="shared" si="1"/>
        <v>0.14536247640081393</v>
      </c>
      <c r="I36" s="335">
        <v>1389.6100687640544</v>
      </c>
      <c r="J36" s="336">
        <f>I36*'[3]%Non-FF'!$AF$3/1000</f>
        <v>3.8909081925393866E-3</v>
      </c>
      <c r="K36" s="336">
        <f t="shared" si="2"/>
        <v>1.3477107814186224</v>
      </c>
      <c r="L36" s="336">
        <f>K36*'[3]FR SO Table'!$D$3</f>
        <v>1.185985487648388</v>
      </c>
      <c r="M36" s="329">
        <v>15</v>
      </c>
      <c r="N36" s="336">
        <f t="shared" si="3"/>
        <v>20.215661721279336</v>
      </c>
      <c r="O36" s="336">
        <f>N36*'[3]FR SO Table'!$D$3</f>
        <v>17.789782314725819</v>
      </c>
      <c r="P36" s="415">
        <f t="shared" si="5"/>
        <v>0</v>
      </c>
      <c r="Q36" s="417">
        <f>G36*M36*'[3]FR SO Table'!$D$3*$F$170</f>
        <v>1145.044512998026</v>
      </c>
      <c r="R36" s="338" t="s">
        <v>810</v>
      </c>
      <c r="S36" s="775">
        <f>E36*VLOOKUP(R36,'[3]FR SO Table'!$A$37:$B$44,2,FALSE)</f>
        <v>1807.508259181157</v>
      </c>
      <c r="T36" s="329">
        <f t="shared" si="4"/>
        <v>27007.131157311396</v>
      </c>
      <c r="V36" s="1009"/>
      <c r="W36" s="346"/>
    </row>
    <row r="37" spans="1:23" ht="12.6" customHeight="1" x14ac:dyDescent="0.3">
      <c r="A37" s="1045"/>
      <c r="B37" s="1047"/>
      <c r="C37" s="329" t="s">
        <v>818</v>
      </c>
      <c r="D37" s="330">
        <v>82.8</v>
      </c>
      <c r="E37" s="331">
        <v>13.476446057576403</v>
      </c>
      <c r="F37" s="332">
        <v>2761.0533464566915</v>
      </c>
      <c r="G37" s="333">
        <f t="shared" si="0"/>
        <v>1.5133572215133526</v>
      </c>
      <c r="H37" s="334">
        <f t="shared" si="1"/>
        <v>0.16275901035720294</v>
      </c>
      <c r="I37" s="335">
        <v>1578.461704124049</v>
      </c>
      <c r="J37" s="336">
        <f>I37*'[3]%Non-FF'!$AF$3/1000</f>
        <v>4.4196927715473757E-3</v>
      </c>
      <c r="K37" s="336">
        <f t="shared" si="2"/>
        <v>1.5089375287418052</v>
      </c>
      <c r="L37" s="336">
        <f>K37*'[3]FR SO Table'!$D$3</f>
        <v>1.3278650252927888</v>
      </c>
      <c r="M37" s="329">
        <v>15</v>
      </c>
      <c r="N37" s="336">
        <f t="shared" si="3"/>
        <v>22.63406293112708</v>
      </c>
      <c r="O37" s="336">
        <f>N37*'[3]FR SO Table'!$D$3</f>
        <v>19.917975379391834</v>
      </c>
      <c r="P37" s="415">
        <f t="shared" si="5"/>
        <v>0</v>
      </c>
      <c r="Q37" s="417">
        <f>G37*M37*'[3]FR SO Table'!$D$3*$F$170</f>
        <v>1282.0799174927963</v>
      </c>
      <c r="R37" s="338" t="s">
        <v>810</v>
      </c>
      <c r="S37" s="775">
        <f>E37*VLOOKUP(R37,'[3]FR SO Table'!$A$37:$B$44,2,FALSE)</f>
        <v>2023.8252866965365</v>
      </c>
      <c r="T37" s="329">
        <f t="shared" si="4"/>
        <v>30223.209010590734</v>
      </c>
      <c r="V37" s="1009"/>
      <c r="W37" s="346"/>
    </row>
    <row r="38" spans="1:23" ht="12.6" customHeight="1" x14ac:dyDescent="0.3">
      <c r="A38" s="1045"/>
      <c r="B38" s="1047"/>
      <c r="C38" s="329" t="s">
        <v>819</v>
      </c>
      <c r="D38" s="330">
        <v>82.8</v>
      </c>
      <c r="E38" s="331">
        <v>19.208389606672434</v>
      </c>
      <c r="F38" s="332">
        <v>2894.4784401114207</v>
      </c>
      <c r="G38" s="333">
        <f t="shared" si="0"/>
        <v>2.1570342062518173</v>
      </c>
      <c r="H38" s="334">
        <f t="shared" si="1"/>
        <v>0.23198538172309704</v>
      </c>
      <c r="I38" s="335">
        <v>2225.1592036950888</v>
      </c>
      <c r="J38" s="336">
        <f>I38*'[3]%Non-FF'!$AF$3/1000</f>
        <v>6.2304457703463035E-3</v>
      </c>
      <c r="K38" s="336">
        <f t="shared" si="2"/>
        <v>2.1508037604814709</v>
      </c>
      <c r="L38" s="336">
        <f>K38*'[3]FR SO Table'!$D$3</f>
        <v>1.8927073092236946</v>
      </c>
      <c r="M38" s="329">
        <v>15</v>
      </c>
      <c r="N38" s="336">
        <f t="shared" si="3"/>
        <v>32.262056407222062</v>
      </c>
      <c r="O38" s="336">
        <f>N38*'[3]FR SO Table'!$D$3</f>
        <v>28.390609638355418</v>
      </c>
      <c r="P38" s="415">
        <f t="shared" si="5"/>
        <v>0</v>
      </c>
      <c r="Q38" s="417">
        <f>G38*M38*'[3]FR SO Table'!$D$3*$F$170</f>
        <v>1827.38761071559</v>
      </c>
      <c r="R38" s="338" t="s">
        <v>810</v>
      </c>
      <c r="S38" s="775">
        <f>E38*VLOOKUP(R38,'[3]FR SO Table'!$A$37:$B$44,2,FALSE)</f>
        <v>2884.6199091820331</v>
      </c>
      <c r="T38" s="329">
        <f t="shared" si="4"/>
        <v>42999.711619047201</v>
      </c>
      <c r="V38" s="1009"/>
      <c r="W38" s="346"/>
    </row>
    <row r="39" spans="1:23" ht="12.6" customHeight="1" x14ac:dyDescent="0.3">
      <c r="A39" s="1045"/>
      <c r="B39" s="1047"/>
      <c r="C39" s="329" t="s">
        <v>820</v>
      </c>
      <c r="D39" s="330">
        <v>82.8</v>
      </c>
      <c r="E39" s="331">
        <v>19.593185349919679</v>
      </c>
      <c r="F39" s="332">
        <v>3132.3553684210528</v>
      </c>
      <c r="G39" s="333">
        <f t="shared" si="0"/>
        <v>2.2002454070656574</v>
      </c>
      <c r="H39" s="334">
        <f t="shared" si="1"/>
        <v>0.2366326733082087</v>
      </c>
      <c r="I39" s="335">
        <v>2301.3886858078295</v>
      </c>
      <c r="J39" s="336">
        <f>I39*'[3]%Non-FF'!$AF$3/1000</f>
        <v>6.4438883202619793E-3</v>
      </c>
      <c r="K39" s="336">
        <f t="shared" si="2"/>
        <v>2.1938015187453956</v>
      </c>
      <c r="L39" s="336">
        <f>K39*'[3]FR SO Table'!$D$3</f>
        <v>1.9305453364959484</v>
      </c>
      <c r="M39" s="329">
        <v>15</v>
      </c>
      <c r="N39" s="336">
        <f t="shared" si="3"/>
        <v>32.907022781180935</v>
      </c>
      <c r="O39" s="336">
        <f>N39*'[3]FR SO Table'!$D$3</f>
        <v>28.958180047439225</v>
      </c>
      <c r="P39" s="415">
        <f t="shared" si="5"/>
        <v>0</v>
      </c>
      <c r="Q39" s="417">
        <f>G39*M39*'[3]FR SO Table'!$D$3*$F$170</f>
        <v>1863.9951029762558</v>
      </c>
      <c r="R39" s="338" t="s">
        <v>810</v>
      </c>
      <c r="S39" s="775">
        <f>E39*VLOOKUP(R39,'[3]FR SO Table'!$A$37:$B$44,2,FALSE)</f>
        <v>2942.4066099241882</v>
      </c>
      <c r="T39" s="329">
        <f t="shared" si="4"/>
        <v>43851.69105505554</v>
      </c>
      <c r="V39" s="1009"/>
      <c r="W39" s="346"/>
    </row>
    <row r="40" spans="1:23" ht="12.6" customHeight="1" x14ac:dyDescent="0.3">
      <c r="A40" s="1045"/>
      <c r="B40" s="1047"/>
      <c r="C40" s="329" t="s">
        <v>821</v>
      </c>
      <c r="D40" s="330">
        <v>82.8</v>
      </c>
      <c r="E40" s="331">
        <v>24.43414332810806</v>
      </c>
      <c r="F40" s="332">
        <v>3426.4881818181802</v>
      </c>
      <c r="G40" s="333">
        <f t="shared" si="0"/>
        <v>2.7438678639088221</v>
      </c>
      <c r="H40" s="334">
        <f t="shared" si="1"/>
        <v>0.29509834937328577</v>
      </c>
      <c r="I40" s="335">
        <v>2888.2071357244076</v>
      </c>
      <c r="J40" s="336">
        <f>I40*'[3]%Non-FF'!$AF$3/1000</f>
        <v>8.0869799800284137E-3</v>
      </c>
      <c r="K40" s="336">
        <f t="shared" si="2"/>
        <v>2.7357808839287938</v>
      </c>
      <c r="L40" s="336">
        <f>K40*'[3]FR SO Table'!$D$3</f>
        <v>2.4074871778573388</v>
      </c>
      <c r="M40" s="329">
        <v>15</v>
      </c>
      <c r="N40" s="336">
        <f t="shared" si="3"/>
        <v>41.036713258931904</v>
      </c>
      <c r="O40" s="336">
        <f>N40*'[3]FR SO Table'!$D$3</f>
        <v>36.11230766786008</v>
      </c>
      <c r="P40" s="415">
        <f t="shared" si="5"/>
        <v>0</v>
      </c>
      <c r="Q40" s="417">
        <f>G40*M40*'[3]FR SO Table'!$D$3*$F$170</f>
        <v>2324.5390014748209</v>
      </c>
      <c r="R40" s="338" t="s">
        <v>810</v>
      </c>
      <c r="S40" s="775">
        <f>E40*VLOOKUP(R40,'[3]FR SO Table'!$A$37:$B$44,2,FALSE)</f>
        <v>3669.3974742986284</v>
      </c>
      <c r="T40" s="329">
        <f t="shared" si="4"/>
        <v>54595.846955778128</v>
      </c>
      <c r="V40" s="1009"/>
    </row>
    <row r="41" spans="1:23" ht="12.9" customHeight="1" x14ac:dyDescent="0.3">
      <c r="A41" s="1045"/>
      <c r="B41" s="1047"/>
      <c r="C41" s="329" t="s">
        <v>822</v>
      </c>
      <c r="D41" s="330">
        <v>82.8</v>
      </c>
      <c r="E41" s="331">
        <v>42.131992051111922</v>
      </c>
      <c r="F41" s="332">
        <v>3981.0000000000005</v>
      </c>
      <c r="G41" s="333">
        <f t="shared" si="0"/>
        <v>4.7312736722191939</v>
      </c>
      <c r="H41" s="334">
        <f t="shared" si="1"/>
        <v>0.50884048370908119</v>
      </c>
      <c r="I41" s="335">
        <v>4963.9378195568161</v>
      </c>
      <c r="J41" s="336">
        <f>I41*'[3]%Non-FF'!$AF$3/1000</f>
        <v>1.3899025894759207E-2</v>
      </c>
      <c r="K41" s="336">
        <f t="shared" si="2"/>
        <v>4.7173746463244344</v>
      </c>
      <c r="L41" s="336">
        <f>K41*'[3]FR SO Table'!$D$3</f>
        <v>4.1512896887655026</v>
      </c>
      <c r="M41" s="329">
        <v>15</v>
      </c>
      <c r="N41" s="336">
        <f t="shared" si="3"/>
        <v>70.76061969486652</v>
      </c>
      <c r="O41" s="336">
        <f>N41*'[3]FR SO Table'!$D$3</f>
        <v>62.269345331482548</v>
      </c>
      <c r="P41" s="415">
        <f t="shared" si="5"/>
        <v>0</v>
      </c>
      <c r="Q41" s="417">
        <f>G41*M41*'[3]FR SO Table'!$D$3*$F$170</f>
        <v>4008.221504535969</v>
      </c>
      <c r="R41" s="338" t="s">
        <v>810</v>
      </c>
      <c r="S41" s="775">
        <f>E41*VLOOKUP(R41,'[3]FR SO Table'!$A$37:$B$44,2,FALSE)</f>
        <v>6327.1719062757338</v>
      </c>
      <c r="T41" s="329">
        <f t="shared" si="4"/>
        <v>93588.45570164721</v>
      </c>
      <c r="V41" s="1009"/>
    </row>
    <row r="42" spans="1:23" ht="12.9" customHeight="1" x14ac:dyDescent="0.3">
      <c r="A42" s="1045"/>
      <c r="B42" s="1047"/>
      <c r="C42" s="329" t="s">
        <v>823</v>
      </c>
      <c r="D42" s="330">
        <v>82.8</v>
      </c>
      <c r="E42" s="331">
        <v>59.511438772195575</v>
      </c>
      <c r="F42" s="332">
        <v>4631.1000000000004</v>
      </c>
      <c r="G42" s="333">
        <f t="shared" si="0"/>
        <v>6.6829240620096106</v>
      </c>
      <c r="H42" s="334">
        <f t="shared" si="1"/>
        <v>0.71873718323907698</v>
      </c>
      <c r="I42" s="335">
        <v>7011.5621701240043</v>
      </c>
      <c r="J42" s="336">
        <f>I42*'[3]%Non-FF'!$AF$3/1000</f>
        <v>1.9632374076347384E-2</v>
      </c>
      <c r="K42" s="336">
        <f t="shared" si="2"/>
        <v>6.6632916879332633</v>
      </c>
      <c r="L42" s="336">
        <f>K42*'[3]FR SO Table'!$D$3</f>
        <v>5.8636966853812726</v>
      </c>
      <c r="M42" s="329">
        <v>15</v>
      </c>
      <c r="N42" s="336">
        <f t="shared" si="3"/>
        <v>99.949375318998946</v>
      </c>
      <c r="O42" s="336">
        <f>N42*'[3]FR SO Table'!$D$3</f>
        <v>87.955450280719077</v>
      </c>
      <c r="P42" s="415">
        <f t="shared" si="5"/>
        <v>0</v>
      </c>
      <c r="Q42" s="417">
        <f>G42*M42*'[3]FR SO Table'!$D$3*$F$170</f>
        <v>5661.6128751570559</v>
      </c>
      <c r="R42" s="338" t="s">
        <v>810</v>
      </c>
      <c r="S42" s="775">
        <f>E42*VLOOKUP(R42,'[3]FR SO Table'!$A$37:$B$44,2,FALSE)</f>
        <v>8937.130317614472</v>
      </c>
      <c r="T42" s="329">
        <f t="shared" si="4"/>
        <v>131425.09848074999</v>
      </c>
      <c r="V42" s="1009"/>
    </row>
    <row r="43" spans="1:23" ht="12.6" customHeight="1" x14ac:dyDescent="0.3">
      <c r="A43" s="1045" t="s">
        <v>747</v>
      </c>
      <c r="B43" s="1047" t="s">
        <v>808</v>
      </c>
      <c r="C43" s="329" t="s">
        <v>816</v>
      </c>
      <c r="D43" s="330">
        <v>82.8</v>
      </c>
      <c r="E43" s="331">
        <v>10.647068581163573</v>
      </c>
      <c r="F43" s="332">
        <v>2759.8</v>
      </c>
      <c r="G43" s="333">
        <f t="shared" si="0"/>
        <v>1.1956281393782791</v>
      </c>
      <c r="H43" s="334">
        <f t="shared" si="1"/>
        <v>0.12858778479666153</v>
      </c>
      <c r="I43" s="335">
        <v>1209.9544043473675</v>
      </c>
      <c r="J43" s="336">
        <f>I43*'[3]%Non-FF'!$AF$3/1000</f>
        <v>3.3878723321726588E-3</v>
      </c>
      <c r="K43" s="336">
        <f t="shared" si="2"/>
        <v>1.1922402670461063</v>
      </c>
      <c r="L43" s="336">
        <f>K43*'[3]FR SO Table'!$D$3</f>
        <v>1.0491714350005736</v>
      </c>
      <c r="M43" s="329">
        <v>15</v>
      </c>
      <c r="N43" s="336">
        <f t="shared" si="3"/>
        <v>17.883604005691595</v>
      </c>
      <c r="O43" s="336">
        <f>N43*'[3]FR SO Table'!$D$3</f>
        <v>15.737571525008606</v>
      </c>
      <c r="P43" s="415">
        <f t="shared" si="5"/>
        <v>0</v>
      </c>
      <c r="Q43" s="417">
        <f>G43*M43*'[3]FR SO Table'!$D$3*$F$170</f>
        <v>1012.9074646059331</v>
      </c>
      <c r="R43" s="338" t="s">
        <v>810</v>
      </c>
      <c r="S43" s="775">
        <f>E43*VLOOKUP(R43,'[3]FR SO Table'!$A$37:$B$44,2,FALSE)</f>
        <v>1598.9235241762397</v>
      </c>
      <c r="T43" s="329">
        <f t="shared" si="4"/>
        <v>23902.598631111345</v>
      </c>
      <c r="V43" s="1009"/>
    </row>
    <row r="44" spans="1:23" ht="12.6" customHeight="1" x14ac:dyDescent="0.3">
      <c r="A44" s="1045"/>
      <c r="B44" s="1047"/>
      <c r="C44" s="329" t="s">
        <v>817</v>
      </c>
      <c r="D44" s="330">
        <v>82.8</v>
      </c>
      <c r="E44" s="331">
        <v>12.669487416828837</v>
      </c>
      <c r="F44" s="332">
        <v>2763.7148469387757</v>
      </c>
      <c r="G44" s="333">
        <f t="shared" si="0"/>
        <v>1.4227386206433281</v>
      </c>
      <c r="H44" s="334">
        <f t="shared" si="1"/>
        <v>0.15301313305348838</v>
      </c>
      <c r="I44" s="335">
        <v>1462.7474408042679</v>
      </c>
      <c r="J44" s="336">
        <f>I44*'[3]%Non-FF'!$AF$3/1000</f>
        <v>4.0956928342519867E-3</v>
      </c>
      <c r="K44" s="336">
        <f t="shared" si="2"/>
        <v>1.4186429278090762</v>
      </c>
      <c r="L44" s="336">
        <f>K44*'[3]FR SO Table'!$D$3</f>
        <v>1.2484057764719871</v>
      </c>
      <c r="M44" s="329">
        <v>15</v>
      </c>
      <c r="N44" s="336">
        <f t="shared" si="3"/>
        <v>21.279643917136141</v>
      </c>
      <c r="O44" s="336">
        <f>N44*'[3]FR SO Table'!$D$3</f>
        <v>18.726086647079807</v>
      </c>
      <c r="P44" s="415">
        <f t="shared" si="5"/>
        <v>0</v>
      </c>
      <c r="Q44" s="417">
        <f>G44*M44*'[3]FR SO Table'!$D$3*$F$170</f>
        <v>1205.3100136821324</v>
      </c>
      <c r="R44" s="338" t="s">
        <v>810</v>
      </c>
      <c r="S44" s="775">
        <f>E44*VLOOKUP(R44,'[3]FR SO Table'!$A$37:$B$44,2,FALSE)</f>
        <v>1902.6402728222706</v>
      </c>
      <c r="T44" s="329">
        <f t="shared" si="4"/>
        <v>28422.714640360697</v>
      </c>
      <c r="V44" s="1009"/>
    </row>
    <row r="45" spans="1:23" ht="12.6" customHeight="1" x14ac:dyDescent="0.3">
      <c r="A45" s="1045"/>
      <c r="B45" s="1047"/>
      <c r="C45" s="329" t="s">
        <v>818</v>
      </c>
      <c r="D45" s="330">
        <v>82.8</v>
      </c>
      <c r="E45" s="331">
        <v>14.185732692185688</v>
      </c>
      <c r="F45" s="332">
        <v>2761.0533464566915</v>
      </c>
      <c r="G45" s="333">
        <f t="shared" si="0"/>
        <v>1.5930076015930028</v>
      </c>
      <c r="H45" s="334">
        <f t="shared" si="1"/>
        <v>0.17132527406021364</v>
      </c>
      <c r="I45" s="335">
        <v>1661.5386359200518</v>
      </c>
      <c r="J45" s="336">
        <f>I45*'[3]%Non-FF'!$AF$3/1000</f>
        <v>4.6523081805761859E-3</v>
      </c>
      <c r="K45" s="336">
        <f t="shared" si="2"/>
        <v>1.5883552934124265</v>
      </c>
      <c r="L45" s="336">
        <f>K45*'[3]FR SO Table'!$D$3</f>
        <v>1.3977526582029356</v>
      </c>
      <c r="M45" s="329">
        <v>15</v>
      </c>
      <c r="N45" s="336">
        <f t="shared" si="3"/>
        <v>23.825329401186398</v>
      </c>
      <c r="O45" s="336">
        <f>N45*'[3]FR SO Table'!$D$3</f>
        <v>20.966289873044033</v>
      </c>
      <c r="P45" s="415">
        <f t="shared" si="5"/>
        <v>0</v>
      </c>
      <c r="Q45" s="417">
        <f>G45*M45*'[3]FR SO Table'!$D$3*$F$170</f>
        <v>1349.5578078871542</v>
      </c>
      <c r="R45" s="338" t="s">
        <v>810</v>
      </c>
      <c r="S45" s="775">
        <f>E45*VLOOKUP(R45,'[3]FR SO Table'!$A$37:$B$44,2,FALSE)</f>
        <v>2130.3424070489859</v>
      </c>
      <c r="T45" s="329">
        <f t="shared" si="4"/>
        <v>31806.470964618657</v>
      </c>
      <c r="V45" s="1009"/>
    </row>
    <row r="46" spans="1:23" ht="12.6" customHeight="1" x14ac:dyDescent="0.3">
      <c r="A46" s="1045"/>
      <c r="B46" s="1047"/>
      <c r="C46" s="329" t="s">
        <v>819</v>
      </c>
      <c r="D46" s="330">
        <v>82.8</v>
      </c>
      <c r="E46" s="331">
        <v>20.219357480707824</v>
      </c>
      <c r="F46" s="332">
        <v>2894.4784401114207</v>
      </c>
      <c r="G46" s="333">
        <f t="shared" si="0"/>
        <v>2.270562322370334</v>
      </c>
      <c r="H46" s="334">
        <f t="shared" si="1"/>
        <v>0.2441951386558916</v>
      </c>
      <c r="I46" s="335">
        <v>2342.2728459948303</v>
      </c>
      <c r="J46" s="336">
        <f>I46*'[3]%Non-FF'!$AF$3/1000</f>
        <v>6.5583639687855824E-3</v>
      </c>
      <c r="K46" s="336">
        <f t="shared" si="2"/>
        <v>2.2640039584015486</v>
      </c>
      <c r="L46" s="336">
        <f>K46*'[3]FR SO Table'!$D$3</f>
        <v>1.992323483393363</v>
      </c>
      <c r="M46" s="329">
        <v>15</v>
      </c>
      <c r="N46" s="336">
        <f t="shared" si="3"/>
        <v>33.960059376023231</v>
      </c>
      <c r="O46" s="336">
        <f>N46*'[3]FR SO Table'!$D$3</f>
        <v>29.884852250900448</v>
      </c>
      <c r="P46" s="415">
        <f t="shared" si="5"/>
        <v>0</v>
      </c>
      <c r="Q46" s="417">
        <f>G46*M46*'[3]FR SO Table'!$D$3*$F$170</f>
        <v>1923.5659060164107</v>
      </c>
      <c r="R46" s="338" t="s">
        <v>810</v>
      </c>
      <c r="S46" s="775">
        <f>E46*VLOOKUP(R46,'[3]FR SO Table'!$A$37:$B$44,2,FALSE)</f>
        <v>3036.4420096652975</v>
      </c>
      <c r="T46" s="329">
        <f t="shared" si="4"/>
        <v>45247.918766937022</v>
      </c>
      <c r="U46" s="344"/>
      <c r="V46" s="1009"/>
      <c r="W46" s="344"/>
    </row>
    <row r="47" spans="1:23" ht="12.6" customHeight="1" x14ac:dyDescent="0.3">
      <c r="A47" s="1045"/>
      <c r="B47" s="1047"/>
      <c r="C47" s="329" t="s">
        <v>820</v>
      </c>
      <c r="D47" s="330">
        <v>82.8</v>
      </c>
      <c r="E47" s="331">
        <v>20.624405631494401</v>
      </c>
      <c r="F47" s="332">
        <v>3132.3553684210528</v>
      </c>
      <c r="G47" s="333">
        <f t="shared" si="0"/>
        <v>2.3160477969112185</v>
      </c>
      <c r="H47" s="334">
        <f t="shared" si="1"/>
        <v>0.24908702453495654</v>
      </c>
      <c r="I47" s="335">
        <v>2422.5144061135047</v>
      </c>
      <c r="J47" s="336">
        <f>I47*'[3]%Non-FF'!$AF$3/1000</f>
        <v>6.7830403371178733E-3</v>
      </c>
      <c r="K47" s="336">
        <f t="shared" si="2"/>
        <v>2.3092647565741005</v>
      </c>
      <c r="L47" s="336">
        <f>K47*'[3]FR SO Table'!$D$3</f>
        <v>2.0321529857852085</v>
      </c>
      <c r="M47" s="329">
        <v>15</v>
      </c>
      <c r="N47" s="336">
        <f t="shared" si="3"/>
        <v>34.638971348611506</v>
      </c>
      <c r="O47" s="336">
        <f>N47*'[3]FR SO Table'!$D$3</f>
        <v>30.48229478677813</v>
      </c>
      <c r="P47" s="415">
        <f t="shared" si="5"/>
        <v>0</v>
      </c>
      <c r="Q47" s="417">
        <f>G47*M47*'[3]FR SO Table'!$D$3*$F$170</f>
        <v>1962.1001083960589</v>
      </c>
      <c r="R47" s="338" t="s">
        <v>810</v>
      </c>
      <c r="S47" s="775">
        <f>E47*VLOOKUP(R47,'[3]FR SO Table'!$A$37:$B$44,2,FALSE)</f>
        <v>3097.2701157096717</v>
      </c>
      <c r="T47" s="329">
        <f t="shared" si="4"/>
        <v>46143.918113697946</v>
      </c>
      <c r="U47" s="340"/>
      <c r="V47" s="1009"/>
      <c r="W47" s="340"/>
    </row>
    <row r="48" spans="1:23" ht="12.6" customHeight="1" x14ac:dyDescent="0.3">
      <c r="A48" s="1045"/>
      <c r="B48" s="1047"/>
      <c r="C48" s="329" t="s">
        <v>821</v>
      </c>
      <c r="D48" s="330">
        <v>82.8</v>
      </c>
      <c r="E48" s="331">
        <v>25.720150871692695</v>
      </c>
      <c r="F48" s="332">
        <v>3426.4881818181802</v>
      </c>
      <c r="G48" s="333">
        <f t="shared" si="0"/>
        <v>2.8882819620092866</v>
      </c>
      <c r="H48" s="334">
        <f t="shared" si="1"/>
        <v>0.31062984144556394</v>
      </c>
      <c r="I48" s="335">
        <v>3040.2180376046394</v>
      </c>
      <c r="J48" s="336">
        <f>I48*'[3]%Non-FF'!$AF$3/1000</f>
        <v>8.5126105052930646E-3</v>
      </c>
      <c r="K48" s="336">
        <f t="shared" si="2"/>
        <v>2.8797693515039935</v>
      </c>
      <c r="L48" s="336">
        <f>K48*'[3]FR SO Table'!$D$3</f>
        <v>2.5341970293235145</v>
      </c>
      <c r="M48" s="329">
        <v>15</v>
      </c>
      <c r="N48" s="336">
        <f t="shared" si="3"/>
        <v>43.196540272559901</v>
      </c>
      <c r="O48" s="336">
        <f>N48*'[3]FR SO Table'!$D$3</f>
        <v>38.012955439852718</v>
      </c>
      <c r="P48" s="415">
        <f t="shared" si="5"/>
        <v>0</v>
      </c>
      <c r="Q48" s="417">
        <f>G48*M48*'[3]FR SO Table'!$D$3*$F$170</f>
        <v>2446.8831594471799</v>
      </c>
      <c r="R48" s="338" t="s">
        <v>810</v>
      </c>
      <c r="S48" s="775">
        <f>E48*VLOOKUP(R48,'[3]FR SO Table'!$A$37:$B$44,2,FALSE)</f>
        <v>3862.523657156451</v>
      </c>
      <c r="T48" s="329">
        <f t="shared" si="4"/>
        <v>57444.652465433966</v>
      </c>
      <c r="U48" s="340"/>
      <c r="V48" s="1009"/>
      <c r="W48" s="340"/>
    </row>
    <row r="49" spans="1:23" ht="12.9" customHeight="1" x14ac:dyDescent="0.3">
      <c r="A49" s="1045"/>
      <c r="B49" s="1047"/>
      <c r="C49" s="329" t="s">
        <v>822</v>
      </c>
      <c r="D49" s="330">
        <v>82.8</v>
      </c>
      <c r="E49" s="331">
        <v>44.349465316959922</v>
      </c>
      <c r="F49" s="332">
        <v>3981.0000000000005</v>
      </c>
      <c r="G49" s="333">
        <f t="shared" si="0"/>
        <v>4.9802880760202051</v>
      </c>
      <c r="H49" s="334">
        <f t="shared" si="1"/>
        <v>0.53562156179903286</v>
      </c>
      <c r="I49" s="335">
        <v>5225.1977047966484</v>
      </c>
      <c r="J49" s="336">
        <f>I49*'[3]%Non-FF'!$AF$3/1000</f>
        <v>1.4630553573430743E-2</v>
      </c>
      <c r="K49" s="336">
        <f t="shared" si="2"/>
        <v>4.9656575224467741</v>
      </c>
      <c r="L49" s="336">
        <f>K49*'[3]FR SO Table'!$D$3</f>
        <v>4.3697786197531618</v>
      </c>
      <c r="M49" s="329">
        <v>15</v>
      </c>
      <c r="N49" s="336">
        <f t="shared" si="3"/>
        <v>74.484862836701609</v>
      </c>
      <c r="O49" s="336">
        <f>N49*'[3]FR SO Table'!$D$3</f>
        <v>65.546679296297427</v>
      </c>
      <c r="P49" s="415">
        <f t="shared" si="5"/>
        <v>0</v>
      </c>
      <c r="Q49" s="417">
        <f>G49*M49*'[3]FR SO Table'!$D$3*$F$170</f>
        <v>4219.1805310904938</v>
      </c>
      <c r="R49" s="338" t="s">
        <v>810</v>
      </c>
      <c r="S49" s="775">
        <f>E49*VLOOKUP(R49,'[3]FR SO Table'!$A$37:$B$44,2,FALSE)</f>
        <v>6660.1809539744563</v>
      </c>
      <c r="T49" s="329">
        <f t="shared" si="4"/>
        <v>98441.082295778848</v>
      </c>
      <c r="U49" s="340"/>
      <c r="V49" s="1009"/>
      <c r="W49" s="340"/>
    </row>
    <row r="50" spans="1:23" ht="12.9" customHeight="1" x14ac:dyDescent="0.3">
      <c r="A50" s="1045"/>
      <c r="B50" s="1047"/>
      <c r="C50" s="329" t="s">
        <v>823</v>
      </c>
      <c r="D50" s="330">
        <v>82.8</v>
      </c>
      <c r="E50" s="331">
        <v>62.643619760205873</v>
      </c>
      <c r="F50" s="332">
        <v>4631.1000000000004</v>
      </c>
      <c r="G50" s="333">
        <f t="shared" si="0"/>
        <v>7.0346569073785377</v>
      </c>
      <c r="H50" s="334">
        <f t="shared" si="1"/>
        <v>0.75656545604113379</v>
      </c>
      <c r="I50" s="335">
        <v>7380.5917580252681</v>
      </c>
      <c r="J50" s="336">
        <f>I50*'[3]%Non-FF'!$AF$3/1000</f>
        <v>2.0665656922470934E-2</v>
      </c>
      <c r="K50" s="336">
        <f t="shared" si="2"/>
        <v>7.0139912504560664</v>
      </c>
      <c r="L50" s="336">
        <f>K50*'[3]FR SO Table'!$D$3</f>
        <v>6.1723123004013392</v>
      </c>
      <c r="M50" s="329">
        <v>15</v>
      </c>
      <c r="N50" s="336">
        <f t="shared" si="3"/>
        <v>105.20986875684099</v>
      </c>
      <c r="O50" s="336">
        <f>N50*'[3]FR SO Table'!$D$3</f>
        <v>92.584684506020082</v>
      </c>
      <c r="P50" s="415">
        <f t="shared" si="5"/>
        <v>0</v>
      </c>
      <c r="Q50" s="417">
        <f>G50*M50*'[3]FR SO Table'!$D$3*$F$170</f>
        <v>5959.5925001653222</v>
      </c>
      <c r="R50" s="338" t="s">
        <v>810</v>
      </c>
      <c r="S50" s="775">
        <f>E50*VLOOKUP(R50,'[3]FR SO Table'!$A$37:$B$44,2,FALSE)</f>
        <v>9407.5055974889183</v>
      </c>
      <c r="T50" s="329">
        <f t="shared" si="4"/>
        <v>138196.3997147248</v>
      </c>
      <c r="U50" s="340"/>
      <c r="V50" s="1009"/>
      <c r="W50" s="340"/>
    </row>
    <row r="51" spans="1:23" ht="12.6" customHeight="1" x14ac:dyDescent="0.3">
      <c r="A51" s="1048" t="s">
        <v>748</v>
      </c>
      <c r="B51" s="1047" t="s">
        <v>808</v>
      </c>
      <c r="C51" s="329" t="s">
        <v>816</v>
      </c>
      <c r="D51" s="330">
        <v>82.8</v>
      </c>
      <c r="E51" s="331">
        <v>12.487302656920239</v>
      </c>
      <c r="F51" s="332">
        <v>2759.8</v>
      </c>
      <c r="G51" s="333">
        <f t="shared" si="0"/>
        <v>1.4022799165547715</v>
      </c>
      <c r="H51" s="334">
        <f t="shared" si="1"/>
        <v>0.15081283402077583</v>
      </c>
      <c r="I51" s="335">
        <v>1419.0823260864186</v>
      </c>
      <c r="J51" s="336">
        <f>I51*'[3]%Non-FF'!$AF$3/1000</f>
        <v>3.9734305130420073E-3</v>
      </c>
      <c r="K51" s="336">
        <f t="shared" si="2"/>
        <v>1.3983064860417294</v>
      </c>
      <c r="L51" s="336">
        <f>K51*'[3]FR SO Table'!$D$3</f>
        <v>1.230509707716722</v>
      </c>
      <c r="M51" s="329">
        <v>15</v>
      </c>
      <c r="N51" s="336">
        <f t="shared" si="3"/>
        <v>20.97459729062594</v>
      </c>
      <c r="O51" s="336">
        <f>N51*'[3]FR SO Table'!$D$3</f>
        <v>18.457645615750831</v>
      </c>
      <c r="P51" s="415">
        <f t="shared" si="5"/>
        <v>0</v>
      </c>
      <c r="Q51" s="417">
        <f>G51*M51*'[3]FR SO Table'!$D$3*$F$170</f>
        <v>1187.9778905872054</v>
      </c>
      <c r="R51" s="338" t="s">
        <v>810</v>
      </c>
      <c r="S51" s="775">
        <f>E51*VLOOKUP(R51,'[3]FR SO Table'!$A$37:$B$44,2,FALSE)</f>
        <v>1875.280676502997</v>
      </c>
      <c r="T51" s="329">
        <f t="shared" si="4"/>
        <v>28017.440685636931</v>
      </c>
      <c r="U51" s="345"/>
      <c r="V51" s="1009"/>
      <c r="W51" s="345"/>
    </row>
    <row r="52" spans="1:23" ht="12.6" customHeight="1" x14ac:dyDescent="0.3">
      <c r="A52" s="1049"/>
      <c r="B52" s="1047"/>
      <c r="C52" s="329" t="s">
        <v>817</v>
      </c>
      <c r="D52" s="330">
        <v>82.8</v>
      </c>
      <c r="E52" s="331">
        <v>14.859275365416535</v>
      </c>
      <c r="F52" s="332">
        <v>2763.7148469387757</v>
      </c>
      <c r="G52" s="333">
        <f t="shared" si="0"/>
        <v>1.6686440612483477</v>
      </c>
      <c r="H52" s="334">
        <f t="shared" si="1"/>
        <v>0.17945984740841225</v>
      </c>
      <c r="I52" s="335">
        <v>1715.5679861284621</v>
      </c>
      <c r="J52" s="336">
        <f>I52*'[3]%Non-FF'!$AF$3/1000</f>
        <v>4.8035903611597357E-3</v>
      </c>
      <c r="K52" s="336">
        <f t="shared" si="2"/>
        <v>1.6638404708871881</v>
      </c>
      <c r="L52" s="336">
        <f>K52*'[3]FR SO Table'!$D$3</f>
        <v>1.4641796143807257</v>
      </c>
      <c r="M52" s="329">
        <v>15</v>
      </c>
      <c r="N52" s="336">
        <f t="shared" si="3"/>
        <v>24.957607063307822</v>
      </c>
      <c r="O52" s="336">
        <f>N52*'[3]FR SO Table'!$D$3</f>
        <v>21.962694215710886</v>
      </c>
      <c r="P52" s="415">
        <f t="shared" si="5"/>
        <v>0</v>
      </c>
      <c r="Q52" s="417">
        <f>G52*M52*'[3]FR SO Table'!$D$3*$F$170</f>
        <v>1413.6352012321306</v>
      </c>
      <c r="R52" s="338" t="s">
        <v>810</v>
      </c>
      <c r="S52" s="775">
        <f>E52*VLOOKUP(R52,'[3]FR SO Table'!$A$37:$B$44,2,FALSE)</f>
        <v>2231.4916780014282</v>
      </c>
      <c r="T52" s="329">
        <f t="shared" si="4"/>
        <v>33311.587591289579</v>
      </c>
      <c r="V52" s="1009"/>
    </row>
    <row r="53" spans="1:23" ht="12.6" customHeight="1" x14ac:dyDescent="0.3">
      <c r="A53" s="1049"/>
      <c r="B53" s="1047"/>
      <c r="C53" s="329" t="s">
        <v>818</v>
      </c>
      <c r="D53" s="330">
        <v>82.8</v>
      </c>
      <c r="E53" s="331">
        <v>16.637587725402966</v>
      </c>
      <c r="F53" s="332">
        <v>2761.0533464566915</v>
      </c>
      <c r="G53" s="333">
        <f t="shared" si="0"/>
        <v>1.8683422487819166</v>
      </c>
      <c r="H53" s="334">
        <f t="shared" si="1"/>
        <v>0.20093704982370733</v>
      </c>
      <c r="I53" s="335">
        <v>1948.7181532395666</v>
      </c>
      <c r="J53" s="336">
        <f>I53*'[3]%Non-FF'!$AF$3/1000</f>
        <v>5.4564108290708355E-3</v>
      </c>
      <c r="K53" s="336">
        <f t="shared" si="2"/>
        <v>1.8628858379528457</v>
      </c>
      <c r="L53" s="336">
        <f>K53*'[3]FR SO Table'!$D$3</f>
        <v>1.6393395373985045</v>
      </c>
      <c r="M53" s="329">
        <v>15</v>
      </c>
      <c r="N53" s="336">
        <f t="shared" si="3"/>
        <v>27.943287569292686</v>
      </c>
      <c r="O53" s="336">
        <f>N53*'[3]FR SO Table'!$D$3</f>
        <v>24.590093060977566</v>
      </c>
      <c r="P53" s="415">
        <f t="shared" si="5"/>
        <v>0</v>
      </c>
      <c r="Q53" s="417">
        <f>G53*M53*'[3]FR SO Table'!$D$3*$F$170</f>
        <v>1582.8147129540694</v>
      </c>
      <c r="R53" s="338" t="s">
        <v>810</v>
      </c>
      <c r="S53" s="775">
        <f>E53*VLOOKUP(R53,'[3]FR SO Table'!$A$37:$B$44,2,FALSE)</f>
        <v>2498.5497366623908</v>
      </c>
      <c r="T53" s="329">
        <f t="shared" si="4"/>
        <v>37273.749342334413</v>
      </c>
      <c r="V53" s="1009"/>
    </row>
    <row r="54" spans="1:23" ht="12.6" customHeight="1" x14ac:dyDescent="0.3">
      <c r="A54" s="1049"/>
      <c r="B54" s="1047"/>
      <c r="C54" s="329" t="s">
        <v>819</v>
      </c>
      <c r="D54" s="330">
        <v>82.8</v>
      </c>
      <c r="E54" s="331">
        <v>23.714061242805471</v>
      </c>
      <c r="F54" s="332">
        <v>2894.4784401114207</v>
      </c>
      <c r="G54" s="333">
        <f t="shared" si="0"/>
        <v>2.6630051929034781</v>
      </c>
      <c r="H54" s="334">
        <f t="shared" si="1"/>
        <v>0.28640170583098395</v>
      </c>
      <c r="I54" s="335">
        <v>2747.1101280186281</v>
      </c>
      <c r="J54" s="336">
        <f>I54*'[3]%Non-FF'!$AF$3/1000</f>
        <v>7.691908358452227E-3</v>
      </c>
      <c r="K54" s="336">
        <f t="shared" si="2"/>
        <v>2.6553132845450258</v>
      </c>
      <c r="L54" s="336">
        <f>K54*'[3]FR SO Table'!$D$3</f>
        <v>2.3366756903996229</v>
      </c>
      <c r="M54" s="329">
        <v>15</v>
      </c>
      <c r="N54" s="336">
        <f t="shared" si="3"/>
        <v>39.829699268175389</v>
      </c>
      <c r="O54" s="336">
        <f>N54*'[3]FR SO Table'!$D$3</f>
        <v>35.05013535599435</v>
      </c>
      <c r="P54" s="415">
        <f t="shared" si="5"/>
        <v>0</v>
      </c>
      <c r="Q54" s="417">
        <f>G54*M54*'[3]FR SO Table'!$D$3*$F$170</f>
        <v>2256.0340873031973</v>
      </c>
      <c r="R54" s="338" t="s">
        <v>810</v>
      </c>
      <c r="S54" s="775">
        <f>E54*VLOOKUP(R54,'[3]FR SO Table'!$A$37:$B$44,2,FALSE)</f>
        <v>3561.2591471383121</v>
      </c>
      <c r="T54" s="329">
        <f t="shared" si="4"/>
        <v>53007.994022067367</v>
      </c>
      <c r="V54" s="1009"/>
    </row>
    <row r="55" spans="1:23" ht="12.6" customHeight="1" x14ac:dyDescent="0.3">
      <c r="A55" s="1049"/>
      <c r="B55" s="1047"/>
      <c r="C55" s="329" t="s">
        <v>820</v>
      </c>
      <c r="D55" s="330">
        <v>82.8</v>
      </c>
      <c r="E55" s="331">
        <v>24.189117715950221</v>
      </c>
      <c r="F55" s="332">
        <v>3132.3553684210528</v>
      </c>
      <c r="G55" s="333">
        <f t="shared" si="0"/>
        <v>2.7163523544020465</v>
      </c>
      <c r="H55" s="334">
        <f t="shared" si="1"/>
        <v>0.29213910284964034</v>
      </c>
      <c r="I55" s="335">
        <v>2841.220599762752</v>
      </c>
      <c r="J55" s="336">
        <f>I55*'[3]%Non-FF'!$AF$3/1000</f>
        <v>7.9554176793357762E-3</v>
      </c>
      <c r="K55" s="336">
        <f t="shared" si="2"/>
        <v>2.7083969367227105</v>
      </c>
      <c r="L55" s="336">
        <f>K55*'[3]FR SO Table'!$D$3</f>
        <v>2.3833893043159855</v>
      </c>
      <c r="M55" s="329">
        <v>15</v>
      </c>
      <c r="N55" s="336">
        <f t="shared" si="3"/>
        <v>40.625954050840662</v>
      </c>
      <c r="O55" s="336">
        <f>N55*'[3]FR SO Table'!$D$3</f>
        <v>35.750839564739785</v>
      </c>
      <c r="P55" s="415">
        <f t="shared" si="5"/>
        <v>0</v>
      </c>
      <c r="Q55" s="417">
        <f>G55*M55*'[3]FR SO Table'!$D$3*$F$170</f>
        <v>2301.2285221929087</v>
      </c>
      <c r="R55" s="338" t="s">
        <v>810</v>
      </c>
      <c r="S55" s="775">
        <f>E55*VLOOKUP(R55,'[3]FR SO Table'!$A$37:$B$44,2,FALSE)</f>
        <v>3632.6007529928247</v>
      </c>
      <c r="T55" s="329">
        <f t="shared" si="4"/>
        <v>54055.528451107457</v>
      </c>
      <c r="V55" s="1009"/>
    </row>
    <row r="56" spans="1:23" ht="12.6" customHeight="1" x14ac:dyDescent="0.3">
      <c r="A56" s="1049"/>
      <c r="B56" s="1047"/>
      <c r="C56" s="329" t="s">
        <v>821</v>
      </c>
      <c r="D56" s="330">
        <v>82.8</v>
      </c>
      <c r="E56" s="331">
        <v>30.165609047046985</v>
      </c>
      <c r="F56" s="332">
        <v>3426.4881818181802</v>
      </c>
      <c r="G56" s="333">
        <f t="shared" si="0"/>
        <v>3.3874911900108913</v>
      </c>
      <c r="H56" s="334">
        <f t="shared" si="1"/>
        <v>0.36431894984356261</v>
      </c>
      <c r="I56" s="335">
        <v>3565.6878218819843</v>
      </c>
      <c r="J56" s="336">
        <f>I56*'[3]%Non-FF'!$AF$3/1000</f>
        <v>9.9839259012696451E-3</v>
      </c>
      <c r="K56" s="336">
        <f t="shared" si="2"/>
        <v>3.3775072641096218</v>
      </c>
      <c r="L56" s="336">
        <f>K56*'[3]FR SO Table'!$D$3</f>
        <v>2.9722063924164677</v>
      </c>
      <c r="M56" s="329">
        <v>15</v>
      </c>
      <c r="N56" s="336">
        <f t="shared" si="3"/>
        <v>50.662608961644324</v>
      </c>
      <c r="O56" s="336">
        <f>N56*'[3]FR SO Table'!$D$3</f>
        <v>44.583095886247008</v>
      </c>
      <c r="P56" s="415">
        <f t="shared" si="5"/>
        <v>0</v>
      </c>
      <c r="Q56" s="417">
        <f>G56*M56*'[3]FR SO Table'!$D$3*$F$170</f>
        <v>2869.8012363886678</v>
      </c>
      <c r="R56" s="338" t="s">
        <v>810</v>
      </c>
      <c r="S56" s="775">
        <f>E56*VLOOKUP(R56,'[3]FR SO Table'!$A$37:$B$44,2,FALSE)</f>
        <v>4530.1203386402813</v>
      </c>
      <c r="T56" s="329">
        <f t="shared" si="4"/>
        <v>67273.379292831931</v>
      </c>
      <c r="V56" s="1009"/>
    </row>
    <row r="57" spans="1:23" ht="12.9" customHeight="1" x14ac:dyDescent="0.3">
      <c r="A57" s="1049"/>
      <c r="B57" s="1047"/>
      <c r="C57" s="329" t="s">
        <v>822</v>
      </c>
      <c r="D57" s="330">
        <v>82.8</v>
      </c>
      <c r="E57" s="331">
        <v>52.014805001372743</v>
      </c>
      <c r="F57" s="332">
        <v>3981.0000000000005</v>
      </c>
      <c r="G57" s="333">
        <f t="shared" si="0"/>
        <v>5.8410786076780177</v>
      </c>
      <c r="H57" s="334">
        <f t="shared" si="1"/>
        <v>0.62819812803590269</v>
      </c>
      <c r="I57" s="335">
        <v>6128.3182957491554</v>
      </c>
      <c r="J57" s="336">
        <f>I57*'[3]%Non-FF'!$AF$3/1000</f>
        <v>1.7159291228097787E-2</v>
      </c>
      <c r="K57" s="336">
        <f t="shared" si="2"/>
        <v>5.8239193164499197</v>
      </c>
      <c r="L57" s="336">
        <f>K57*'[3]FR SO Table'!$D$3</f>
        <v>5.12504899847593</v>
      </c>
      <c r="M57" s="329">
        <v>15</v>
      </c>
      <c r="N57" s="336">
        <f t="shared" si="3"/>
        <v>87.358789746748798</v>
      </c>
      <c r="O57" s="336">
        <f>N57*'[3]FR SO Table'!$D$3</f>
        <v>76.875734977138947</v>
      </c>
      <c r="P57" s="415">
        <f t="shared" si="5"/>
        <v>0</v>
      </c>
      <c r="Q57" s="417">
        <f>G57*M57*'[3]FR SO Table'!$D$3*$F$170</f>
        <v>4948.4216105382338</v>
      </c>
      <c r="R57" s="338" t="s">
        <v>810</v>
      </c>
      <c r="S57" s="775">
        <f>E57*VLOOKUP(R57,'[3]FR SO Table'!$A$37:$B$44,2,FALSE)</f>
        <v>7811.3233410811526</v>
      </c>
      <c r="T57" s="329">
        <f t="shared" si="4"/>
        <v>115159.29853492056</v>
      </c>
      <c r="V57" s="1009"/>
    </row>
    <row r="58" spans="1:23" ht="12.9" customHeight="1" x14ac:dyDescent="0.3">
      <c r="A58" s="1050"/>
      <c r="B58" s="1047"/>
      <c r="C58" s="329" t="s">
        <v>823</v>
      </c>
      <c r="D58" s="330">
        <v>82.8</v>
      </c>
      <c r="E58" s="331">
        <v>73.470912064438977</v>
      </c>
      <c r="F58" s="332">
        <v>4631.1000000000004</v>
      </c>
      <c r="G58" s="333">
        <f t="shared" si="0"/>
        <v>8.2505235333451967</v>
      </c>
      <c r="H58" s="334">
        <f t="shared" si="1"/>
        <v>0.88732985585071233</v>
      </c>
      <c r="I58" s="335">
        <v>8656.2495927456839</v>
      </c>
      <c r="J58" s="336">
        <f>I58*'[3]%Non-FF'!$AF$3/1000</f>
        <v>2.4237498859688126E-2</v>
      </c>
      <c r="K58" s="336">
        <f t="shared" si="2"/>
        <v>8.2262860344855078</v>
      </c>
      <c r="L58" s="336">
        <f>K58*'[3]FR SO Table'!$D$3</f>
        <v>7.2391317103472481</v>
      </c>
      <c r="M58" s="329">
        <v>15</v>
      </c>
      <c r="N58" s="336">
        <f t="shared" si="3"/>
        <v>123.39429051728261</v>
      </c>
      <c r="O58" s="336">
        <f>N58*'[3]FR SO Table'!$D$3</f>
        <v>108.58697565520872</v>
      </c>
      <c r="P58" s="415">
        <f t="shared" si="5"/>
        <v>0</v>
      </c>
      <c r="Q58" s="417">
        <f>G58*M58*'[3]FR SO Table'!$D$3*$F$170</f>
        <v>6989.6455248852517</v>
      </c>
      <c r="R58" s="338" t="s">
        <v>810</v>
      </c>
      <c r="S58" s="775">
        <f>E58*VLOOKUP(R58,'[3]FR SO Table'!$A$37:$B$44,2,FALSE)</f>
        <v>11033.494219277125</v>
      </c>
      <c r="T58" s="329">
        <f t="shared" si="4"/>
        <v>161491.0487357853</v>
      </c>
      <c r="V58" s="1009"/>
    </row>
    <row r="59" spans="1:23" ht="13.35" customHeight="1" x14ac:dyDescent="0.3">
      <c r="A59" s="1045" t="s">
        <v>751</v>
      </c>
      <c r="B59" s="1046" t="s">
        <v>808</v>
      </c>
      <c r="C59" s="329" t="s">
        <v>824</v>
      </c>
      <c r="D59" s="331">
        <f>E59</f>
        <v>14.693476388342223</v>
      </c>
      <c r="E59" s="331">
        <v>14.693476388342223</v>
      </c>
      <c r="F59" s="332">
        <v>2087.41</v>
      </c>
      <c r="G59" s="333">
        <f t="shared" si="0"/>
        <v>1.6500254226100195</v>
      </c>
      <c r="H59" s="334">
        <f t="shared" si="1"/>
        <v>1</v>
      </c>
      <c r="I59" s="335">
        <v>1154.7398137480388</v>
      </c>
      <c r="J59" s="336">
        <f>I59*'[3]%Non-FF'!$AG$3/1000</f>
        <v>3.7306978598013892E-3</v>
      </c>
      <c r="K59" s="336">
        <f t="shared" si="2"/>
        <v>1.6462947247502182</v>
      </c>
      <c r="L59" s="336">
        <f>K59*'[3]FR SO Table'!$D$4</f>
        <v>1.8109241972252401</v>
      </c>
      <c r="M59" s="329">
        <v>12</v>
      </c>
      <c r="N59" s="336">
        <f t="shared" si="3"/>
        <v>19.755536697002618</v>
      </c>
      <c r="O59" s="336">
        <f>N59*'[3]FR SO Table'!$D$4</f>
        <v>21.731090366702883</v>
      </c>
      <c r="P59" s="415">
        <f>O59*F170</f>
        <v>1394.7013797349912</v>
      </c>
      <c r="Q59" s="416">
        <f>G59*M59*'[3]FR SO Table'!$D$4*F170</f>
        <v>1397.8619374250661</v>
      </c>
      <c r="R59" s="338" t="s">
        <v>810</v>
      </c>
      <c r="S59" s="775">
        <f>E59*VLOOKUP(R59,'[3]FR SO Table'!$A$37:$B$44,2,FALSE)</f>
        <v>2206.5928166192934</v>
      </c>
      <c r="T59" s="329">
        <f t="shared" si="4"/>
        <v>26380.328226250545</v>
      </c>
      <c r="V59" s="1009"/>
    </row>
    <row r="60" spans="1:23" ht="14.4" x14ac:dyDescent="0.3">
      <c r="A60" s="1045"/>
      <c r="B60" s="1046"/>
      <c r="C60" s="329" t="s">
        <v>825</v>
      </c>
      <c r="D60" s="331">
        <f t="shared" ref="D60:D64" si="6">E60</f>
        <v>15.08487081343976</v>
      </c>
      <c r="E60" s="331">
        <v>15.08487081343976</v>
      </c>
      <c r="F60" s="332">
        <v>2087.41</v>
      </c>
      <c r="G60" s="333">
        <f t="shared" si="0"/>
        <v>1.6939776320538755</v>
      </c>
      <c r="H60" s="334">
        <f t="shared" si="1"/>
        <v>1</v>
      </c>
      <c r="I60" s="335">
        <v>909.76346897849214</v>
      </c>
      <c r="J60" s="336">
        <f>I60*'[3]%Non-FF'!$AG$3/1000</f>
        <v>2.9392358228536161E-3</v>
      </c>
      <c r="K60" s="336">
        <f t="shared" si="2"/>
        <v>1.6910383962310218</v>
      </c>
      <c r="L60" s="336">
        <f>K60*'[3]FR SO Table'!$D$4</f>
        <v>1.8601422358541242</v>
      </c>
      <c r="M60" s="329">
        <v>12</v>
      </c>
      <c r="N60" s="336">
        <f t="shared" si="3"/>
        <v>20.292460754772261</v>
      </c>
      <c r="O60" s="336">
        <f>N60*'[3]FR SO Table'!$D$4</f>
        <v>22.321706830249489</v>
      </c>
      <c r="P60" s="415">
        <f>O60*F170</f>
        <v>1432.6071443654123</v>
      </c>
      <c r="Q60" s="416">
        <f>G60*M60*'[3]FR SO Table'!$D$4*F170</f>
        <v>1435.0971944128744</v>
      </c>
      <c r="R60" s="338" t="s">
        <v>810</v>
      </c>
      <c r="S60" s="775">
        <f>E60*VLOOKUP(R60,'[3]FR SO Table'!$A$37:$B$44,2,FALSE)</f>
        <v>2265.3704744083161</v>
      </c>
      <c r="T60" s="329">
        <f t="shared" si="4"/>
        <v>27104.544196294803</v>
      </c>
      <c r="V60" s="1009"/>
    </row>
    <row r="61" spans="1:23" ht="14.4" x14ac:dyDescent="0.3">
      <c r="A61" s="1045"/>
      <c r="B61" s="1046"/>
      <c r="C61" s="329" t="s">
        <v>826</v>
      </c>
      <c r="D61" s="331">
        <f t="shared" si="6"/>
        <v>15.176666479673139</v>
      </c>
      <c r="E61" s="331">
        <v>15.176666479673139</v>
      </c>
      <c r="F61" s="332">
        <v>2087.41</v>
      </c>
      <c r="G61" s="333">
        <f t="shared" si="0"/>
        <v>1.7042859606595329</v>
      </c>
      <c r="H61" s="334">
        <f t="shared" si="1"/>
        <v>1</v>
      </c>
      <c r="I61" s="335">
        <v>852.3079577664098</v>
      </c>
      <c r="J61" s="336">
        <f>I61*'[3]%Non-FF'!$AG$3/1000</f>
        <v>2.7536103250915024E-3</v>
      </c>
      <c r="K61" s="336">
        <f t="shared" si="2"/>
        <v>1.7015323503344413</v>
      </c>
      <c r="L61" s="336">
        <f>K61*'[3]FR SO Table'!$D$4</f>
        <v>1.8716855853678855</v>
      </c>
      <c r="M61" s="329">
        <v>12</v>
      </c>
      <c r="N61" s="336">
        <f t="shared" si="3"/>
        <v>20.418388204013297</v>
      </c>
      <c r="O61" s="336">
        <f>N61*'[3]FR SO Table'!$D$4</f>
        <v>22.460227024414628</v>
      </c>
      <c r="P61" s="415">
        <f>O61*F170</f>
        <v>1441.497370426931</v>
      </c>
      <c r="Q61" s="416">
        <f>G61*M61*'[3]FR SO Table'!$D$4*F170</f>
        <v>1443.8301630077008</v>
      </c>
      <c r="R61" s="338" t="s">
        <v>810</v>
      </c>
      <c r="S61" s="775">
        <f>E61*VLOOKUP(R61,'[3]FR SO Table'!$A$37:$B$44,2,FALSE)</f>
        <v>2279.155888584914</v>
      </c>
      <c r="T61" s="329">
        <f t="shared" si="4"/>
        <v>27274.559776771366</v>
      </c>
      <c r="V61" s="1009"/>
    </row>
    <row r="62" spans="1:23" ht="14.4" x14ac:dyDescent="0.3">
      <c r="A62" s="1045"/>
      <c r="B62" s="1046"/>
      <c r="C62" s="329" t="s">
        <v>827</v>
      </c>
      <c r="D62" s="331">
        <f t="shared" si="6"/>
        <v>12.462941993114885</v>
      </c>
      <c r="E62" s="331">
        <v>12.462941993114885</v>
      </c>
      <c r="F62" s="332">
        <v>2820.23</v>
      </c>
      <c r="G62" s="333">
        <f t="shared" si="0"/>
        <v>1.3995443001813459</v>
      </c>
      <c r="H62" s="334">
        <f t="shared" si="1"/>
        <v>1</v>
      </c>
      <c r="I62" s="335">
        <v>1112.03493897925</v>
      </c>
      <c r="J62" s="336">
        <f>I62*'[3]%Non-FF'!$AG$3/1000</f>
        <v>3.5927282643945318E-3</v>
      </c>
      <c r="K62" s="336">
        <f t="shared" si="2"/>
        <v>1.3959515719169513</v>
      </c>
      <c r="L62" s="336">
        <f>K62*'[3]FR SO Table'!$D$4</f>
        <v>1.5355467291086466</v>
      </c>
      <c r="M62" s="329">
        <v>12</v>
      </c>
      <c r="N62" s="336">
        <f t="shared" si="3"/>
        <v>16.751418863003416</v>
      </c>
      <c r="O62" s="336">
        <f>N62*'[3]FR SO Table'!$D$4</f>
        <v>18.426560749303757</v>
      </c>
      <c r="P62" s="415">
        <f>O62*F170</f>
        <v>1182.6166688903152</v>
      </c>
      <c r="Q62" s="416">
        <f>G62*M62*'[3]FR SO Table'!$D$4*F170</f>
        <v>1185.6603420504321</v>
      </c>
      <c r="R62" s="338" t="s">
        <v>810</v>
      </c>
      <c r="S62" s="775">
        <f>E62*VLOOKUP(R62,'[3]FR SO Table'!$A$37:$B$44,2,FALSE)</f>
        <v>1871.6223138160281</v>
      </c>
      <c r="T62" s="329">
        <f t="shared" si="4"/>
        <v>22378.777001146918</v>
      </c>
    </row>
    <row r="63" spans="1:23" ht="14.4" x14ac:dyDescent="0.3">
      <c r="A63" s="1045"/>
      <c r="B63" s="1046"/>
      <c r="C63" s="329" t="s">
        <v>828</v>
      </c>
      <c r="D63" s="331">
        <f t="shared" si="6"/>
        <v>12.857083604104059</v>
      </c>
      <c r="E63" s="331">
        <v>12.857083604104059</v>
      </c>
      <c r="F63" s="332">
        <v>2820.23</v>
      </c>
      <c r="G63" s="333">
        <f t="shared" si="0"/>
        <v>1.443805008883106</v>
      </c>
      <c r="H63" s="334">
        <f t="shared" si="1"/>
        <v>1</v>
      </c>
      <c r="I63" s="335">
        <v>865.33911249258995</v>
      </c>
      <c r="J63" s="336">
        <f>I63*'[3]%Non-FF'!$AG$3/1000</f>
        <v>2.7957109788222384E-3</v>
      </c>
      <c r="K63" s="336">
        <f t="shared" si="2"/>
        <v>1.4410092979042839</v>
      </c>
      <c r="L63" s="336">
        <f>K63*'[3]FR SO Table'!$D$4</f>
        <v>1.5851102276947124</v>
      </c>
      <c r="M63" s="329">
        <v>12</v>
      </c>
      <c r="N63" s="336">
        <f t="shared" si="3"/>
        <v>17.292111574851408</v>
      </c>
      <c r="O63" s="336">
        <f>N63*'[3]FR SO Table'!$D$4</f>
        <v>19.02132273233655</v>
      </c>
      <c r="P63" s="415">
        <f>O63*F170</f>
        <v>1220.7884929613599</v>
      </c>
      <c r="Q63" s="416">
        <f>G63*M63*'[3]FR SO Table'!$D$4*F170</f>
        <v>1223.1569522055545</v>
      </c>
      <c r="R63" s="338" t="s">
        <v>810</v>
      </c>
      <c r="S63" s="775">
        <f>E63*VLOOKUP(R63,'[3]FR SO Table'!$A$37:$B$44,2,FALSE)</f>
        <v>1930.8125302463272</v>
      </c>
      <c r="T63" s="329">
        <f t="shared" si="4"/>
        <v>23104.974437489644</v>
      </c>
    </row>
    <row r="64" spans="1:23" ht="14.4" x14ac:dyDescent="0.3">
      <c r="A64" s="1045"/>
      <c r="B64" s="1046"/>
      <c r="C64" s="329" t="s">
        <v>829</v>
      </c>
      <c r="D64" s="331">
        <f t="shared" si="6"/>
        <v>12.899180088699795</v>
      </c>
      <c r="E64" s="331">
        <v>12.899180088699795</v>
      </c>
      <c r="F64" s="332">
        <v>2820.23</v>
      </c>
      <c r="G64" s="333">
        <f t="shared" si="0"/>
        <v>1.4485322951936885</v>
      </c>
      <c r="H64" s="334">
        <f t="shared" si="1"/>
        <v>1</v>
      </c>
      <c r="I64" s="335">
        <v>838.99064592630941</v>
      </c>
      <c r="J64" s="336">
        <f>I64*'[3]%Non-FF'!$AG$3/1000</f>
        <v>2.7105851637619469E-3</v>
      </c>
      <c r="K64" s="336">
        <f t="shared" si="2"/>
        <v>1.4458217100299267</v>
      </c>
      <c r="L64" s="336">
        <f>K64*'[3]FR SO Table'!$D$4</f>
        <v>1.5904038810329195</v>
      </c>
      <c r="M64" s="329">
        <v>12</v>
      </c>
      <c r="N64" s="336">
        <f t="shared" si="3"/>
        <v>17.349860520359119</v>
      </c>
      <c r="O64" s="336">
        <f>N64*'[3]FR SO Table'!$D$4</f>
        <v>19.084846572395033</v>
      </c>
      <c r="P64" s="415">
        <f>O64*F170</f>
        <v>1224.8654530163133</v>
      </c>
      <c r="Q64" s="416">
        <f>G64*M64*'[3]FR SO Table'!$D$4*F170</f>
        <v>1227.1617957130086</v>
      </c>
      <c r="R64" s="338" t="s">
        <v>810</v>
      </c>
      <c r="S64" s="775">
        <f>E64*VLOOKUP(R64,'[3]FR SO Table'!$A$37:$B$44,2,FALSE)</f>
        <v>1937.1343698204919</v>
      </c>
      <c r="T64" s="329">
        <f t="shared" si="4"/>
        <v>23182.603225649316</v>
      </c>
    </row>
    <row r="65" spans="1:20" ht="13.35" customHeight="1" x14ac:dyDescent="0.3">
      <c r="A65" s="1045" t="s">
        <v>830</v>
      </c>
      <c r="B65" s="1046" t="s">
        <v>808</v>
      </c>
      <c r="C65" s="329" t="s">
        <v>831</v>
      </c>
      <c r="D65" s="330">
        <f>138480/1000000</f>
        <v>0.13847999999999999</v>
      </c>
      <c r="E65" s="331">
        <v>4.15E-3</v>
      </c>
      <c r="F65" s="332">
        <v>0.03</v>
      </c>
      <c r="G65" s="333">
        <f t="shared" si="0"/>
        <v>4.6603032004491861E-4</v>
      </c>
      <c r="H65" s="334">
        <f t="shared" si="1"/>
        <v>2.9968226458694399E-2</v>
      </c>
      <c r="I65" s="335">
        <v>0</v>
      </c>
      <c r="J65" s="336">
        <v>0</v>
      </c>
      <c r="K65" s="336">
        <f>G65-J65</f>
        <v>4.6603032004491861E-4</v>
      </c>
      <c r="L65" s="336">
        <f>K65*'[3]FR SO Table'!$D$5</f>
        <v>4.6603032004491861E-4</v>
      </c>
      <c r="M65" s="329">
        <v>1</v>
      </c>
      <c r="N65" s="336">
        <f t="shared" si="3"/>
        <v>4.6603032004491861E-4</v>
      </c>
      <c r="O65" s="336">
        <f>N65*'[3]FR SO Table'!$D$5</f>
        <v>4.6603032004491861E-4</v>
      </c>
      <c r="P65" s="415">
        <f>O65*F170</f>
        <v>2.990982594048288E-2</v>
      </c>
      <c r="Q65" s="416">
        <f>G65*M65*'[3]FR SO Table'!$D$5*F170</f>
        <v>2.990982594048288E-2</v>
      </c>
      <c r="R65" s="338" t="s">
        <v>832</v>
      </c>
      <c r="S65" s="775">
        <f>E65*VLOOKUP(R65,'[3]FR SO Table'!$A$37:$B$44,2,FALSE)</f>
        <v>0.66939500000000007</v>
      </c>
      <c r="T65" s="329">
        <f t="shared" si="4"/>
        <v>0.66939500000000007</v>
      </c>
    </row>
    <row r="66" spans="1:20" ht="14.4" x14ac:dyDescent="0.3">
      <c r="A66" s="1045"/>
      <c r="B66" s="1046"/>
      <c r="C66" s="329" t="s">
        <v>833</v>
      </c>
      <c r="D66" s="330">
        <f t="shared" ref="D66:D68" si="7">138480/1000000</f>
        <v>0.13847999999999999</v>
      </c>
      <c r="E66" s="331">
        <v>1.11E-2</v>
      </c>
      <c r="F66" s="332">
        <v>0.08</v>
      </c>
      <c r="G66" s="333">
        <f t="shared" si="0"/>
        <v>1.2464907355418306E-3</v>
      </c>
      <c r="H66" s="334">
        <f t="shared" si="1"/>
        <v>8.0155979202772967E-2</v>
      </c>
      <c r="I66" s="335">
        <v>0</v>
      </c>
      <c r="J66" s="336">
        <v>0</v>
      </c>
      <c r="K66" s="336">
        <f t="shared" si="2"/>
        <v>1.2464907355418306E-3</v>
      </c>
      <c r="L66" s="336">
        <f>K66*'[3]FR SO Table'!$D$5</f>
        <v>1.2464907355418306E-3</v>
      </c>
      <c r="M66" s="329">
        <v>1</v>
      </c>
      <c r="N66" s="336">
        <f t="shared" si="3"/>
        <v>1.2464907355418306E-3</v>
      </c>
      <c r="O66" s="336">
        <f>N66*'[3]FR SO Table'!$D$5</f>
        <v>1.2464907355418306E-3</v>
      </c>
      <c r="P66" s="415">
        <f>O66*F170</f>
        <v>7.9999775407074702E-2</v>
      </c>
      <c r="Q66" s="416">
        <f>G66*M66*'[3]FR SO Table'!$D$5*F170</f>
        <v>7.9999775407074702E-2</v>
      </c>
      <c r="R66" s="338" t="s">
        <v>832</v>
      </c>
      <c r="S66" s="775">
        <f>E66*VLOOKUP(R66,'[3]FR SO Table'!$A$37:$B$44,2,FALSE)</f>
        <v>1.7904300000000002</v>
      </c>
      <c r="T66" s="329">
        <f t="shared" si="4"/>
        <v>1.7904300000000002</v>
      </c>
    </row>
    <row r="67" spans="1:20" ht="14.4" x14ac:dyDescent="0.3">
      <c r="A67" s="1045"/>
      <c r="B67" s="1046"/>
      <c r="C67" s="329" t="s">
        <v>834</v>
      </c>
      <c r="D67" s="330">
        <f t="shared" si="7"/>
        <v>0.13847999999999999</v>
      </c>
      <c r="E67" s="331">
        <v>2.4899999999999999E-2</v>
      </c>
      <c r="F67" s="332">
        <f>0.18</f>
        <v>0.18</v>
      </c>
      <c r="G67" s="333">
        <f t="shared" ref="G67:G85" si="8">E67/$G$170</f>
        <v>2.7961819202695117E-3</v>
      </c>
      <c r="H67" s="334">
        <f t="shared" ref="H67:H78" si="9">E67/D67</f>
        <v>0.17980935875216639</v>
      </c>
      <c r="I67" s="335">
        <v>0</v>
      </c>
      <c r="J67" s="336">
        <v>0</v>
      </c>
      <c r="K67" s="336">
        <f t="shared" ref="K67:K148" si="10">G67-J67</f>
        <v>2.7961819202695117E-3</v>
      </c>
      <c r="L67" s="336">
        <f>K67*'[3]FR SO Table'!$D$5</f>
        <v>2.7961819202695117E-3</v>
      </c>
      <c r="M67" s="329">
        <v>1</v>
      </c>
      <c r="N67" s="336">
        <f t="shared" ref="N67:N147" si="11">K67*M67</f>
        <v>2.7961819202695117E-3</v>
      </c>
      <c r="O67" s="336">
        <f>N67*'[3]FR SO Table'!$D$5</f>
        <v>2.7961819202695117E-3</v>
      </c>
      <c r="P67" s="415">
        <f>O67*F170</f>
        <v>0.17945895564289727</v>
      </c>
      <c r="Q67" s="416">
        <f>G67*M67*'[3]FR SO Table'!$D$5*F170</f>
        <v>0.17945895564289727</v>
      </c>
      <c r="R67" s="338" t="s">
        <v>832</v>
      </c>
      <c r="S67" s="775">
        <f>E67*VLOOKUP(R67,'[3]FR SO Table'!$A$37:$B$44,2,FALSE)</f>
        <v>4.0163700000000002</v>
      </c>
      <c r="T67" s="329">
        <f t="shared" si="4"/>
        <v>4.0163700000000002</v>
      </c>
    </row>
    <row r="68" spans="1:20" ht="14.4" x14ac:dyDescent="0.3">
      <c r="A68" s="1045"/>
      <c r="B68" s="1046"/>
      <c r="C68" s="329" t="s">
        <v>835</v>
      </c>
      <c r="D68" s="330">
        <f t="shared" si="7"/>
        <v>0.13847999999999999</v>
      </c>
      <c r="E68" s="331">
        <v>0.13600000000000001</v>
      </c>
      <c r="F68" s="332">
        <f>0.98</f>
        <v>0.98</v>
      </c>
      <c r="G68" s="333">
        <f t="shared" si="8"/>
        <v>1.5272318921953961E-2</v>
      </c>
      <c r="H68" s="334">
        <f t="shared" si="9"/>
        <v>0.98209127671865981</v>
      </c>
      <c r="I68" s="335">
        <v>0</v>
      </c>
      <c r="J68" s="336">
        <v>0</v>
      </c>
      <c r="K68" s="336">
        <f t="shared" si="10"/>
        <v>1.5272318921953961E-2</v>
      </c>
      <c r="L68" s="336">
        <f>K68*'[3]FR SO Table'!$D$5</f>
        <v>1.5272318921953961E-2</v>
      </c>
      <c r="M68" s="329">
        <v>1</v>
      </c>
      <c r="N68" s="336">
        <f t="shared" si="11"/>
        <v>1.5272318921953961E-2</v>
      </c>
      <c r="O68" s="336">
        <f>N68*'[3]FR SO Table'!$D$5</f>
        <v>1.5272318921953961E-2</v>
      </c>
      <c r="P68" s="415">
        <f>O68*F170</f>
        <v>0.9801774284110053</v>
      </c>
      <c r="Q68" s="416">
        <f>G68*M68*'[3]FR SO Table'!$D$5*F170</f>
        <v>0.9801774284110053</v>
      </c>
      <c r="R68" s="338" t="s">
        <v>832</v>
      </c>
      <c r="S68" s="775">
        <f>E68*VLOOKUP(R68,'[3]FR SO Table'!$A$37:$B$44,2,FALSE)</f>
        <v>21.936800000000002</v>
      </c>
      <c r="T68" s="329">
        <f t="shared" si="4"/>
        <v>21.936800000000002</v>
      </c>
    </row>
    <row r="69" spans="1:20" ht="12.6" customHeight="1" x14ac:dyDescent="0.3">
      <c r="A69" s="1045" t="s">
        <v>753</v>
      </c>
      <c r="B69" s="1046" t="s">
        <v>808</v>
      </c>
      <c r="C69" s="329" t="s">
        <v>836</v>
      </c>
      <c r="D69" s="331">
        <f>E69/90%</f>
        <v>109.74666666666667</v>
      </c>
      <c r="E69" s="330">
        <v>98.772000000000006</v>
      </c>
      <c r="F69" s="332">
        <v>20000</v>
      </c>
      <c r="G69" s="333">
        <f t="shared" si="8"/>
        <v>11.091746209994387</v>
      </c>
      <c r="H69" s="334">
        <f t="shared" si="9"/>
        <v>0.9</v>
      </c>
      <c r="I69" s="335">
        <v>0</v>
      </c>
      <c r="J69" s="336">
        <f>I69*'[3]%Non-FF'!$AD$3/1000</f>
        <v>0</v>
      </c>
      <c r="K69" s="336">
        <f t="shared" si="10"/>
        <v>11.091746209994387</v>
      </c>
      <c r="L69" s="336">
        <f>K69*'[3]FR SO Table'!$D$7</f>
        <v>11.091746209994387</v>
      </c>
      <c r="M69" s="329">
        <v>20</v>
      </c>
      <c r="N69" s="336">
        <f t="shared" si="11"/>
        <v>221.83492419988772</v>
      </c>
      <c r="O69" s="336">
        <f>N69*'[3]FR SO Table'!$D$7</f>
        <v>221.83492419988772</v>
      </c>
      <c r="P69" s="415">
        <f>O69*F170</f>
        <v>14237.365435148795</v>
      </c>
      <c r="Q69" s="416">
        <f>G69*M69*'[3]FR SO Table'!$D$7*F170</f>
        <v>14237.365435148795</v>
      </c>
      <c r="R69" s="338" t="s">
        <v>810</v>
      </c>
      <c r="S69" s="775">
        <f>E69*VLOOKUP(R69,'[3]FR SO Table'!$A$37:$B$44,2,FALSE)</f>
        <v>14833.085100000002</v>
      </c>
      <c r="T69" s="329">
        <f t="shared" si="4"/>
        <v>296661.70200000005</v>
      </c>
    </row>
    <row r="70" spans="1:20" ht="12.6" customHeight="1" x14ac:dyDescent="0.3">
      <c r="A70" s="1045"/>
      <c r="B70" s="1046"/>
      <c r="C70" s="329" t="s">
        <v>837</v>
      </c>
      <c r="D70" s="331">
        <f t="shared" ref="D70:D74" si="12">E70/90%</f>
        <v>80.183333333333337</v>
      </c>
      <c r="E70" s="330">
        <v>72.165000000000006</v>
      </c>
      <c r="F70" s="332">
        <v>20000</v>
      </c>
      <c r="G70" s="333">
        <f t="shared" si="8"/>
        <v>8.1038742279618212</v>
      </c>
      <c r="H70" s="334">
        <f t="shared" si="9"/>
        <v>0.9</v>
      </c>
      <c r="I70" s="335">
        <v>0</v>
      </c>
      <c r="J70" s="336">
        <f>I70*'[3]%Non-FF'!$AD$3/1000</f>
        <v>0</v>
      </c>
      <c r="K70" s="336">
        <f t="shared" si="10"/>
        <v>8.1038742279618212</v>
      </c>
      <c r="L70" s="336">
        <f>K70*'[3]FR SO Table'!$D$7</f>
        <v>8.1038742279618212</v>
      </c>
      <c r="M70" s="329">
        <v>20</v>
      </c>
      <c r="N70" s="336">
        <f t="shared" si="11"/>
        <v>162.07748455923644</v>
      </c>
      <c r="O70" s="336">
        <f>N70*'[3]FR SO Table'!$D$7</f>
        <v>162.07748455923644</v>
      </c>
      <c r="P70" s="415">
        <f>O70*F170</f>
        <v>10402.132959011797</v>
      </c>
      <c r="Q70" s="416">
        <f>G70*M70*'[3]FR SO Table'!$D$7*F170</f>
        <v>10402.132959011797</v>
      </c>
      <c r="R70" s="338" t="s">
        <v>810</v>
      </c>
      <c r="S70" s="775">
        <f>E70*VLOOKUP(R70,'[3]FR SO Table'!$A$37:$B$44,2,FALSE)</f>
        <v>10837.378875000002</v>
      </c>
      <c r="T70" s="329">
        <f t="shared" si="4"/>
        <v>216747.57750000004</v>
      </c>
    </row>
    <row r="71" spans="1:20" ht="12.6" customHeight="1" x14ac:dyDescent="0.3">
      <c r="A71" s="1045"/>
      <c r="B71" s="1046"/>
      <c r="C71" s="329" t="s">
        <v>838</v>
      </c>
      <c r="D71" s="331">
        <f t="shared" si="12"/>
        <v>56.277777777777771</v>
      </c>
      <c r="E71" s="330">
        <v>50.65</v>
      </c>
      <c r="F71" s="332">
        <v>4400</v>
      </c>
      <c r="G71" s="333">
        <f t="shared" si="8"/>
        <v>5.6878158338012357</v>
      </c>
      <c r="H71" s="334">
        <f t="shared" si="9"/>
        <v>0.9</v>
      </c>
      <c r="I71" s="335">
        <v>12.5</v>
      </c>
      <c r="J71" s="336">
        <f>I71*'[3]%Non-FF'!$AH$3/1000</f>
        <v>4.3749999999999342E-5</v>
      </c>
      <c r="K71" s="336">
        <f>G71-J71</f>
        <v>5.687772083801236</v>
      </c>
      <c r="L71" s="336">
        <f>K71*'[3]FR SO Table'!$D$6</f>
        <v>5.0052394337450883</v>
      </c>
      <c r="M71" s="329">
        <v>18</v>
      </c>
      <c r="N71" s="336">
        <f t="shared" si="11"/>
        <v>102.37989750842225</v>
      </c>
      <c r="O71" s="336">
        <f>N71*'[3]FR SO Table'!$D$6</f>
        <v>90.094309807411591</v>
      </c>
      <c r="P71" s="415">
        <f>O71*$F$170</f>
        <v>5782.2528034396764</v>
      </c>
      <c r="Q71" s="416">
        <f>G71*M71*'[3]FR SO Table'!$D$6*$F$170</f>
        <v>5782.2972801796768</v>
      </c>
      <c r="R71" s="338" t="s">
        <v>810</v>
      </c>
      <c r="S71" s="775">
        <f>E71*VLOOKUP(R71,'[3]FR SO Table'!$A$37:$B$44,2,FALSE)</f>
        <v>7606.3637500000004</v>
      </c>
      <c r="T71" s="329">
        <f t="shared" si="4"/>
        <v>136908.55748854688</v>
      </c>
    </row>
    <row r="72" spans="1:20" ht="12.6" customHeight="1" x14ac:dyDescent="0.3">
      <c r="A72" s="1045"/>
      <c r="B72" s="1046"/>
      <c r="C72" s="329" t="s">
        <v>839</v>
      </c>
      <c r="D72" s="331">
        <f t="shared" si="12"/>
        <v>26.011111111111109</v>
      </c>
      <c r="E72" s="330">
        <v>23.41</v>
      </c>
      <c r="F72" s="332">
        <v>4400</v>
      </c>
      <c r="G72" s="333">
        <f t="shared" si="8"/>
        <v>2.6288601909039868</v>
      </c>
      <c r="H72" s="334">
        <f t="shared" si="9"/>
        <v>0.9</v>
      </c>
      <c r="I72" s="335">
        <v>304.10000000000002</v>
      </c>
      <c r="J72" s="336">
        <f>I72*'[3]%Non-FF'!$AH$3/1000</f>
        <v>1.0643499999999841E-3</v>
      </c>
      <c r="K72" s="336">
        <f t="shared" si="10"/>
        <v>2.6277958409039868</v>
      </c>
      <c r="L72" s="336">
        <f>K72*'[3]FR SO Table'!$D$6</f>
        <v>2.3124603399955088</v>
      </c>
      <c r="M72" s="329">
        <v>18</v>
      </c>
      <c r="N72" s="336">
        <f t="shared" si="11"/>
        <v>47.300325136271759</v>
      </c>
      <c r="O72" s="336">
        <f>N72*'[3]FR SO Table'!$D$6</f>
        <v>41.624286119919155</v>
      </c>
      <c r="P72" s="415">
        <f>O72*$F$170</f>
        <v>2671.4466831764116</v>
      </c>
      <c r="Q72" s="416">
        <f>G72*M72*'[3]FR SO Table'!$D$6*$F$170</f>
        <v>2672.5287133071315</v>
      </c>
      <c r="R72" s="338" t="s">
        <v>810</v>
      </c>
      <c r="S72" s="775">
        <f>E72*VLOOKUP(R72,'[3]FR SO Table'!$A$37:$B$44,2,FALSE)</f>
        <v>3515.5967500000002</v>
      </c>
      <c r="T72" s="329">
        <f t="shared" si="4"/>
        <v>63213.388642784485</v>
      </c>
    </row>
    <row r="73" spans="1:20" ht="12.9" customHeight="1" x14ac:dyDescent="0.3">
      <c r="A73" s="1045"/>
      <c r="B73" s="1046"/>
      <c r="C73" s="329" t="s">
        <v>840</v>
      </c>
      <c r="D73" s="331">
        <f t="shared" si="12"/>
        <v>57.1</v>
      </c>
      <c r="E73" s="330">
        <v>51.39</v>
      </c>
      <c r="F73" s="332">
        <v>3319</v>
      </c>
      <c r="G73" s="333">
        <f t="shared" si="8"/>
        <v>5.7709152161706907</v>
      </c>
      <c r="H73" s="334">
        <f t="shared" si="9"/>
        <v>0.9</v>
      </c>
      <c r="I73" s="335">
        <v>190.5</v>
      </c>
      <c r="J73" s="336">
        <f>I73*'[3]%Non-FF'!$AH$3/1000</f>
        <v>6.6674999999998994E-4</v>
      </c>
      <c r="K73" s="336">
        <f t="shared" si="10"/>
        <v>5.770248466170691</v>
      </c>
      <c r="L73" s="336">
        <f>K73*'[3]FR SO Table'!$D$6</f>
        <v>5.077818650230209</v>
      </c>
      <c r="M73" s="329">
        <v>18</v>
      </c>
      <c r="N73" s="336">
        <f t="shared" si="11"/>
        <v>103.86447239107244</v>
      </c>
      <c r="O73" s="336">
        <f>N73*'[3]FR SO Table'!$D$6</f>
        <v>91.400735704143756</v>
      </c>
      <c r="P73" s="415">
        <f>O73*$F$170</f>
        <v>5866.0992174919465</v>
      </c>
      <c r="Q73" s="416">
        <f>G73*M73*'[3]FR SO Table'!$D$6*$F$170</f>
        <v>5866.7770430095461</v>
      </c>
      <c r="R73" s="338" t="s">
        <v>810</v>
      </c>
      <c r="S73" s="775">
        <f>E73*VLOOKUP(R73,'[3]FR SO Table'!$A$37:$B$44,2,FALSE)</f>
        <v>7717.4932500000004</v>
      </c>
      <c r="T73" s="329">
        <f t="shared" si="4"/>
        <v>138822.25700476015</v>
      </c>
    </row>
    <row r="74" spans="1:20" ht="12.9" customHeight="1" x14ac:dyDescent="0.3">
      <c r="A74" s="1045"/>
      <c r="B74" s="1046"/>
      <c r="C74" s="329" t="s">
        <v>841</v>
      </c>
      <c r="D74" s="331">
        <f t="shared" si="12"/>
        <v>26.18888888888889</v>
      </c>
      <c r="E74" s="330">
        <v>23.57</v>
      </c>
      <c r="F74" s="332">
        <v>3319</v>
      </c>
      <c r="G74" s="333">
        <f t="shared" si="8"/>
        <v>2.646827624929815</v>
      </c>
      <c r="H74" s="334">
        <f t="shared" si="9"/>
        <v>0.9</v>
      </c>
      <c r="I74" s="335">
        <v>486.6</v>
      </c>
      <c r="J74" s="336">
        <f>I74*'[3]%Non-FF'!$AH$3/1000</f>
        <v>1.7030999999999746E-3</v>
      </c>
      <c r="K74" s="336">
        <f t="shared" si="10"/>
        <v>2.6451245249298152</v>
      </c>
      <c r="L74" s="336">
        <f>K74*'[3]FR SO Table'!$D$6</f>
        <v>2.3277095819382376</v>
      </c>
      <c r="M74" s="329">
        <v>18</v>
      </c>
      <c r="N74" s="336">
        <f t="shared" si="11"/>
        <v>47.612241448736675</v>
      </c>
      <c r="O74" s="336">
        <f>N74*'[3]FR SO Table'!$D$6</f>
        <v>41.898772474888283</v>
      </c>
      <c r="P74" s="415">
        <f>O74*$F$170</f>
        <v>2689.0632174383304</v>
      </c>
      <c r="Q74" s="416">
        <f>G74*M74*'[3]FR SO Table'!$D$6*$F$170</f>
        <v>2690.79460797305</v>
      </c>
      <c r="R74" s="338" t="s">
        <v>810</v>
      </c>
      <c r="S74" s="775">
        <f>E74*VLOOKUP(R74,'[3]FR SO Table'!$A$37:$B$44,2,FALSE)</f>
        <v>3539.6247500000004</v>
      </c>
      <c r="T74" s="329">
        <f t="shared" si="4"/>
        <v>63604.73547158896</v>
      </c>
    </row>
    <row r="75" spans="1:20" ht="14.4" x14ac:dyDescent="0.3">
      <c r="A75" s="1045" t="s">
        <v>168</v>
      </c>
      <c r="B75" s="1046" t="s">
        <v>808</v>
      </c>
      <c r="C75" s="329" t="s">
        <v>842</v>
      </c>
      <c r="D75" s="331">
        <v>43.5</v>
      </c>
      <c r="E75" s="347">
        <v>43.498209301364632</v>
      </c>
      <c r="F75" s="348">
        <v>15708</v>
      </c>
      <c r="G75" s="333">
        <f t="shared" si="8"/>
        <v>4.8846950366495943</v>
      </c>
      <c r="H75" s="334">
        <f t="shared" si="9"/>
        <v>0.99995883451412948</v>
      </c>
      <c r="I75" s="349">
        <v>2757.84</v>
      </c>
      <c r="J75" s="336">
        <f>I75*'[3]%Non-FF'!$AJ$3/1000</f>
        <v>1.4478659999999937E-2</v>
      </c>
      <c r="K75" s="336">
        <f t="shared" si="10"/>
        <v>4.8702163766495943</v>
      </c>
      <c r="L75" s="336">
        <f>K75*'[3]FR SO Table'!D8</f>
        <v>4.8702163766495943</v>
      </c>
      <c r="M75" s="329">
        <v>8</v>
      </c>
      <c r="N75" s="336">
        <f t="shared" si="11"/>
        <v>38.961731013196754</v>
      </c>
      <c r="O75" s="336">
        <f>N75*'[3]FR SO Table'!D8</f>
        <v>38.961731013196754</v>
      </c>
      <c r="P75" s="415">
        <f>O75*F170</f>
        <v>2500.5638964269679</v>
      </c>
      <c r="Q75" s="416">
        <f>G75*M75*'[3]FR SO Table'!D8*F170</f>
        <v>2507.9978196173679</v>
      </c>
      <c r="R75" s="329" t="s">
        <v>843</v>
      </c>
      <c r="S75" s="775">
        <f>E75*VLOOKUP(R75,'[3]FR SO Table'!$A$37:$B$44,2,FALSE)</f>
        <v>6837.9185021745197</v>
      </c>
      <c r="T75" s="329">
        <f t="shared" si="4"/>
        <v>53911.316840590604</v>
      </c>
    </row>
    <row r="76" spans="1:20" ht="14.4" x14ac:dyDescent="0.3">
      <c r="A76" s="1045"/>
      <c r="B76" s="1046"/>
      <c r="C76" s="329" t="s">
        <v>844</v>
      </c>
      <c r="D76" s="331">
        <v>43.5</v>
      </c>
      <c r="E76" s="347">
        <v>32.445634741366938</v>
      </c>
      <c r="F76" s="348">
        <v>7301</v>
      </c>
      <c r="G76" s="333">
        <f t="shared" si="8"/>
        <v>3.643530010260184</v>
      </c>
      <c r="H76" s="334">
        <f t="shared" si="9"/>
        <v>0.74587666072107905</v>
      </c>
      <c r="I76" s="349">
        <v>1697.81</v>
      </c>
      <c r="J76" s="336">
        <f>I76*'[3]%Non-FF'!$AJ$3/1000</f>
        <v>8.9135024999999601E-3</v>
      </c>
      <c r="K76" s="336">
        <f t="shared" si="10"/>
        <v>3.634616507760184</v>
      </c>
      <c r="L76" s="336">
        <f>K76*'[3]FR SO Table'!D9</f>
        <v>3.634616507760184</v>
      </c>
      <c r="M76" s="329">
        <v>8</v>
      </c>
      <c r="N76" s="336">
        <f t="shared" si="11"/>
        <v>29.076932062081472</v>
      </c>
      <c r="O76" s="336">
        <f>N76*'[3]FR SO Table'!D9</f>
        <v>29.076932062081472</v>
      </c>
      <c r="P76" s="415">
        <f>O76*F170</f>
        <v>1866.157499744389</v>
      </c>
      <c r="Q76" s="416">
        <f>G76*M76*'[3]FR SO Table'!D9*F170</f>
        <v>1870.7340484679892</v>
      </c>
      <c r="R76" s="329" t="s">
        <v>843</v>
      </c>
      <c r="S76" s="775">
        <f>E76*VLOOKUP(R76,'[3]FR SO Table'!$A$37:$B$44,2,FALSE)</f>
        <v>5100.4537813428824</v>
      </c>
      <c r="T76" s="329">
        <f t="shared" si="4"/>
        <v>40439.926990493987</v>
      </c>
    </row>
    <row r="77" spans="1:20" ht="14.4" x14ac:dyDescent="0.3">
      <c r="A77" s="1045"/>
      <c r="B77" s="1046"/>
      <c r="C77" s="329" t="s">
        <v>845</v>
      </c>
      <c r="D77" s="331">
        <v>43.5</v>
      </c>
      <c r="E77" s="347">
        <v>43.498209301364632</v>
      </c>
      <c r="F77" s="348">
        <v>15708</v>
      </c>
      <c r="G77" s="333">
        <f t="shared" si="8"/>
        <v>4.8846950366495943</v>
      </c>
      <c r="H77" s="334">
        <f t="shared" si="9"/>
        <v>0.99995883451412948</v>
      </c>
      <c r="I77" s="349">
        <v>2757.84</v>
      </c>
      <c r="J77" s="336">
        <f>I77*'[3]%Non-FF'!$AJ$3/1000</f>
        <v>1.4478659999999937E-2</v>
      </c>
      <c r="K77" s="336">
        <f t="shared" si="10"/>
        <v>4.8702163766495943</v>
      </c>
      <c r="L77" s="336">
        <f>K77*'[3]FR SO Table'!D8</f>
        <v>4.8702163766495943</v>
      </c>
      <c r="M77" s="329">
        <v>4</v>
      </c>
      <c r="N77" s="336">
        <f t="shared" si="11"/>
        <v>19.480865506598377</v>
      </c>
      <c r="O77" s="336">
        <f>N77*'[3]FR SO Table'!D8</f>
        <v>19.480865506598377</v>
      </c>
      <c r="P77" s="415">
        <f>O77*F170</f>
        <v>1250.2819482134839</v>
      </c>
      <c r="Q77" s="416">
        <f>G77*M77*'[3]FR SO Table'!D10*F170</f>
        <v>1253.9989098086839</v>
      </c>
      <c r="R77" s="329" t="s">
        <v>843</v>
      </c>
      <c r="S77" s="775">
        <f>E77*VLOOKUP(R77,'[3]FR SO Table'!$A$37:$B$44,2,FALSE)</f>
        <v>6837.9185021745197</v>
      </c>
      <c r="T77" s="329">
        <f t="shared" si="4"/>
        <v>26955.658420295302</v>
      </c>
    </row>
    <row r="78" spans="1:20" ht="14.4" x14ac:dyDescent="0.3">
      <c r="A78" s="1045"/>
      <c r="B78" s="1046"/>
      <c r="C78" s="329" t="s">
        <v>846</v>
      </c>
      <c r="D78" s="331">
        <v>43.5</v>
      </c>
      <c r="E78" s="347">
        <v>32.445634741366938</v>
      </c>
      <c r="F78" s="348">
        <v>7301</v>
      </c>
      <c r="G78" s="333">
        <f t="shared" si="8"/>
        <v>3.643530010260184</v>
      </c>
      <c r="H78" s="334">
        <f t="shared" si="9"/>
        <v>0.74587666072107905</v>
      </c>
      <c r="I78" s="349">
        <v>1697.81</v>
      </c>
      <c r="J78" s="336">
        <f>I78*'[3]%Non-FF'!$AJ$3/1000</f>
        <v>8.9135024999999601E-3</v>
      </c>
      <c r="K78" s="336">
        <f t="shared" si="10"/>
        <v>3.634616507760184</v>
      </c>
      <c r="L78" s="336">
        <f>K78*'[3]FR SO Table'!D9</f>
        <v>3.634616507760184</v>
      </c>
      <c r="M78" s="329">
        <v>4</v>
      </c>
      <c r="N78" s="336">
        <f t="shared" si="11"/>
        <v>14.538466031040736</v>
      </c>
      <c r="O78" s="336">
        <f>N78*'[3]FR SO Table'!D9</f>
        <v>14.538466031040736</v>
      </c>
      <c r="P78" s="415">
        <f>O78*F170</f>
        <v>933.07874987219452</v>
      </c>
      <c r="Q78" s="416">
        <f>G78*M78*'[3]FR SO Table'!D11*F170</f>
        <v>935.36702423399458</v>
      </c>
      <c r="R78" s="329" t="s">
        <v>843</v>
      </c>
      <c r="S78" s="775">
        <f>E78*VLOOKUP(R78,'[3]FR SO Table'!$A$37:$B$44,2,FALSE)</f>
        <v>5100.4537813428824</v>
      </c>
      <c r="T78" s="329">
        <f t="shared" ref="T78:T148" si="13">S78*M78*(1-J78)</f>
        <v>20219.963495246993</v>
      </c>
    </row>
    <row r="79" spans="1:20" ht="14.4" x14ac:dyDescent="0.3">
      <c r="A79" s="1045" t="s">
        <v>754</v>
      </c>
      <c r="B79" s="1046" t="s">
        <v>808</v>
      </c>
      <c r="C79" s="329" t="s">
        <v>847</v>
      </c>
      <c r="D79" s="331" t="s">
        <v>695</v>
      </c>
      <c r="E79" s="347">
        <v>19.670000000000002</v>
      </c>
      <c r="F79" s="332">
        <v>5900</v>
      </c>
      <c r="G79" s="333">
        <f t="shared" si="8"/>
        <v>2.2088714205502531</v>
      </c>
      <c r="H79" s="334" t="s">
        <v>695</v>
      </c>
      <c r="I79" s="349">
        <v>1545</v>
      </c>
      <c r="J79" s="336">
        <f>I79*'[3]%Non-FF'!$AI$3/1000</f>
        <v>6.4889999999999714E-3</v>
      </c>
      <c r="K79" s="336">
        <f t="shared" si="10"/>
        <v>2.2023824205502529</v>
      </c>
      <c r="L79" s="336">
        <f>K79*'[3]FR SO Table'!D10</f>
        <v>2.2023824205502529</v>
      </c>
      <c r="M79" s="329">
        <v>10</v>
      </c>
      <c r="N79" s="336">
        <f t="shared" si="11"/>
        <v>22.023824205502528</v>
      </c>
      <c r="O79" s="336">
        <f>N79*'[3]FR SO Table'!D10</f>
        <v>22.023824205502528</v>
      </c>
      <c r="P79" s="415">
        <f>O79*F170</f>
        <v>1413.4890375091525</v>
      </c>
      <c r="Q79" s="416">
        <f>G79*M79*'[3]FR SO Table'!D10*F170</f>
        <v>1417.6536777091526</v>
      </c>
      <c r="R79" s="329" t="s">
        <v>843</v>
      </c>
      <c r="S79" s="775">
        <f>E79*VLOOKUP(R79,'[3]FR SO Table'!$A$37:$B$44,2,FALSE)</f>
        <v>3092.1240000000003</v>
      </c>
      <c r="T79" s="329">
        <f t="shared" si="13"/>
        <v>30720.592073640004</v>
      </c>
    </row>
    <row r="80" spans="1:20" ht="14.4" x14ac:dyDescent="0.3">
      <c r="A80" s="1045"/>
      <c r="B80" s="1046"/>
      <c r="C80" s="329" t="s">
        <v>848</v>
      </c>
      <c r="D80" s="331" t="s">
        <v>695</v>
      </c>
      <c r="E80" s="347">
        <v>84.83</v>
      </c>
      <c r="F80" s="332">
        <v>55000</v>
      </c>
      <c r="G80" s="333">
        <f t="shared" si="8"/>
        <v>9.5261089275687816</v>
      </c>
      <c r="H80" s="334" t="s">
        <v>695</v>
      </c>
      <c r="I80" s="349">
        <v>5757</v>
      </c>
      <c r="J80" s="336">
        <f>I80*'[3]%Non-FF'!$AI$3/1000</f>
        <v>2.4179399999999896E-2</v>
      </c>
      <c r="K80" s="336">
        <f t="shared" si="10"/>
        <v>9.5019295275687821</v>
      </c>
      <c r="L80" s="336">
        <f>K80*'[3]FR SO Table'!D12</f>
        <v>9.5019295275687821</v>
      </c>
      <c r="M80" s="329">
        <v>10</v>
      </c>
      <c r="N80" s="336">
        <f t="shared" si="11"/>
        <v>95.019295275687824</v>
      </c>
      <c r="O80" s="336">
        <f>N80*'[3]FR SO Table'!D12</f>
        <v>95.019295275687824</v>
      </c>
      <c r="P80" s="415">
        <f>O80*F170</f>
        <v>6098.3383707936455</v>
      </c>
      <c r="Q80" s="416">
        <f>G80*M80*'[3]FR SO Table'!D11*F170</f>
        <v>6113.8567097136447</v>
      </c>
      <c r="R80" s="329" t="s">
        <v>843</v>
      </c>
      <c r="S80" s="775">
        <f>E80*VLOOKUP(R80,'[3]FR SO Table'!$A$37:$B$44,2,FALSE)</f>
        <v>13335.275999999998</v>
      </c>
      <c r="T80" s="329">
        <f t="shared" si="13"/>
        <v>130128.370274856</v>
      </c>
    </row>
    <row r="81" spans="1:21" ht="14.4" x14ac:dyDescent="0.3">
      <c r="A81" s="1045"/>
      <c r="B81" s="1046"/>
      <c r="C81" s="329" t="s">
        <v>849</v>
      </c>
      <c r="D81" s="331" t="s">
        <v>695</v>
      </c>
      <c r="E81" s="347">
        <v>25.33</v>
      </c>
      <c r="F81" s="332">
        <v>3200</v>
      </c>
      <c r="G81" s="333">
        <f t="shared" si="8"/>
        <v>2.8444693992139247</v>
      </c>
      <c r="H81" s="334" t="s">
        <v>695</v>
      </c>
      <c r="I81" s="349">
        <v>1990</v>
      </c>
      <c r="J81" s="336">
        <f>I81*'[3]%Non-FF'!$AI$3/1000</f>
        <v>8.3579999999999627E-3</v>
      </c>
      <c r="K81" s="336">
        <f t="shared" si="10"/>
        <v>2.8361113992139249</v>
      </c>
      <c r="L81" s="336">
        <f>K81*'[3]FR SO Table'!D11</f>
        <v>2.8361113992139249</v>
      </c>
      <c r="M81" s="329">
        <v>10</v>
      </c>
      <c r="N81" s="336">
        <f t="shared" si="11"/>
        <v>28.361113992139249</v>
      </c>
      <c r="O81" s="336">
        <f>N81*'[3]FR SO Table'!D11</f>
        <v>28.361113992139249</v>
      </c>
      <c r="P81" s="415">
        <f>O81*F170</f>
        <v>1820.2162960154972</v>
      </c>
      <c r="Q81" s="416">
        <f>G81*M81*'[3]FR SO Table'!D12*F170</f>
        <v>1825.5804604154971</v>
      </c>
      <c r="R81" s="329" t="s">
        <v>843</v>
      </c>
      <c r="S81" s="775">
        <f>E81*VLOOKUP(R81,'[3]FR SO Table'!$A$37:$B$44,2,FALSE)</f>
        <v>3981.8759999999993</v>
      </c>
      <c r="T81" s="329">
        <f t="shared" si="13"/>
        <v>39485.954803919994</v>
      </c>
    </row>
    <row r="82" spans="1:21" s="339" customFormat="1" ht="14.4" x14ac:dyDescent="0.3">
      <c r="A82" s="1045"/>
      <c r="B82" s="1046"/>
      <c r="C82" s="360" t="s">
        <v>850</v>
      </c>
      <c r="D82" s="361" t="s">
        <v>695</v>
      </c>
      <c r="E82" s="347">
        <v>1.03</v>
      </c>
      <c r="F82" s="348">
        <v>3200</v>
      </c>
      <c r="G82" s="354">
        <f t="shared" si="8"/>
        <v>0.11566535654126896</v>
      </c>
      <c r="H82" s="334" t="s">
        <v>695</v>
      </c>
      <c r="I82" s="349">
        <v>81.040000000000006</v>
      </c>
      <c r="J82" s="336">
        <f>I82*'[3]%Non-FF'!$AI$3/1000</f>
        <v>3.403679999999985E-4</v>
      </c>
      <c r="K82" s="336">
        <f t="shared" si="10"/>
        <v>0.11532498854126896</v>
      </c>
      <c r="L82" s="355">
        <f>K82*'[3]FR SO Table'!$D$11</f>
        <v>0.11532498854126896</v>
      </c>
      <c r="M82" s="360">
        <v>10</v>
      </c>
      <c r="N82" s="336">
        <f t="shared" si="11"/>
        <v>1.1532498854126896</v>
      </c>
      <c r="O82" s="336">
        <f>N82*'[3]FR SO Table'!$D$11</f>
        <v>1.1532498854126896</v>
      </c>
      <c r="P82" s="415">
        <f>O82*F170</f>
        <v>74.015577645786422</v>
      </c>
      <c r="Q82" s="416">
        <f>G82*M82*'[3]FR SO Table'!D12*F170</f>
        <v>74.234025828186418</v>
      </c>
      <c r="R82" s="329" t="s">
        <v>843</v>
      </c>
      <c r="S82" s="775">
        <f>E82*VLOOKUP(R82,'[3]FR SO Table'!$A$37:$B$44,2,FALSE)</f>
        <v>161.916</v>
      </c>
      <c r="T82" s="329">
        <f t="shared" si="13"/>
        <v>1618.6088897491197</v>
      </c>
      <c r="U82" s="317"/>
    </row>
    <row r="83" spans="1:21" ht="26.1" customHeight="1" x14ac:dyDescent="0.3">
      <c r="A83" s="1045" t="s">
        <v>755</v>
      </c>
      <c r="B83" s="989" t="s">
        <v>808</v>
      </c>
      <c r="C83" s="329" t="s">
        <v>851</v>
      </c>
      <c r="D83" s="331">
        <v>82.8</v>
      </c>
      <c r="E83" s="335">
        <v>5.1065820000000004</v>
      </c>
      <c r="F83" s="332">
        <v>175</v>
      </c>
      <c r="G83" s="333">
        <f t="shared" si="8"/>
        <v>0.57345109489051105</v>
      </c>
      <c r="H83" s="334">
        <f t="shared" ref="H83:H146" si="14">E83/D83</f>
        <v>6.167369565217392E-2</v>
      </c>
      <c r="I83" s="335">
        <v>0</v>
      </c>
      <c r="J83" s="336">
        <f>I83*'[3]%Non-FF'!$AI$3/1000</f>
        <v>0</v>
      </c>
      <c r="K83" s="336">
        <f t="shared" si="10"/>
        <v>0.57345109489051105</v>
      </c>
      <c r="L83" s="336">
        <f>K83*'[3]FR SO Table'!$D$13</f>
        <v>0.57345109489051105</v>
      </c>
      <c r="M83" s="329">
        <v>10</v>
      </c>
      <c r="N83" s="336">
        <f t="shared" si="11"/>
        <v>5.7345109489051103</v>
      </c>
      <c r="O83" s="336">
        <f>N83*'[3]FR SO Table'!D13</f>
        <v>5.7345109489051103</v>
      </c>
      <c r="P83" s="415">
        <f>O83*F170</f>
        <v>368.04091270073002</v>
      </c>
      <c r="Q83" s="416">
        <f>G83*M83*'[3]FR SO Table'!$D$13*F170</f>
        <v>368.04091270073002</v>
      </c>
      <c r="R83" s="338" t="s">
        <v>810</v>
      </c>
      <c r="S83" s="775">
        <f>E83*VLOOKUP(R83,'[3]FR SO Table'!$A$37:$B$44,2,FALSE)</f>
        <v>766.88095185000009</v>
      </c>
      <c r="T83" s="329">
        <f t="shared" si="13"/>
        <v>7668.8095185000011</v>
      </c>
    </row>
    <row r="84" spans="1:21" ht="12.9" customHeight="1" x14ac:dyDescent="0.3">
      <c r="A84" s="1045"/>
      <c r="B84" s="989" t="s">
        <v>808</v>
      </c>
      <c r="C84" s="329" t="s">
        <v>852</v>
      </c>
      <c r="D84" s="331">
        <v>32</v>
      </c>
      <c r="E84" s="335">
        <v>2.6408580000000001</v>
      </c>
      <c r="F84" s="332">
        <v>175</v>
      </c>
      <c r="G84" s="333">
        <f t="shared" si="8"/>
        <v>0.29655901179112859</v>
      </c>
      <c r="H84" s="334">
        <f t="shared" si="14"/>
        <v>8.2526812500000005E-2</v>
      </c>
      <c r="I84" s="335">
        <v>0</v>
      </c>
      <c r="J84" s="336">
        <f>I84*'[3]%Non-FF'!$AI$3/1000</f>
        <v>0</v>
      </c>
      <c r="K84" s="336">
        <f t="shared" si="10"/>
        <v>0.29655901179112859</v>
      </c>
      <c r="L84" s="336">
        <f>K84*'[3]FR SO Table'!$D$13</f>
        <v>0.29655901179112859</v>
      </c>
      <c r="M84" s="329">
        <v>10</v>
      </c>
      <c r="N84" s="336">
        <f t="shared" si="11"/>
        <v>2.9655901179112858</v>
      </c>
      <c r="O84" s="336">
        <f>N84*'[3]FR SO Table'!D14</f>
        <v>2.9655901179112858</v>
      </c>
      <c r="P84" s="415">
        <f>O84*F171</f>
        <v>0</v>
      </c>
      <c r="Q84" s="416">
        <f>G84*M84*'[3]FR SO Table'!$D$13*F171</f>
        <v>0</v>
      </c>
      <c r="R84" s="338" t="s">
        <v>810</v>
      </c>
      <c r="S84" s="775">
        <f>E84*VLOOKUP(R84,'[3]FR SO Table'!$A$37:$B$44,2,FALSE)</f>
        <v>396.59085015000005</v>
      </c>
      <c r="T84" s="329">
        <f t="shared" si="13"/>
        <v>3965.9085015000005</v>
      </c>
    </row>
    <row r="85" spans="1:21" ht="14.4" x14ac:dyDescent="0.3">
      <c r="A85" s="988" t="s">
        <v>756</v>
      </c>
      <c r="B85" s="989" t="s">
        <v>808</v>
      </c>
      <c r="C85" s="329" t="s">
        <v>853</v>
      </c>
      <c r="D85" s="331">
        <v>38.299999999999997</v>
      </c>
      <c r="E85" s="330">
        <v>6.1589999999999998</v>
      </c>
      <c r="F85" s="332">
        <v>2825</v>
      </c>
      <c r="G85" s="333">
        <f t="shared" si="8"/>
        <v>0.69163391353172377</v>
      </c>
      <c r="H85" s="334">
        <f t="shared" si="14"/>
        <v>0.16080939947780679</v>
      </c>
      <c r="I85" s="335">
        <v>30</v>
      </c>
      <c r="J85" s="336">
        <f>I85*'[3]%Non-FF'!$AJ$3/1000</f>
        <v>1.574999999999993E-4</v>
      </c>
      <c r="K85" s="336">
        <f t="shared" si="10"/>
        <v>0.69147641353172373</v>
      </c>
      <c r="L85" s="336">
        <f>K85*'[3]FR SO Table'!D14</f>
        <v>0.69147641353172373</v>
      </c>
      <c r="M85" s="329">
        <v>8</v>
      </c>
      <c r="N85" s="336">
        <f t="shared" si="11"/>
        <v>5.5318113082537899</v>
      </c>
      <c r="O85" s="336">
        <f>N85*'[3]FR SO Table'!D14</f>
        <v>5.5318113082537899</v>
      </c>
      <c r="P85" s="415">
        <f>O85*F170</f>
        <v>355.0316497637283</v>
      </c>
      <c r="Q85" s="416">
        <f>G85*M85*'[3]FR SO Table'!D14*F170</f>
        <v>355.11251656372826</v>
      </c>
      <c r="R85" s="329" t="s">
        <v>843</v>
      </c>
      <c r="S85" s="775">
        <f>E85*VLOOKUP(R85,'[3]FR SO Table'!$A$37:$B$44,2,FALSE)</f>
        <v>968.19479999999987</v>
      </c>
      <c r="T85" s="329">
        <f t="shared" si="13"/>
        <v>7744.3384745519988</v>
      </c>
    </row>
    <row r="86" spans="1:21" ht="14.4" x14ac:dyDescent="0.3">
      <c r="A86" s="988" t="s">
        <v>757</v>
      </c>
      <c r="B86" s="989" t="s">
        <v>808</v>
      </c>
      <c r="C86" s="329" t="s">
        <v>854</v>
      </c>
      <c r="D86" s="331" t="s">
        <v>695</v>
      </c>
      <c r="E86" s="331" t="s">
        <v>695</v>
      </c>
      <c r="F86" s="332">
        <v>450000</v>
      </c>
      <c r="G86" s="336" t="s">
        <v>695</v>
      </c>
      <c r="H86" s="336" t="s">
        <v>695</v>
      </c>
      <c r="I86" s="335" t="s">
        <v>695</v>
      </c>
      <c r="J86" s="336" t="s">
        <v>695</v>
      </c>
      <c r="K86" s="336" t="e">
        <f t="shared" si="10"/>
        <v>#VALUE!</v>
      </c>
      <c r="L86" s="336" t="e">
        <f>K86*'[3]FR SO Table'!D15</f>
        <v>#VALUE!</v>
      </c>
      <c r="M86" s="329">
        <v>12</v>
      </c>
      <c r="N86" s="336" t="e">
        <f t="shared" si="11"/>
        <v>#VALUE!</v>
      </c>
      <c r="O86" s="336" t="e">
        <f>N86*'[3]FR SO Table'!D15</f>
        <v>#VALUE!</v>
      </c>
      <c r="P86" s="415" t="e">
        <f>O86*F170</f>
        <v>#VALUE!</v>
      </c>
      <c r="Q86" s="416" t="e">
        <f>G86*M86*'[3]FR SO Table'!D15*F170</f>
        <v>#VALUE!</v>
      </c>
      <c r="R86" s="338" t="s">
        <v>832</v>
      </c>
      <c r="S86" s="775" t="e">
        <f>E86*VLOOKUP(R86,'[3]FR SO Table'!$A$37:$B$44,2,FALSE)</f>
        <v>#VALUE!</v>
      </c>
      <c r="T86" s="329" t="e">
        <f t="shared" si="13"/>
        <v>#VALUE!</v>
      </c>
    </row>
    <row r="87" spans="1:21" ht="14.4" x14ac:dyDescent="0.3">
      <c r="A87" s="988" t="s">
        <v>758</v>
      </c>
      <c r="B87" s="989" t="s">
        <v>808</v>
      </c>
      <c r="C87" s="329" t="s">
        <v>855</v>
      </c>
      <c r="D87" s="331" t="s">
        <v>695</v>
      </c>
      <c r="E87" s="331" t="s">
        <v>695</v>
      </c>
      <c r="F87" s="332">
        <v>128796</v>
      </c>
      <c r="G87" s="336" t="s">
        <v>695</v>
      </c>
      <c r="H87" s="336" t="s">
        <v>695</v>
      </c>
      <c r="I87" s="335" t="s">
        <v>695</v>
      </c>
      <c r="J87" s="336" t="s">
        <v>695</v>
      </c>
      <c r="K87" s="336" t="e">
        <f t="shared" si="10"/>
        <v>#VALUE!</v>
      </c>
      <c r="L87" s="336" t="e">
        <f>K87*'[3]FR SO Table'!D16</f>
        <v>#VALUE!</v>
      </c>
      <c r="M87" s="329">
        <v>12</v>
      </c>
      <c r="N87" s="336" t="e">
        <f t="shared" si="11"/>
        <v>#VALUE!</v>
      </c>
      <c r="O87" s="336" t="e">
        <f>N87*'[3]FR SO Table'!D16</f>
        <v>#VALUE!</v>
      </c>
      <c r="P87" s="415" t="e">
        <f>O87*F170</f>
        <v>#VALUE!</v>
      </c>
      <c r="Q87" s="416" t="e">
        <f>G87*M87*'[3]FR SO Table'!D16*F170</f>
        <v>#VALUE!</v>
      </c>
      <c r="R87" s="338" t="s">
        <v>832</v>
      </c>
      <c r="S87" s="775" t="e">
        <f>E87*VLOOKUP(R87,'[3]FR SO Table'!$A$37:$B$44,2,FALSE)</f>
        <v>#VALUE!</v>
      </c>
      <c r="T87" s="329" t="e">
        <f t="shared" si="13"/>
        <v>#VALUE!</v>
      </c>
    </row>
    <row r="88" spans="1:21" ht="26.4" x14ac:dyDescent="0.3">
      <c r="A88" s="988" t="s">
        <v>759</v>
      </c>
      <c r="B88" s="989" t="s">
        <v>808</v>
      </c>
      <c r="C88" s="329" t="s">
        <v>856</v>
      </c>
      <c r="D88" s="331" t="s">
        <v>695</v>
      </c>
      <c r="E88" s="331" t="s">
        <v>695</v>
      </c>
      <c r="F88" s="332">
        <v>75000</v>
      </c>
      <c r="G88" s="336" t="s">
        <v>695</v>
      </c>
      <c r="H88" s="336" t="s">
        <v>695</v>
      </c>
      <c r="I88" s="335" t="s">
        <v>695</v>
      </c>
      <c r="J88" s="336" t="s">
        <v>695</v>
      </c>
      <c r="K88" s="336" t="e">
        <f t="shared" si="10"/>
        <v>#VALUE!</v>
      </c>
      <c r="L88" s="336" t="e">
        <f>K88*'[3]FR SO Table'!D17</f>
        <v>#VALUE!</v>
      </c>
      <c r="M88" s="329">
        <v>8</v>
      </c>
      <c r="N88" s="336" t="e">
        <f t="shared" si="11"/>
        <v>#VALUE!</v>
      </c>
      <c r="O88" s="336" t="e">
        <f>N88*'[3]FR SO Table'!D17</f>
        <v>#VALUE!</v>
      </c>
      <c r="P88" s="415" t="e">
        <f>O88*F170</f>
        <v>#VALUE!</v>
      </c>
      <c r="Q88" s="416" t="e">
        <f>G88*M88*'[3]FR SO Table'!D17*F170</f>
        <v>#VALUE!</v>
      </c>
      <c r="R88" s="329" t="s">
        <v>843</v>
      </c>
      <c r="S88" s="775" t="e">
        <f>E88*VLOOKUP(R88,'[3]FR SO Table'!$A$37:$B$44,2,FALSE)</f>
        <v>#VALUE!</v>
      </c>
      <c r="T88" s="329" t="e">
        <f t="shared" si="13"/>
        <v>#VALUE!</v>
      </c>
    </row>
    <row r="89" spans="1:21" ht="14.4" x14ac:dyDescent="0.3">
      <c r="A89" s="1045" t="s">
        <v>760</v>
      </c>
      <c r="B89" s="989" t="s">
        <v>808</v>
      </c>
      <c r="C89" s="329" t="s">
        <v>857</v>
      </c>
      <c r="D89" s="331">
        <v>12.1</v>
      </c>
      <c r="E89" s="330">
        <v>0.1386</v>
      </c>
      <c r="F89" s="332">
        <v>8</v>
      </c>
      <c r="G89" s="333">
        <f t="shared" ref="G89:G148" si="15">E89/$G$170</f>
        <v>1.5564289724873668E-2</v>
      </c>
      <c r="H89" s="334">
        <f t="shared" si="14"/>
        <v>1.1454545454545455E-2</v>
      </c>
      <c r="I89" s="335">
        <v>0</v>
      </c>
      <c r="J89" s="336">
        <f>I89*'[3]%Non-FF'!$AI$3/1000</f>
        <v>0</v>
      </c>
      <c r="K89" s="336">
        <f t="shared" si="10"/>
        <v>1.5564289724873668E-2</v>
      </c>
      <c r="L89" s="336">
        <f>K89*'[3]FR SO Table'!$D$18</f>
        <v>1.40078607523863E-2</v>
      </c>
      <c r="M89" s="329">
        <v>10</v>
      </c>
      <c r="N89" s="336">
        <f t="shared" si="11"/>
        <v>0.15564289724873667</v>
      </c>
      <c r="O89" s="336">
        <f>N89*'[3]FR SO Table'!$D$18</f>
        <v>0.140078607523863</v>
      </c>
      <c r="P89" s="415">
        <f>O89*F170</f>
        <v>8.9902450308815283</v>
      </c>
      <c r="Q89" s="416">
        <f>G89*M89*'[3]FR SO Table'!$D$18*F170</f>
        <v>8.9902450308815283</v>
      </c>
      <c r="R89" s="338" t="s">
        <v>810</v>
      </c>
      <c r="S89" s="775">
        <f>E89*VLOOKUP(R89,'[3]FR SO Table'!$A$37:$B$44,2,FALSE)</f>
        <v>20.814255000000003</v>
      </c>
      <c r="T89" s="329">
        <f t="shared" si="13"/>
        <v>208.14255000000003</v>
      </c>
    </row>
    <row r="90" spans="1:21" ht="14.4" x14ac:dyDescent="0.3">
      <c r="A90" s="1045"/>
      <c r="B90" s="989" t="s">
        <v>808</v>
      </c>
      <c r="C90" s="329" t="s">
        <v>858</v>
      </c>
      <c r="D90" s="331">
        <v>12.1</v>
      </c>
      <c r="E90" s="330">
        <v>9.8400000000000001E-2</v>
      </c>
      <c r="F90" s="332">
        <v>8</v>
      </c>
      <c r="G90" s="333">
        <f t="shared" si="15"/>
        <v>1.1049971925884335E-2</v>
      </c>
      <c r="H90" s="334">
        <f t="shared" si="14"/>
        <v>8.1322314049586779E-3</v>
      </c>
      <c r="I90" s="335">
        <v>0</v>
      </c>
      <c r="J90" s="336">
        <f>I90*'[3]%Non-FF'!$AI$3/1000</f>
        <v>0</v>
      </c>
      <c r="K90" s="336">
        <f t="shared" si="10"/>
        <v>1.1049971925884335E-2</v>
      </c>
      <c r="L90" s="336">
        <f>K90*'[3]FR SO Table'!$D$18</f>
        <v>9.9449747332959002E-3</v>
      </c>
      <c r="M90" s="329">
        <v>10</v>
      </c>
      <c r="N90" s="336">
        <f t="shared" si="11"/>
        <v>0.11049971925884335</v>
      </c>
      <c r="O90" s="336">
        <f>N90*'[3]FR SO Table'!$D$18</f>
        <v>9.9449747332958999E-2</v>
      </c>
      <c r="P90" s="415">
        <f>O90*F170</f>
        <v>6.3826847838293093</v>
      </c>
      <c r="Q90" s="416">
        <f>G90*M90*'[3]FR SO Table'!$D$18*F170</f>
        <v>6.3826847838293093</v>
      </c>
      <c r="R90" s="338" t="s">
        <v>810</v>
      </c>
      <c r="S90" s="775">
        <f>E90*VLOOKUP(R90,'[3]FR SO Table'!$A$37:$B$44,2,FALSE)</f>
        <v>14.777220000000002</v>
      </c>
      <c r="T90" s="329">
        <f t="shared" si="13"/>
        <v>147.77220000000003</v>
      </c>
    </row>
    <row r="91" spans="1:21" ht="14.4" x14ac:dyDescent="0.3">
      <c r="A91" s="1045"/>
      <c r="B91" s="989" t="s">
        <v>808</v>
      </c>
      <c r="C91" s="329" t="s">
        <v>859</v>
      </c>
      <c r="D91" s="331">
        <v>12.1</v>
      </c>
      <c r="E91" s="330">
        <v>5.7099999999999998E-2</v>
      </c>
      <c r="F91" s="332">
        <v>3</v>
      </c>
      <c r="G91" s="333">
        <f t="shared" si="15"/>
        <v>6.4121280179674344E-3</v>
      </c>
      <c r="H91" s="334">
        <f t="shared" si="14"/>
        <v>4.7190082644628095E-3</v>
      </c>
      <c r="I91" s="335">
        <v>0</v>
      </c>
      <c r="J91" s="336">
        <f>I91*'[3]%Non-FF'!$AI$3/1000</f>
        <v>0</v>
      </c>
      <c r="K91" s="336">
        <f t="shared" si="10"/>
        <v>6.4121280179674344E-3</v>
      </c>
      <c r="L91" s="336">
        <f>K91*'[3]FR SO Table'!$D$18</f>
        <v>5.7709152161706904E-3</v>
      </c>
      <c r="M91" s="329">
        <v>10</v>
      </c>
      <c r="N91" s="336">
        <f t="shared" si="11"/>
        <v>6.4121280179674348E-2</v>
      </c>
      <c r="O91" s="336">
        <f>N91*'[3]FR SO Table'!$D$18</f>
        <v>5.7709152161706904E-2</v>
      </c>
      <c r="P91" s="415">
        <f>O91*F170</f>
        <v>3.7037733857383497</v>
      </c>
      <c r="Q91" s="416">
        <f>G91*M91*'[3]FR SO Table'!$D$18*F170</f>
        <v>3.7037733857383497</v>
      </c>
      <c r="R91" s="338" t="s">
        <v>810</v>
      </c>
      <c r="S91" s="775">
        <f>E91*VLOOKUP(R91,'[3]FR SO Table'!$A$37:$B$44,2,FALSE)</f>
        <v>8.5749925000000005</v>
      </c>
      <c r="T91" s="329">
        <f t="shared" si="13"/>
        <v>85.749925000000005</v>
      </c>
    </row>
    <row r="92" spans="1:21" ht="26.4" x14ac:dyDescent="0.3">
      <c r="A92" s="988" t="s">
        <v>761</v>
      </c>
      <c r="B92" s="989" t="s">
        <v>808</v>
      </c>
      <c r="C92" s="329" t="s">
        <v>860</v>
      </c>
      <c r="D92" s="331">
        <v>12.1</v>
      </c>
      <c r="E92" s="330">
        <v>1.6</v>
      </c>
      <c r="F92" s="332">
        <v>15</v>
      </c>
      <c r="G92" s="333">
        <f t="shared" si="15"/>
        <v>0.17967434025828188</v>
      </c>
      <c r="H92" s="334">
        <f t="shared" si="14"/>
        <v>0.13223140495867769</v>
      </c>
      <c r="I92" s="335">
        <v>0</v>
      </c>
      <c r="J92" s="336">
        <f>I92*'[3]%Non-FF'!$AI$3/1000</f>
        <v>0</v>
      </c>
      <c r="K92" s="336">
        <f t="shared" si="10"/>
        <v>0.17967434025828188</v>
      </c>
      <c r="L92" s="336">
        <f>K92*'[3]FR SO Table'!D19</f>
        <v>0.16170690623245368</v>
      </c>
      <c r="M92" s="329">
        <v>10</v>
      </c>
      <c r="N92" s="336">
        <f t="shared" si="11"/>
        <v>1.7967434025828188</v>
      </c>
      <c r="O92" s="336">
        <f>N92*'[3]FR SO Table'!D19</f>
        <v>1.6170690623245367</v>
      </c>
      <c r="P92" s="415">
        <f>O92*F170</f>
        <v>103.78349241998878</v>
      </c>
      <c r="Q92" s="416">
        <f>G92*M92*'[3]FR SO Table'!D19*F170</f>
        <v>103.78349241998878</v>
      </c>
      <c r="R92" s="338" t="s">
        <v>810</v>
      </c>
      <c r="S92" s="775">
        <f>E92*VLOOKUP(R92,'[3]FR SO Table'!$A$37:$B$44,2,FALSE)</f>
        <v>240.28000000000003</v>
      </c>
      <c r="T92" s="329">
        <f t="shared" si="13"/>
        <v>2402.8000000000002</v>
      </c>
    </row>
    <row r="93" spans="1:21" ht="14.4" x14ac:dyDescent="0.3">
      <c r="A93" s="1045" t="s">
        <v>762</v>
      </c>
      <c r="B93" s="989" t="s">
        <v>808</v>
      </c>
      <c r="C93" s="329" t="s">
        <v>861</v>
      </c>
      <c r="D93" s="331">
        <v>15.02</v>
      </c>
      <c r="E93" s="330">
        <v>7.69</v>
      </c>
      <c r="F93" s="332">
        <v>11200</v>
      </c>
      <c r="G93" s="333">
        <f t="shared" si="15"/>
        <v>0.86355979786636727</v>
      </c>
      <c r="H93" s="334">
        <f t="shared" si="14"/>
        <v>0.51198402130492682</v>
      </c>
      <c r="I93" s="335">
        <v>0</v>
      </c>
      <c r="J93" s="336">
        <f>I93*'[3]%Non-FF'!$AD$3/1000</f>
        <v>0</v>
      </c>
      <c r="K93" s="336">
        <f t="shared" si="10"/>
        <v>0.86355979786636727</v>
      </c>
      <c r="L93" s="336">
        <f>K93*'[3]FR SO Table'!$D$20</f>
        <v>0.77720381807973049</v>
      </c>
      <c r="M93" s="329">
        <v>20</v>
      </c>
      <c r="N93" s="336">
        <f t="shared" si="11"/>
        <v>17.271195957327347</v>
      </c>
      <c r="O93" s="336">
        <f>N93*'[3]FR SO Table'!$D$20</f>
        <v>15.544076361594611</v>
      </c>
      <c r="P93" s="415">
        <f>O93*F170</f>
        <v>997.61882088714219</v>
      </c>
      <c r="Q93" s="416">
        <f>G93*M93*'[3]FR SO Table'!$D$20*F170</f>
        <v>997.61882088714219</v>
      </c>
      <c r="R93" s="338" t="s">
        <v>810</v>
      </c>
      <c r="S93" s="775">
        <f>E93*VLOOKUP(R93,'[3]FR SO Table'!$A$37:$B$44,2,FALSE)</f>
        <v>1154.8457500000002</v>
      </c>
      <c r="T93" s="329">
        <f t="shared" si="13"/>
        <v>23096.915000000005</v>
      </c>
    </row>
    <row r="94" spans="1:21" ht="14.4" x14ac:dyDescent="0.3">
      <c r="A94" s="1045"/>
      <c r="B94" s="989" t="s">
        <v>808</v>
      </c>
      <c r="C94" s="329" t="s">
        <v>862</v>
      </c>
      <c r="D94" s="331">
        <v>15.02</v>
      </c>
      <c r="E94" s="330">
        <v>9.7799999999999994</v>
      </c>
      <c r="F94" s="332">
        <v>11200</v>
      </c>
      <c r="G94" s="333">
        <f t="shared" si="15"/>
        <v>1.098259404828748</v>
      </c>
      <c r="H94" s="334">
        <f t="shared" si="14"/>
        <v>0.65113182423435412</v>
      </c>
      <c r="I94" s="335">
        <v>0</v>
      </c>
      <c r="J94" s="336">
        <f>I94*'[3]%Non-FF'!$AD$3/1000</f>
        <v>0</v>
      </c>
      <c r="K94" s="336">
        <f t="shared" si="10"/>
        <v>1.098259404828748</v>
      </c>
      <c r="L94" s="336">
        <f>K94*'[3]FR SO Table'!$D$20</f>
        <v>0.98843346434587309</v>
      </c>
      <c r="M94" s="329">
        <v>20</v>
      </c>
      <c r="N94" s="336">
        <f t="shared" si="11"/>
        <v>21.965188096574959</v>
      </c>
      <c r="O94" s="336">
        <f>N94*'[3]FR SO Table'!$D$20</f>
        <v>19.768669286917461</v>
      </c>
      <c r="P94" s="415">
        <f>O94*F170</f>
        <v>1268.7531948343628</v>
      </c>
      <c r="Q94" s="416">
        <f>G94*M94*'[3]FR SO Table'!$D$20*F170</f>
        <v>1268.7531948343628</v>
      </c>
      <c r="R94" s="338" t="s">
        <v>810</v>
      </c>
      <c r="S94" s="775">
        <f>E94*VLOOKUP(R94,'[3]FR SO Table'!$A$37:$B$44,2,FALSE)</f>
        <v>1468.7115000000001</v>
      </c>
      <c r="T94" s="329">
        <f t="shared" si="13"/>
        <v>29374.230000000003</v>
      </c>
    </row>
    <row r="95" spans="1:21" ht="14.4" x14ac:dyDescent="0.3">
      <c r="A95" s="1045"/>
      <c r="B95" s="989" t="s">
        <v>808</v>
      </c>
      <c r="C95" s="329" t="s">
        <v>863</v>
      </c>
      <c r="D95" s="331">
        <v>15.02</v>
      </c>
      <c r="E95" s="330">
        <v>10.95</v>
      </c>
      <c r="F95" s="332">
        <v>11200</v>
      </c>
      <c r="G95" s="333">
        <f t="shared" si="15"/>
        <v>1.2296462661426164</v>
      </c>
      <c r="H95" s="334">
        <f t="shared" si="14"/>
        <v>0.72902796271637815</v>
      </c>
      <c r="I95" s="335">
        <v>0</v>
      </c>
      <c r="J95" s="336">
        <f>I95*'[3]%Non-FF'!$AD$3/1000</f>
        <v>0</v>
      </c>
      <c r="K95" s="336">
        <f t="shared" si="10"/>
        <v>1.2296462661426164</v>
      </c>
      <c r="L95" s="336">
        <f>K95*'[3]FR SO Table'!$D$20</f>
        <v>1.1066816395283547</v>
      </c>
      <c r="M95" s="329">
        <v>20</v>
      </c>
      <c r="N95" s="336">
        <f t="shared" si="11"/>
        <v>24.592925322852327</v>
      </c>
      <c r="O95" s="336">
        <f>N95*'[3]FR SO Table'!$D$20</f>
        <v>22.133632790567091</v>
      </c>
      <c r="P95" s="415">
        <f>O95*F170</f>
        <v>1420.5365524985962</v>
      </c>
      <c r="Q95" s="416">
        <f>G95*M95*'[3]FR SO Table'!$D$20*F170</f>
        <v>1420.5365524985962</v>
      </c>
      <c r="R95" s="338" t="s">
        <v>810</v>
      </c>
      <c r="S95" s="775">
        <f>E95*VLOOKUP(R95,'[3]FR SO Table'!$A$37:$B$44,2,FALSE)</f>
        <v>1644.41625</v>
      </c>
      <c r="T95" s="329">
        <f t="shared" si="13"/>
        <v>32888.324999999997</v>
      </c>
    </row>
    <row r="96" spans="1:21" ht="14.4" x14ac:dyDescent="0.3">
      <c r="A96" s="1045"/>
      <c r="B96" s="989" t="s">
        <v>808</v>
      </c>
      <c r="C96" s="329" t="s">
        <v>864</v>
      </c>
      <c r="D96" s="331">
        <v>15.02</v>
      </c>
      <c r="E96" s="330">
        <v>11.86</v>
      </c>
      <c r="F96" s="332">
        <v>11200</v>
      </c>
      <c r="G96" s="333">
        <f t="shared" si="15"/>
        <v>1.3318360471645143</v>
      </c>
      <c r="H96" s="334">
        <f t="shared" si="14"/>
        <v>0.78961384820239677</v>
      </c>
      <c r="I96" s="335">
        <v>0</v>
      </c>
      <c r="J96" s="336">
        <f>I96*'[3]%Non-FF'!$AD$3/1000</f>
        <v>0</v>
      </c>
      <c r="K96" s="336">
        <f t="shared" si="10"/>
        <v>1.3318360471645143</v>
      </c>
      <c r="L96" s="336">
        <f>K96*'[3]FR SO Table'!$D$20</f>
        <v>1.1986524424480627</v>
      </c>
      <c r="M96" s="329">
        <v>20</v>
      </c>
      <c r="N96" s="336">
        <f t="shared" si="11"/>
        <v>26.636720943290285</v>
      </c>
      <c r="O96" s="336">
        <f>N96*'[3]FR SO Table'!$D$20</f>
        <v>23.973048848961255</v>
      </c>
      <c r="P96" s="415">
        <f>O96*F170</f>
        <v>1538.5902751263336</v>
      </c>
      <c r="Q96" s="416">
        <f>G96*M96*'[3]FR SO Table'!$D$20*F170</f>
        <v>1538.5902751263336</v>
      </c>
      <c r="R96" s="338" t="s">
        <v>810</v>
      </c>
      <c r="S96" s="775">
        <f>E96*VLOOKUP(R96,'[3]FR SO Table'!$A$37:$B$44,2,FALSE)</f>
        <v>1781.0755000000001</v>
      </c>
      <c r="T96" s="329">
        <f t="shared" si="13"/>
        <v>35621.51</v>
      </c>
    </row>
    <row r="97" spans="1:20" s="339" customFormat="1" ht="14.4" x14ac:dyDescent="0.3">
      <c r="A97" s="1042" t="s">
        <v>763</v>
      </c>
      <c r="B97" s="1043" t="s">
        <v>808</v>
      </c>
      <c r="C97" s="360" t="s">
        <v>865</v>
      </c>
      <c r="D97" s="361">
        <v>137.4</v>
      </c>
      <c r="E97" s="362">
        <v>137.4</v>
      </c>
      <c r="F97" s="348" t="s">
        <v>695</v>
      </c>
      <c r="G97" s="354">
        <f t="shared" si="15"/>
        <v>15.429533969679957</v>
      </c>
      <c r="H97" s="363">
        <f t="shared" si="14"/>
        <v>1</v>
      </c>
      <c r="I97" s="349">
        <v>13885.505186780467</v>
      </c>
      <c r="J97" s="336">
        <f>I97*'[3]%Non-FF'!$AJ$3/1000</f>
        <v>7.2898902230597126E-2</v>
      </c>
      <c r="K97" s="355">
        <f t="shared" si="10"/>
        <v>15.356635067449361</v>
      </c>
      <c r="L97" s="355">
        <f>K97*'[3]FR SO Table'!$D$21</f>
        <v>15.356635067449361</v>
      </c>
      <c r="M97" s="360">
        <v>8</v>
      </c>
      <c r="N97" s="355">
        <f t="shared" si="11"/>
        <v>122.85308053959488</v>
      </c>
      <c r="O97" s="355">
        <f>N97*'[3]FR SO Table'!$D$21</f>
        <v>122.85308053959488</v>
      </c>
      <c r="P97" s="415">
        <f>O97*F170</f>
        <v>7884.7107090312002</v>
      </c>
      <c r="Q97" s="416">
        <f>G97*M97*'[3]FR SO Table'!$D$21*F170</f>
        <v>7922.1399213924778</v>
      </c>
      <c r="R97" s="329" t="s">
        <v>866</v>
      </c>
      <c r="S97" s="775">
        <f>E97*VLOOKUP(R97,'[3]FR SO Table'!$A$37:$B$44,2,FALSE)</f>
        <v>19105.47</v>
      </c>
      <c r="T97" s="329">
        <f t="shared" si="13"/>
        <v>141701.61768320316</v>
      </c>
    </row>
    <row r="98" spans="1:20" s="339" customFormat="1" ht="14.4" x14ac:dyDescent="0.3">
      <c r="A98" s="1042"/>
      <c r="B98" s="1043"/>
      <c r="C98" s="360" t="s">
        <v>867</v>
      </c>
      <c r="D98" s="361">
        <v>137.4</v>
      </c>
      <c r="E98" s="362">
        <v>137.4</v>
      </c>
      <c r="F98" s="348" t="s">
        <v>695</v>
      </c>
      <c r="G98" s="354">
        <f t="shared" si="15"/>
        <v>15.429533969679957</v>
      </c>
      <c r="H98" s="363">
        <f t="shared" si="14"/>
        <v>1</v>
      </c>
      <c r="I98" s="349">
        <v>13885.505186780467</v>
      </c>
      <c r="J98" s="336">
        <f>I98*'[3]%Non-FF'!$AN$3/1000</f>
        <v>0.14579780446119425</v>
      </c>
      <c r="K98" s="355">
        <f t="shared" si="10"/>
        <v>15.283736165218762</v>
      </c>
      <c r="L98" s="355">
        <f>K98*'[3]FR SO Table'!$D$21</f>
        <v>15.283736165218762</v>
      </c>
      <c r="M98" s="360">
        <v>4</v>
      </c>
      <c r="N98" s="355">
        <f t="shared" si="11"/>
        <v>61.13494466087505</v>
      </c>
      <c r="O98" s="355">
        <f>N98*'[3]FR SO Table'!$D$21</f>
        <v>61.13494466087505</v>
      </c>
      <c r="P98" s="415">
        <f>O98*F170</f>
        <v>3923.6407483349612</v>
      </c>
      <c r="Q98" s="416">
        <f>G98*M98*'[3]FR SO Table'!$D$21*F170</f>
        <v>3961.0699606962389</v>
      </c>
      <c r="R98" s="329" t="s">
        <v>866</v>
      </c>
      <c r="S98" s="775">
        <f>E98*VLOOKUP(R98,'[3]FR SO Table'!$A$37:$B$44,2,FALSE)</f>
        <v>19105.47</v>
      </c>
      <c r="T98" s="329">
        <f t="shared" si="13"/>
        <v>65279.737683203151</v>
      </c>
    </row>
    <row r="99" spans="1:20" s="339" customFormat="1" ht="26.4" x14ac:dyDescent="0.3">
      <c r="A99" s="986" t="s">
        <v>764</v>
      </c>
      <c r="B99" s="987" t="s">
        <v>808</v>
      </c>
      <c r="C99" s="360" t="s">
        <v>868</v>
      </c>
      <c r="D99" s="361">
        <v>7.8324999999999996</v>
      </c>
      <c r="E99" s="347">
        <v>7.8324999999999996</v>
      </c>
      <c r="F99" s="348" t="s">
        <v>695</v>
      </c>
      <c r="G99" s="354">
        <f t="shared" si="15"/>
        <v>0.87956204379562042</v>
      </c>
      <c r="H99" s="363">
        <f t="shared" si="14"/>
        <v>1</v>
      </c>
      <c r="I99" s="349">
        <v>757.50812185089751</v>
      </c>
      <c r="J99" s="336">
        <f>I99*'[3]%Non-FF'!$AM$3/1000</f>
        <v>6.3630682235475116E-3</v>
      </c>
      <c r="K99" s="355">
        <f t="shared" si="10"/>
        <v>0.87319897557207293</v>
      </c>
      <c r="L99" s="355">
        <f>K99*'[3]FR SO Table'!$D$22</f>
        <v>0.87319897557207293</v>
      </c>
      <c r="M99" s="360">
        <v>5</v>
      </c>
      <c r="N99" s="355">
        <f t="shared" si="11"/>
        <v>4.3659948778603646</v>
      </c>
      <c r="O99" s="355">
        <f>N99*'[3]FR SO Table'!$D$22</f>
        <v>4.3659948778603646</v>
      </c>
      <c r="P99" s="415">
        <f>O99*F170</f>
        <v>280.20955126107822</v>
      </c>
      <c r="Q99" s="416">
        <f>G99*M99*'[3]FR SO Table'!$D$22*F170</f>
        <v>282.25145985401463</v>
      </c>
      <c r="R99" s="329" t="s">
        <v>843</v>
      </c>
      <c r="S99" s="775">
        <f>E99*VLOOKUP(R99,'[3]FR SO Table'!$A$37:$B$44,2,FALSE)</f>
        <v>1231.2689999999998</v>
      </c>
      <c r="T99" s="329">
        <f t="shared" si="13"/>
        <v>6117.1717567573041</v>
      </c>
    </row>
    <row r="100" spans="1:20" s="339" customFormat="1" ht="14.4" x14ac:dyDescent="0.3">
      <c r="A100" s="1042" t="s">
        <v>765</v>
      </c>
      <c r="B100" s="1043" t="s">
        <v>808</v>
      </c>
      <c r="C100" s="360" t="s">
        <v>869</v>
      </c>
      <c r="D100" s="361">
        <v>82.8</v>
      </c>
      <c r="E100" s="347">
        <v>48.316750616466237</v>
      </c>
      <c r="F100" s="348">
        <v>6403.6666666666661</v>
      </c>
      <c r="G100" s="354">
        <f t="shared" si="15"/>
        <v>5.4258001815234405</v>
      </c>
      <c r="H100" s="363">
        <f t="shared" si="14"/>
        <v>0.5835356354645681</v>
      </c>
      <c r="I100" s="349">
        <v>4473.0651941800925</v>
      </c>
      <c r="J100" s="336">
        <f>I100*'[3]%Non-FF'!$AE$3/1000</f>
        <v>1.0437152119753889E-2</v>
      </c>
      <c r="K100" s="355">
        <f t="shared" si="10"/>
        <v>5.4153630294036867</v>
      </c>
      <c r="L100" s="355">
        <f>K100*'[3]FR SO Table'!$D$23</f>
        <v>5.4153630294036867</v>
      </c>
      <c r="M100" s="360">
        <v>18</v>
      </c>
      <c r="N100" s="355">
        <f t="shared" si="11"/>
        <v>97.47653452926636</v>
      </c>
      <c r="O100" s="355">
        <f>N100*'[3]FR SO Table'!$D$23</f>
        <v>97.47653452926636</v>
      </c>
      <c r="P100" s="415">
        <f>O100*F170</f>
        <v>6256.0439860883153</v>
      </c>
      <c r="Q100" s="417">
        <f>G100*M100*'[3]FR SO Table'!$D$23*F170</f>
        <v>6268.1014017031403</v>
      </c>
      <c r="R100" s="338" t="s">
        <v>810</v>
      </c>
      <c r="S100" s="775">
        <f>E100*VLOOKUP(R100,'[3]FR SO Table'!$A$37:$B$44,2,FALSE)</f>
        <v>7255.9680238278179</v>
      </c>
      <c r="T100" s="329">
        <f t="shared" si="13"/>
        <v>129244.25487216702</v>
      </c>
    </row>
    <row r="101" spans="1:20" s="339" customFormat="1" ht="14.4" x14ac:dyDescent="0.3">
      <c r="A101" s="1042"/>
      <c r="B101" s="1043"/>
      <c r="C101" s="360" t="s">
        <v>870</v>
      </c>
      <c r="D101" s="361">
        <v>82.8</v>
      </c>
      <c r="E101" s="347">
        <v>55.16597218413159</v>
      </c>
      <c r="F101" s="348">
        <v>7325.9999999999991</v>
      </c>
      <c r="G101" s="354">
        <f t="shared" si="15"/>
        <v>6.1949435355566083</v>
      </c>
      <c r="H101" s="363">
        <f t="shared" si="14"/>
        <v>0.66625570270690326</v>
      </c>
      <c r="I101" s="349">
        <v>5082.9017942818564</v>
      </c>
      <c r="J101" s="336">
        <f>I101*'[3]%Non-FF'!$AE$3/1000</f>
        <v>1.1860104186658052E-2</v>
      </c>
      <c r="K101" s="355">
        <f t="shared" si="10"/>
        <v>6.1830834313699503</v>
      </c>
      <c r="L101" s="355">
        <f>K101*'[3]FR SO Table'!$D$23</f>
        <v>6.1830834313699503</v>
      </c>
      <c r="M101" s="360">
        <v>18</v>
      </c>
      <c r="N101" s="355">
        <f t="shared" si="11"/>
        <v>111.29550176465911</v>
      </c>
      <c r="O101" s="355">
        <f>N101*'[3]FR SO Table'!$D$23</f>
        <v>111.29550176465911</v>
      </c>
      <c r="P101" s="415">
        <f>O101*F170</f>
        <v>7142.9453032558222</v>
      </c>
      <c r="Q101" s="417">
        <f>G101*M101*'[3]FR SO Table'!$D$23*F170</f>
        <v>7156.6465700164172</v>
      </c>
      <c r="R101" s="338" t="s">
        <v>810</v>
      </c>
      <c r="S101" s="775">
        <f>E101*VLOOKUP(R101,'[3]FR SO Table'!$A$37:$B$44,2,FALSE)</f>
        <v>8284.5498727519625</v>
      </c>
      <c r="T101" s="329">
        <f t="shared" si="13"/>
        <v>147353.29646618807</v>
      </c>
    </row>
    <row r="102" spans="1:20" s="339" customFormat="1" ht="14.4" x14ac:dyDescent="0.3">
      <c r="A102" s="1042"/>
      <c r="B102" s="1043"/>
      <c r="C102" s="360" t="s">
        <v>871</v>
      </c>
      <c r="D102" s="361">
        <v>82.8</v>
      </c>
      <c r="E102" s="347">
        <v>62.015193751796943</v>
      </c>
      <c r="F102" s="348">
        <v>8248.3333333333321</v>
      </c>
      <c r="G102" s="354">
        <f t="shared" si="15"/>
        <v>6.9640868895897752</v>
      </c>
      <c r="H102" s="363">
        <f t="shared" si="14"/>
        <v>0.74897576994923842</v>
      </c>
      <c r="I102" s="349">
        <v>5692.7383943836203</v>
      </c>
      <c r="J102" s="336">
        <f>I102*'[3]%Non-FF'!$AE$3/1000</f>
        <v>1.3283056253562213E-2</v>
      </c>
      <c r="K102" s="355">
        <f t="shared" si="10"/>
        <v>6.950803833336213</v>
      </c>
      <c r="L102" s="355">
        <f>K102*'[3]FR SO Table'!$D$23</f>
        <v>6.950803833336213</v>
      </c>
      <c r="M102" s="360">
        <v>18</v>
      </c>
      <c r="N102" s="355">
        <f t="shared" si="11"/>
        <v>125.11446900005183</v>
      </c>
      <c r="O102" s="355">
        <f>N102*'[3]FR SO Table'!$D$23</f>
        <v>125.11446900005183</v>
      </c>
      <c r="P102" s="415">
        <f>O102*F170</f>
        <v>8029.8466204233273</v>
      </c>
      <c r="Q102" s="417">
        <f>G102*M102*'[3]FR SO Table'!$D$23*F170</f>
        <v>8045.1917383296923</v>
      </c>
      <c r="R102" s="338" t="s">
        <v>810</v>
      </c>
      <c r="S102" s="775">
        <f>E102*VLOOKUP(R102,'[3]FR SO Table'!$A$37:$B$44,2,FALSE)</f>
        <v>9313.1317216761072</v>
      </c>
      <c r="T102" s="329">
        <f t="shared" si="13"/>
        <v>165409.64764416448</v>
      </c>
    </row>
    <row r="103" spans="1:20" s="339" customFormat="1" ht="14.4" x14ac:dyDescent="0.3">
      <c r="A103" s="1042"/>
      <c r="B103" s="1043"/>
      <c r="C103" s="360" t="s">
        <v>872</v>
      </c>
      <c r="D103" s="361">
        <v>82.8</v>
      </c>
      <c r="E103" s="347">
        <v>75.506963216120838</v>
      </c>
      <c r="F103" s="348">
        <v>9223.5833333333321</v>
      </c>
      <c r="G103" s="354">
        <f t="shared" si="15"/>
        <v>8.4791648754767923</v>
      </c>
      <c r="H103" s="363">
        <f t="shared" si="14"/>
        <v>0.91191984560532413</v>
      </c>
      <c r="I103" s="349">
        <v>6594.7804260102494</v>
      </c>
      <c r="J103" s="336">
        <f>I103*'[3]%Non-FF'!$AE$3/1000</f>
        <v>1.5387820994024417E-2</v>
      </c>
      <c r="K103" s="355">
        <f t="shared" si="10"/>
        <v>8.4637770544827671</v>
      </c>
      <c r="L103" s="355">
        <f>K103*'[3]FR SO Table'!$D$23</f>
        <v>8.4637770544827671</v>
      </c>
      <c r="M103" s="360">
        <v>18</v>
      </c>
      <c r="N103" s="355">
        <f t="shared" si="11"/>
        <v>152.3479869806898</v>
      </c>
      <c r="O103" s="355">
        <f>N103*'[3]FR SO Table'!$D$23</f>
        <v>152.3479869806898</v>
      </c>
      <c r="P103" s="415">
        <f>O103*F170</f>
        <v>9777.6938044206727</v>
      </c>
      <c r="Q103" s="417">
        <f>G103*M103*'[3]FR SO Table'!$D$23*F170</f>
        <v>9795.4704307458105</v>
      </c>
      <c r="R103" s="338" t="s">
        <v>810</v>
      </c>
      <c r="S103" s="775">
        <f>E103*VLOOKUP(R103,'[3]FR SO Table'!$A$37:$B$44,2,FALSE)</f>
        <v>11339.258200980948</v>
      </c>
      <c r="T103" s="329">
        <f t="shared" si="13"/>
        <v>200965.89106042616</v>
      </c>
    </row>
    <row r="104" spans="1:20" s="339" customFormat="1" ht="14.4" x14ac:dyDescent="0.3">
      <c r="A104" s="1042"/>
      <c r="B104" s="1043"/>
      <c r="C104" s="360" t="s">
        <v>873</v>
      </c>
      <c r="D104" s="361">
        <v>82.8</v>
      </c>
      <c r="E104" s="347">
        <v>88.998732680444732</v>
      </c>
      <c r="F104" s="348">
        <v>10198.833333333334</v>
      </c>
      <c r="G104" s="354">
        <f t="shared" si="15"/>
        <v>9.9942428613638103</v>
      </c>
      <c r="H104" s="363">
        <f t="shared" si="14"/>
        <v>1.0748639212614099</v>
      </c>
      <c r="I104" s="349">
        <v>7496.8224576368784</v>
      </c>
      <c r="J104" s="336">
        <f>I104*'[3]%Non-FF'!$AE$3/1000</f>
        <v>1.7492585734486622E-2</v>
      </c>
      <c r="K104" s="355">
        <f t="shared" si="10"/>
        <v>9.9767502756293229</v>
      </c>
      <c r="L104" s="355">
        <f>K104*'[3]FR SO Table'!$D$23</f>
        <v>9.9767502756293229</v>
      </c>
      <c r="M104" s="360">
        <v>18</v>
      </c>
      <c r="N104" s="355">
        <f t="shared" si="11"/>
        <v>179.58150496132782</v>
      </c>
      <c r="O104" s="355">
        <f>N104*'[3]FR SO Table'!$D$23</f>
        <v>179.58150496132782</v>
      </c>
      <c r="P104" s="415">
        <f>O104*F170</f>
        <v>11525.540988418021</v>
      </c>
      <c r="Q104" s="417">
        <f>G104*M104*'[3]FR SO Table'!$D$23*F170</f>
        <v>11545.74912316193</v>
      </c>
      <c r="R104" s="338" t="s">
        <v>810</v>
      </c>
      <c r="S104" s="775">
        <f>E104*VLOOKUP(R104,'[3]FR SO Table'!$A$37:$B$44,2,FALSE)</f>
        <v>13365.384680285788</v>
      </c>
      <c r="T104" s="329">
        <f t="shared" si="13"/>
        <v>236368.61177204689</v>
      </c>
    </row>
    <row r="105" spans="1:20" s="339" customFormat="1" ht="14.4" x14ac:dyDescent="0.3">
      <c r="A105" s="1042"/>
      <c r="B105" s="1043"/>
      <c r="C105" s="360" t="s">
        <v>874</v>
      </c>
      <c r="D105" s="361">
        <v>82.8</v>
      </c>
      <c r="E105" s="347">
        <v>87.240603714413766</v>
      </c>
      <c r="F105" s="348">
        <v>11115.875</v>
      </c>
      <c r="G105" s="354">
        <f t="shared" si="15"/>
        <v>9.7968111975759431</v>
      </c>
      <c r="H105" s="363">
        <f t="shared" si="14"/>
        <v>1.0536304796426783</v>
      </c>
      <c r="I105" s="349">
        <v>7769.5422171253631</v>
      </c>
      <c r="J105" s="336">
        <f>I105*'[3]%Non-FF'!$AE$3/1000</f>
        <v>1.8128931839959773E-2</v>
      </c>
      <c r="K105" s="355">
        <f t="shared" si="10"/>
        <v>9.7786822657359842</v>
      </c>
      <c r="L105" s="355">
        <f>K105*'[3]FR SO Table'!$D$23</f>
        <v>9.7786822657359842</v>
      </c>
      <c r="M105" s="360">
        <v>18</v>
      </c>
      <c r="N105" s="355">
        <f t="shared" si="11"/>
        <v>176.01628078324771</v>
      </c>
      <c r="O105" s="355">
        <f>N105*'[3]FR SO Table'!$D$23</f>
        <v>176.01628078324771</v>
      </c>
      <c r="P105" s="415">
        <f>O105*F170</f>
        <v>11296.72490066884</v>
      </c>
      <c r="Q105" s="417">
        <f>G105*M105*'[3]FR SO Table'!$D$23*F170</f>
        <v>11317.668167887634</v>
      </c>
      <c r="R105" s="338" t="s">
        <v>810</v>
      </c>
      <c r="S105" s="775">
        <f>E105*VLOOKUP(R105,'[3]FR SO Table'!$A$37:$B$44,2,FALSE)</f>
        <v>13101.357662812088</v>
      </c>
      <c r="T105" s="329">
        <f t="shared" si="13"/>
        <v>231549.19276917662</v>
      </c>
    </row>
    <row r="106" spans="1:20" s="339" customFormat="1" ht="14.4" x14ac:dyDescent="0.3">
      <c r="A106" s="1042"/>
      <c r="B106" s="1043"/>
      <c r="C106" s="360" t="s">
        <v>875</v>
      </c>
      <c r="D106" s="361">
        <v>82.8</v>
      </c>
      <c r="E106" s="347">
        <v>85.482474748382771</v>
      </c>
      <c r="F106" s="348">
        <v>12032.916666666666</v>
      </c>
      <c r="G106" s="354">
        <f t="shared" si="15"/>
        <v>9.5993795337880723</v>
      </c>
      <c r="H106" s="363">
        <f t="shared" si="14"/>
        <v>1.0323970380239464</v>
      </c>
      <c r="I106" s="349">
        <v>8042.2619766138487</v>
      </c>
      <c r="J106" s="336">
        <f>I106*'[3]%Non-FF'!$AE$3/1000</f>
        <v>1.8765277945432923E-2</v>
      </c>
      <c r="K106" s="355">
        <f t="shared" si="10"/>
        <v>9.5806142558426401</v>
      </c>
      <c r="L106" s="355">
        <f>K106*'[3]FR SO Table'!$D$23</f>
        <v>9.5806142558426401</v>
      </c>
      <c r="M106" s="360">
        <v>18</v>
      </c>
      <c r="N106" s="355">
        <f t="shared" si="11"/>
        <v>172.45105660516754</v>
      </c>
      <c r="O106" s="355">
        <f>N106*'[3]FR SO Table'!$D$23</f>
        <v>172.45105660516754</v>
      </c>
      <c r="P106" s="415">
        <f>O106*F170</f>
        <v>11067.908812919653</v>
      </c>
      <c r="Q106" s="417">
        <f>G106*M106*'[3]FR SO Table'!$D$23*F170</f>
        <v>11089.587212613333</v>
      </c>
      <c r="R106" s="338" t="s">
        <v>810</v>
      </c>
      <c r="S106" s="775">
        <f>E106*VLOOKUP(R106,'[3]FR SO Table'!$A$37:$B$44,2,FALSE)</f>
        <v>12837.330645338383</v>
      </c>
      <c r="T106" s="329">
        <f t="shared" si="13"/>
        <v>226735.82221862132</v>
      </c>
    </row>
    <row r="107" spans="1:20" s="339" customFormat="1" ht="14.4" x14ac:dyDescent="0.3">
      <c r="A107" s="1042"/>
      <c r="B107" s="1043"/>
      <c r="C107" s="360" t="s">
        <v>876</v>
      </c>
      <c r="D107" s="361">
        <v>82.8</v>
      </c>
      <c r="E107" s="347">
        <v>90.320134929913749</v>
      </c>
      <c r="F107" s="348">
        <v>12971.125</v>
      </c>
      <c r="G107" s="354">
        <f t="shared" si="15"/>
        <v>10.142631659732034</v>
      </c>
      <c r="H107" s="363">
        <f t="shared" si="14"/>
        <v>1.0908228856269777</v>
      </c>
      <c r="I107" s="349">
        <v>8215.9242393202458</v>
      </c>
      <c r="J107" s="336">
        <f>I107*'[3]%Non-FF'!$AE$3/1000</f>
        <v>1.9170489891747865E-2</v>
      </c>
      <c r="K107" s="355">
        <f t="shared" si="10"/>
        <v>10.123461169840287</v>
      </c>
      <c r="L107" s="355">
        <f>K107*'[3]FR SO Table'!$D$23</f>
        <v>10.123461169840287</v>
      </c>
      <c r="M107" s="360">
        <v>18</v>
      </c>
      <c r="N107" s="355">
        <f t="shared" si="11"/>
        <v>182.22230105712515</v>
      </c>
      <c r="O107" s="355">
        <f>N107*'[3]FR SO Table'!$D$23</f>
        <v>182.22230105712515</v>
      </c>
      <c r="P107" s="415">
        <f>O107*F170</f>
        <v>11695.027281846293</v>
      </c>
      <c r="Q107" s="417">
        <f>G107*M107*'[3]FR SO Table'!$D$23*F170</f>
        <v>11717.173798588836</v>
      </c>
      <c r="R107" s="338" t="s">
        <v>810</v>
      </c>
      <c r="S107" s="775">
        <f>E107*VLOOKUP(R107,'[3]FR SO Table'!$A$37:$B$44,2,FALSE)</f>
        <v>13563.826263099798</v>
      </c>
      <c r="T107" s="329">
        <f t="shared" si="13"/>
        <v>239468.41923893313</v>
      </c>
    </row>
    <row r="108" spans="1:20" s="339" customFormat="1" ht="14.4" x14ac:dyDescent="0.3">
      <c r="A108" s="1042"/>
      <c r="B108" s="1043"/>
      <c r="C108" s="360" t="s">
        <v>877</v>
      </c>
      <c r="D108" s="361">
        <v>82.8</v>
      </c>
      <c r="E108" s="347">
        <v>95.157795111444727</v>
      </c>
      <c r="F108" s="348">
        <v>13909.333333333334</v>
      </c>
      <c r="G108" s="354">
        <f t="shared" si="15"/>
        <v>10.685883785675994</v>
      </c>
      <c r="H108" s="363">
        <f t="shared" si="14"/>
        <v>1.1492487332300088</v>
      </c>
      <c r="I108" s="349">
        <v>8389.5865020266428</v>
      </c>
      <c r="J108" s="336">
        <f>I108*'[3]%Non-FF'!$AE$3/1000</f>
        <v>1.9575701838062804E-2</v>
      </c>
      <c r="K108" s="355">
        <f t="shared" si="10"/>
        <v>10.666308083837931</v>
      </c>
      <c r="L108" s="355">
        <f>K108*'[3]FR SO Table'!$D$23</f>
        <v>10.666308083837931</v>
      </c>
      <c r="M108" s="360">
        <v>18</v>
      </c>
      <c r="N108" s="355">
        <f t="shared" si="11"/>
        <v>191.99354550908276</v>
      </c>
      <c r="O108" s="355">
        <f>N108*'[3]FR SO Table'!$D$23</f>
        <v>191.99354550908276</v>
      </c>
      <c r="P108" s="415">
        <f>O108*F170</f>
        <v>12322.145750772934</v>
      </c>
      <c r="Q108" s="417">
        <f>G108*M108*'[3]FR SO Table'!$D$23*F170</f>
        <v>12344.760384564337</v>
      </c>
      <c r="R108" s="338" t="s">
        <v>810</v>
      </c>
      <c r="S108" s="775">
        <f>E108*VLOOKUP(R108,'[3]FR SO Table'!$A$37:$B$44,2,FALSE)</f>
        <v>14290.321880861213</v>
      </c>
      <c r="T108" s="329">
        <f t="shared" si="13"/>
        <v>252190.41840992752</v>
      </c>
    </row>
    <row r="109" spans="1:20" s="339" customFormat="1" ht="14.4" x14ac:dyDescent="0.3">
      <c r="A109" s="1042"/>
      <c r="B109" s="1043"/>
      <c r="C109" s="360" t="s">
        <v>878</v>
      </c>
      <c r="D109" s="361" t="s">
        <v>695</v>
      </c>
      <c r="E109" s="347">
        <v>51.078531597613754</v>
      </c>
      <c r="F109" s="348">
        <v>6403.6666666666661</v>
      </c>
      <c r="G109" s="354">
        <f t="shared" si="15"/>
        <v>5.7359384163519103</v>
      </c>
      <c r="H109" s="363" t="e">
        <f t="shared" si="14"/>
        <v>#VALUE!</v>
      </c>
      <c r="I109" s="349">
        <v>2921.6875399361015</v>
      </c>
      <c r="J109" s="336">
        <f>I109*'[3]%Non-FF'!$AE$3/1000</f>
        <v>6.8172709265177924E-3</v>
      </c>
      <c r="K109" s="355">
        <f t="shared" si="10"/>
        <v>5.7291211454253927</v>
      </c>
      <c r="L109" s="355">
        <f>K109*'[3]FR SO Table'!$D$23</f>
        <v>5.7291211454253927</v>
      </c>
      <c r="M109" s="360">
        <v>18</v>
      </c>
      <c r="N109" s="355">
        <f t="shared" si="11"/>
        <v>103.12418061765707</v>
      </c>
      <c r="O109" s="355">
        <f>N109*'[3]FR SO Table'!$D$23</f>
        <v>103.12418061765707</v>
      </c>
      <c r="P109" s="415">
        <f>O109*F170</f>
        <v>6618.5099120412315</v>
      </c>
      <c r="Q109" s="417">
        <f>G109*M109*'[3]FR SO Table'!$D$23*F170</f>
        <v>6626.3854961063817</v>
      </c>
      <c r="R109" s="338" t="s">
        <v>810</v>
      </c>
      <c r="S109" s="775">
        <f>E109*VLOOKUP(R109,'[3]FR SO Table'!$A$37:$B$44,2,FALSE)</f>
        <v>7670.7184826716457</v>
      </c>
      <c r="T109" s="329">
        <f t="shared" si="13"/>
        <v>137131.65209833605</v>
      </c>
    </row>
    <row r="110" spans="1:20" s="339" customFormat="1" ht="14.4" x14ac:dyDescent="0.3">
      <c r="A110" s="1042"/>
      <c r="B110" s="1043"/>
      <c r="C110" s="360" t="s">
        <v>879</v>
      </c>
      <c r="D110" s="361" t="s">
        <v>695</v>
      </c>
      <c r="E110" s="347">
        <v>58.31925403443725</v>
      </c>
      <c r="F110" s="348">
        <v>7325.9999999999991</v>
      </c>
      <c r="G110" s="354">
        <f t="shared" si="15"/>
        <v>6.5490459331204107</v>
      </c>
      <c r="H110" s="363" t="e">
        <f t="shared" si="14"/>
        <v>#VALUE!</v>
      </c>
      <c r="I110" s="349">
        <v>3320.0166316364771</v>
      </c>
      <c r="J110" s="336">
        <f>I110*'[3]%Non-FF'!$AE$3/1000</f>
        <v>7.7467054738186991E-3</v>
      </c>
      <c r="K110" s="355">
        <f t="shared" si="10"/>
        <v>6.5412992276465918</v>
      </c>
      <c r="L110" s="355">
        <f>K110*'[3]FR SO Table'!$D$23</f>
        <v>6.5412992276465918</v>
      </c>
      <c r="M110" s="360">
        <v>18</v>
      </c>
      <c r="N110" s="355">
        <f t="shared" si="11"/>
        <v>117.74338609763865</v>
      </c>
      <c r="O110" s="355">
        <f>N110*'[3]FR SO Table'!$D$23</f>
        <v>117.74338609763865</v>
      </c>
      <c r="P110" s="415">
        <f>O110*F170</f>
        <v>7556.7705197464493</v>
      </c>
      <c r="Q110" s="417">
        <f>G110*M110*'[3]FR SO Table'!$D$23*F170</f>
        <v>7565.719823778024</v>
      </c>
      <c r="R110" s="338" t="s">
        <v>810</v>
      </c>
      <c r="S110" s="775">
        <f>E110*VLOOKUP(R110,'[3]FR SO Table'!$A$37:$B$44,2,FALSE)</f>
        <v>8758.0939746216154</v>
      </c>
      <c r="T110" s="329">
        <f t="shared" si="13"/>
        <v>156424.45680158751</v>
      </c>
    </row>
    <row r="111" spans="1:20" s="339" customFormat="1" ht="14.4" x14ac:dyDescent="0.3">
      <c r="A111" s="1042"/>
      <c r="B111" s="1043"/>
      <c r="C111" s="360" t="s">
        <v>880</v>
      </c>
      <c r="D111" s="361" t="s">
        <v>695</v>
      </c>
      <c r="E111" s="347">
        <v>65.559976471260754</v>
      </c>
      <c r="F111" s="348">
        <v>8248.3333333333321</v>
      </c>
      <c r="G111" s="354">
        <f t="shared" si="15"/>
        <v>7.3621534498889121</v>
      </c>
      <c r="H111" s="363" t="e">
        <f t="shared" si="14"/>
        <v>#VALUE!</v>
      </c>
      <c r="I111" s="349">
        <v>3718.3457233368526</v>
      </c>
      <c r="J111" s="336">
        <f>I111*'[3]%Non-FF'!$AE$3/1000</f>
        <v>8.6761400211196067E-3</v>
      </c>
      <c r="K111" s="355">
        <f t="shared" si="10"/>
        <v>7.3534773098677926</v>
      </c>
      <c r="L111" s="355">
        <f>K111*'[3]FR SO Table'!$D$23</f>
        <v>7.3534773098677926</v>
      </c>
      <c r="M111" s="360">
        <v>18</v>
      </c>
      <c r="N111" s="355">
        <f t="shared" si="11"/>
        <v>132.36259157762026</v>
      </c>
      <c r="O111" s="355">
        <f>N111*'[3]FR SO Table'!$D$23</f>
        <v>132.36259157762026</v>
      </c>
      <c r="P111" s="415">
        <f>O111*F170</f>
        <v>8495.0311274516698</v>
      </c>
      <c r="Q111" s="417">
        <f>G111*M111*'[3]FR SO Table'!$D$23*F170</f>
        <v>8505.0541514496672</v>
      </c>
      <c r="R111" s="338" t="s">
        <v>810</v>
      </c>
      <c r="S111" s="775">
        <f>E111*VLOOKUP(R111,'[3]FR SO Table'!$A$37:$B$44,2,FALSE)</f>
        <v>9845.4694665715851</v>
      </c>
      <c r="T111" s="329">
        <f t="shared" si="13"/>
        <v>175680.87830830712</v>
      </c>
    </row>
    <row r="112" spans="1:20" s="339" customFormat="1" ht="14.4" x14ac:dyDescent="0.3">
      <c r="A112" s="1042"/>
      <c r="B112" s="1043"/>
      <c r="C112" s="360" t="s">
        <v>881</v>
      </c>
      <c r="D112" s="361" t="s">
        <v>695</v>
      </c>
      <c r="E112" s="347">
        <v>79.82293422604674</v>
      </c>
      <c r="F112" s="348">
        <v>9223.5833333333321</v>
      </c>
      <c r="G112" s="354">
        <f t="shared" si="15"/>
        <v>8.9638331528407349</v>
      </c>
      <c r="H112" s="363" t="e">
        <f t="shared" si="14"/>
        <v>#VALUE!</v>
      </c>
      <c r="I112" s="349">
        <v>4307.5356523661012</v>
      </c>
      <c r="J112" s="336">
        <f>I112*'[3]%Non-FF'!$AE$3/1000</f>
        <v>1.0050916522187897E-2</v>
      </c>
      <c r="K112" s="355">
        <f t="shared" si="10"/>
        <v>8.9537822363185473</v>
      </c>
      <c r="L112" s="355">
        <f>K112*'[3]FR SO Table'!$D$23</f>
        <v>8.9537822363185473</v>
      </c>
      <c r="M112" s="360">
        <v>18</v>
      </c>
      <c r="N112" s="355">
        <f t="shared" si="11"/>
        <v>161.16808025373385</v>
      </c>
      <c r="O112" s="355">
        <f>N112*'[3]FR SO Table'!$D$23</f>
        <v>161.16808025373385</v>
      </c>
      <c r="P112" s="415">
        <f>O112*F170</f>
        <v>10343.767390684639</v>
      </c>
      <c r="Q112" s="417">
        <f>G112*M112*'[3]FR SO Table'!$D$23*F170</f>
        <v>10355.378611487731</v>
      </c>
      <c r="R112" s="338" t="s">
        <v>810</v>
      </c>
      <c r="S112" s="775">
        <f>E112*VLOOKUP(R112,'[3]FR SO Table'!$A$37:$B$44,2,FALSE)</f>
        <v>11987.409147396571</v>
      </c>
      <c r="T112" s="329">
        <f t="shared" si="13"/>
        <v>213604.64457729796</v>
      </c>
    </row>
    <row r="113" spans="1:20" s="339" customFormat="1" ht="14.4" x14ac:dyDescent="0.3">
      <c r="A113" s="1042"/>
      <c r="B113" s="1043"/>
      <c r="C113" s="360" t="s">
        <v>882</v>
      </c>
      <c r="D113" s="361" t="s">
        <v>695</v>
      </c>
      <c r="E113" s="347">
        <v>94.085891980832741</v>
      </c>
      <c r="F113" s="348">
        <v>10198.833333333334</v>
      </c>
      <c r="G113" s="354">
        <f t="shared" si="15"/>
        <v>10.56551285579256</v>
      </c>
      <c r="H113" s="363" t="e">
        <f t="shared" si="14"/>
        <v>#VALUE!</v>
      </c>
      <c r="I113" s="349">
        <v>4896.7255813953489</v>
      </c>
      <c r="J113" s="336">
        <f>I113*'[3]%Non-FF'!$AE$3/1000</f>
        <v>1.1425693023256188E-2</v>
      </c>
      <c r="K113" s="355">
        <f t="shared" si="10"/>
        <v>10.554087162769305</v>
      </c>
      <c r="L113" s="355">
        <f>K113*'[3]FR SO Table'!$D$23</f>
        <v>10.554087162769305</v>
      </c>
      <c r="M113" s="360">
        <v>18</v>
      </c>
      <c r="N113" s="355">
        <f t="shared" si="11"/>
        <v>189.97356892984749</v>
      </c>
      <c r="O113" s="355">
        <f>N113*'[3]FR SO Table'!$D$23</f>
        <v>189.97356892984749</v>
      </c>
      <c r="P113" s="415">
        <f>O113*F170</f>
        <v>12192.503653917613</v>
      </c>
      <c r="Q113" s="417">
        <f>G113*M113*'[3]FR SO Table'!$D$23*F170</f>
        <v>12205.703071525799</v>
      </c>
      <c r="R113" s="338" t="s">
        <v>810</v>
      </c>
      <c r="S113" s="775">
        <f>E113*VLOOKUP(R113,'[3]FR SO Table'!$A$37:$B$44,2,FALSE)</f>
        <v>14129.348828221559</v>
      </c>
      <c r="T113" s="329">
        <f t="shared" si="13"/>
        <v>251422.40206605231</v>
      </c>
    </row>
    <row r="114" spans="1:20" s="339" customFormat="1" ht="14.4" x14ac:dyDescent="0.3">
      <c r="A114" s="1042"/>
      <c r="B114" s="1043"/>
      <c r="C114" s="360" t="s">
        <v>883</v>
      </c>
      <c r="D114" s="361" t="s">
        <v>695</v>
      </c>
      <c r="E114" s="347">
        <v>92.227268526268546</v>
      </c>
      <c r="F114" s="348">
        <v>11115.875</v>
      </c>
      <c r="G114" s="354">
        <f t="shared" si="15"/>
        <v>10.356796016425442</v>
      </c>
      <c r="H114" s="363" t="e">
        <f t="shared" si="14"/>
        <v>#VALUE!</v>
      </c>
      <c r="I114" s="349">
        <v>5074.858894593779</v>
      </c>
      <c r="J114" s="336">
        <f>I114*'[3]%Non-FF'!$AE$3/1000</f>
        <v>1.1841337420719205E-2</v>
      </c>
      <c r="K114" s="355">
        <f t="shared" si="10"/>
        <v>10.344954679004722</v>
      </c>
      <c r="L114" s="355">
        <f>K114*'[3]FR SO Table'!$D$23</f>
        <v>10.344954679004722</v>
      </c>
      <c r="M114" s="360">
        <v>18</v>
      </c>
      <c r="N114" s="355">
        <f t="shared" si="11"/>
        <v>186.20918422208501</v>
      </c>
      <c r="O114" s="355">
        <f>N114*'[3]FR SO Table'!$D$23</f>
        <v>186.20918422208501</v>
      </c>
      <c r="P114" s="415">
        <f>O114*F170</f>
        <v>11950.905443373418</v>
      </c>
      <c r="Q114" s="417">
        <f>G114*M114*'[3]FR SO Table'!$D$23*F170</f>
        <v>11964.585030015329</v>
      </c>
      <c r="R114" s="338" t="s">
        <v>810</v>
      </c>
      <c r="S114" s="775">
        <f>E114*VLOOKUP(R114,'[3]FR SO Table'!$A$37:$B$44,2,FALSE)</f>
        <v>13850.23005093238</v>
      </c>
      <c r="T114" s="329">
        <f t="shared" si="13"/>
        <v>246352.04646380467</v>
      </c>
    </row>
    <row r="115" spans="1:20" s="339" customFormat="1" ht="14.4" x14ac:dyDescent="0.3">
      <c r="A115" s="1042"/>
      <c r="B115" s="1043"/>
      <c r="C115" s="360" t="s">
        <v>884</v>
      </c>
      <c r="D115" s="361" t="s">
        <v>695</v>
      </c>
      <c r="E115" s="347">
        <v>90.36864507170435</v>
      </c>
      <c r="F115" s="348">
        <v>12032.916666666666</v>
      </c>
      <c r="G115" s="354">
        <f t="shared" si="15"/>
        <v>10.148079177058323</v>
      </c>
      <c r="H115" s="363" t="e">
        <f t="shared" si="14"/>
        <v>#VALUE!</v>
      </c>
      <c r="I115" s="349">
        <v>5252.9922077922083</v>
      </c>
      <c r="J115" s="336">
        <f>I115*'[3]%Non-FF'!$AE$3/1000</f>
        <v>1.2256981818182218E-2</v>
      </c>
      <c r="K115" s="355">
        <f t="shared" si="10"/>
        <v>10.13582219524014</v>
      </c>
      <c r="L115" s="355">
        <f>K115*'[3]FR SO Table'!$D$23</f>
        <v>10.13582219524014</v>
      </c>
      <c r="M115" s="360">
        <v>18</v>
      </c>
      <c r="N115" s="355">
        <f t="shared" si="11"/>
        <v>182.44479951432251</v>
      </c>
      <c r="O115" s="355">
        <f>N115*'[3]FR SO Table'!$D$23</f>
        <v>182.44479951432251</v>
      </c>
      <c r="P115" s="415">
        <f>O115*F170</f>
        <v>11709.30723282922</v>
      </c>
      <c r="Q115" s="417">
        <f>G115*M115*'[3]FR SO Table'!$D$23*F170</f>
        <v>11723.466988504857</v>
      </c>
      <c r="R115" s="338" t="s">
        <v>810</v>
      </c>
      <c r="S115" s="775">
        <f>E115*VLOOKUP(R115,'[3]FR SO Table'!$A$37:$B$44,2,FALSE)</f>
        <v>13571.111273643202</v>
      </c>
      <c r="T115" s="329">
        <f t="shared" si="13"/>
        <v>241285.86737117331</v>
      </c>
    </row>
    <row r="116" spans="1:20" s="339" customFormat="1" ht="14.4" x14ac:dyDescent="0.3">
      <c r="A116" s="1042"/>
      <c r="B116" s="1043"/>
      <c r="C116" s="360" t="s">
        <v>885</v>
      </c>
      <c r="D116" s="361" t="s">
        <v>695</v>
      </c>
      <c r="E116" s="347">
        <v>95.482825460247213</v>
      </c>
      <c r="F116" s="348">
        <v>12971.125</v>
      </c>
      <c r="G116" s="354">
        <f t="shared" si="15"/>
        <v>10.722383544104124</v>
      </c>
      <c r="H116" s="363" t="e">
        <f t="shared" si="14"/>
        <v>#VALUE!</v>
      </c>
      <c r="I116" s="349">
        <v>5366.4237915228787</v>
      </c>
      <c r="J116" s="336">
        <f>I116*'[3]%Non-FF'!$AE$3/1000</f>
        <v>1.2521655513553793E-2</v>
      </c>
      <c r="K116" s="355">
        <f t="shared" si="10"/>
        <v>10.70986188859057</v>
      </c>
      <c r="L116" s="355">
        <f>K116*'[3]FR SO Table'!$D$23</f>
        <v>10.70986188859057</v>
      </c>
      <c r="M116" s="360">
        <v>18</v>
      </c>
      <c r="N116" s="355">
        <f t="shared" si="11"/>
        <v>192.77751399463025</v>
      </c>
      <c r="O116" s="355">
        <f>N116*'[3]FR SO Table'!$D$23</f>
        <v>192.77751399463025</v>
      </c>
      <c r="P116" s="415">
        <f>O116*F170</f>
        <v>12372.460848175371</v>
      </c>
      <c r="Q116" s="417">
        <f>G116*M116*'[3]FR SO Table'!$D$23*F170</f>
        <v>12386.926365490848</v>
      </c>
      <c r="R116" s="338" t="s">
        <v>810</v>
      </c>
      <c r="S116" s="775">
        <f>E116*VLOOKUP(R116,'[3]FR SO Table'!$A$37:$B$44,2,FALSE)</f>
        <v>14339.133313492626</v>
      </c>
      <c r="T116" s="329">
        <f t="shared" si="13"/>
        <v>254872.50526400667</v>
      </c>
    </row>
    <row r="117" spans="1:20" s="339" customFormat="1" ht="14.4" x14ac:dyDescent="0.3">
      <c r="A117" s="1042"/>
      <c r="B117" s="1043"/>
      <c r="C117" s="360" t="s">
        <v>886</v>
      </c>
      <c r="D117" s="361" t="s">
        <v>695</v>
      </c>
      <c r="E117" s="347">
        <v>100.59700584879008</v>
      </c>
      <c r="F117" s="348">
        <v>13909.333333333334</v>
      </c>
      <c r="G117" s="354">
        <f t="shared" si="15"/>
        <v>11.296687911149926</v>
      </c>
      <c r="H117" s="363" t="e">
        <f t="shared" si="14"/>
        <v>#VALUE!</v>
      </c>
      <c r="I117" s="349">
        <v>5479.8553752535499</v>
      </c>
      <c r="J117" s="336">
        <f>I117*'[3]%Non-FF'!$AE$3/1000</f>
        <v>1.2786329208925366E-2</v>
      </c>
      <c r="K117" s="355">
        <f t="shared" si="10"/>
        <v>11.283901581941</v>
      </c>
      <c r="L117" s="355">
        <f>K117*'[3]FR SO Table'!$D$23</f>
        <v>11.283901581941</v>
      </c>
      <c r="M117" s="360">
        <v>18</v>
      </c>
      <c r="N117" s="355">
        <f t="shared" si="11"/>
        <v>203.110228474938</v>
      </c>
      <c r="O117" s="355">
        <f>N117*'[3]FR SO Table'!$D$23</f>
        <v>203.110228474938</v>
      </c>
      <c r="P117" s="415">
        <f>O117*F170</f>
        <v>13035.614463521522</v>
      </c>
      <c r="Q117" s="417">
        <f>G117*M117*'[3]FR SO Table'!$D$23*F170</f>
        <v>13050.385742476843</v>
      </c>
      <c r="R117" s="338" t="s">
        <v>810</v>
      </c>
      <c r="S117" s="775">
        <f>E117*VLOOKUP(R117,'[3]FR SO Table'!$A$37:$B$44,2,FALSE)</f>
        <v>15107.15535334205</v>
      </c>
      <c r="T117" s="329">
        <f t="shared" si="13"/>
        <v>268451.82524850912</v>
      </c>
    </row>
    <row r="118" spans="1:20" s="339" customFormat="1" ht="14.4" x14ac:dyDescent="0.3">
      <c r="A118" s="1042" t="s">
        <v>887</v>
      </c>
      <c r="B118" s="1043" t="s">
        <v>808</v>
      </c>
      <c r="C118" s="360" t="s">
        <v>888</v>
      </c>
      <c r="D118" s="361">
        <f>E118</f>
        <v>108.4</v>
      </c>
      <c r="E118" s="347">
        <v>108.4</v>
      </c>
      <c r="F118" s="348">
        <v>21373</v>
      </c>
      <c r="G118" s="354">
        <f t="shared" si="15"/>
        <v>12.172936552498598</v>
      </c>
      <c r="H118" s="363">
        <f t="shared" si="14"/>
        <v>1</v>
      </c>
      <c r="I118" s="349">
        <v>3150</v>
      </c>
      <c r="J118" s="336">
        <f>I118*'[3]%Non-FF'!$AK$3/1000</f>
        <v>1.8900000000000017E-2</v>
      </c>
      <c r="K118" s="355">
        <f t="shared" si="10"/>
        <v>12.154036552498598</v>
      </c>
      <c r="L118" s="355">
        <f>K118*'[3]FR SO Table'!$D$24</f>
        <v>12.154036552498598</v>
      </c>
      <c r="M118" s="360">
        <v>6</v>
      </c>
      <c r="N118" s="355">
        <f t="shared" si="11"/>
        <v>72.924219314991589</v>
      </c>
      <c r="O118" s="355">
        <f>N118*'[3]FR SO Table'!$D$24</f>
        <v>72.924219314991589</v>
      </c>
      <c r="P118" s="415">
        <f>O118*F170</f>
        <v>4680.2763956361605</v>
      </c>
      <c r="Q118" s="417">
        <f>G118*M118*'[3]FR SO Table'!$D$24*F170</f>
        <v>4687.5544076361602</v>
      </c>
      <c r="R118" s="329" t="s">
        <v>843</v>
      </c>
      <c r="S118" s="775">
        <f>E118*VLOOKUP(R118,'[3]FR SO Table'!$A$37:$B$44,2,FALSE)</f>
        <v>17040.48</v>
      </c>
      <c r="T118" s="329">
        <f t="shared" si="13"/>
        <v>100310.489568</v>
      </c>
    </row>
    <row r="119" spans="1:20" s="339" customFormat="1" ht="14.4" x14ac:dyDescent="0.3">
      <c r="A119" s="1042"/>
      <c r="B119" s="1043"/>
      <c r="C119" s="360" t="s">
        <v>889</v>
      </c>
      <c r="D119" s="361">
        <f t="shared" ref="D119:D121" si="16">E119</f>
        <v>3.3</v>
      </c>
      <c r="E119" s="347">
        <v>3.3</v>
      </c>
      <c r="F119" s="348">
        <v>3889.69</v>
      </c>
      <c r="G119" s="354">
        <f t="shared" si="15"/>
        <v>0.37057832678270636</v>
      </c>
      <c r="H119" s="363">
        <f t="shared" si="14"/>
        <v>1</v>
      </c>
      <c r="I119" s="349">
        <v>72.900000000000006</v>
      </c>
      <c r="J119" s="336">
        <f>I119*'[3]%Non-FF'!$AK$3/1000</f>
        <v>4.3740000000000039E-4</v>
      </c>
      <c r="K119" s="355">
        <f t="shared" si="10"/>
        <v>0.37014092678270638</v>
      </c>
      <c r="L119" s="355">
        <f>K119*'[3]FR SO Table'!$D$24</f>
        <v>0.37014092678270638</v>
      </c>
      <c r="M119" s="360">
        <v>10</v>
      </c>
      <c r="N119" s="355">
        <f t="shared" si="11"/>
        <v>3.7014092678270636</v>
      </c>
      <c r="O119" s="355">
        <f>N119*'[3]FR SO Table'!$D$24</f>
        <v>3.7014092678270636</v>
      </c>
      <c r="P119" s="415">
        <f>O119*F170</f>
        <v>237.55644680914097</v>
      </c>
      <c r="Q119" s="417">
        <f>G119*M119*'[3]FR SO Table'!$D$24*F170</f>
        <v>237.83717012914096</v>
      </c>
      <c r="R119" s="329" t="s">
        <v>843</v>
      </c>
      <c r="S119" s="775">
        <f>E119*VLOOKUP(R119,'[3]FR SO Table'!$A$37:$B$44,2,FALSE)</f>
        <v>518.76</v>
      </c>
      <c r="T119" s="329">
        <f t="shared" si="13"/>
        <v>5185.3309437600001</v>
      </c>
    </row>
    <row r="120" spans="1:20" s="339" customFormat="1" ht="12.9" customHeight="1" x14ac:dyDescent="0.3">
      <c r="A120" s="1042" t="s">
        <v>767</v>
      </c>
      <c r="B120" s="1043" t="s">
        <v>808</v>
      </c>
      <c r="C120" s="360" t="s">
        <v>890</v>
      </c>
      <c r="D120" s="361">
        <f t="shared" si="16"/>
        <v>13.832890000000001</v>
      </c>
      <c r="E120" s="347">
        <v>13.832890000000001</v>
      </c>
      <c r="F120" s="348">
        <v>569.93499999999995</v>
      </c>
      <c r="G120" s="354">
        <f t="shared" si="15"/>
        <v>1.5533846153846156</v>
      </c>
      <c r="H120" s="363">
        <f t="shared" si="14"/>
        <v>1</v>
      </c>
      <c r="I120" s="349">
        <v>121.401</v>
      </c>
      <c r="J120" s="336">
        <f>I120*'[3]%Non-FF'!$AO$3/1000</f>
        <v>2.3066190000000024E-3</v>
      </c>
      <c r="K120" s="355">
        <f t="shared" si="10"/>
        <v>1.5510779963846155</v>
      </c>
      <c r="L120" s="355">
        <f>K120*'[3]FR SO Table'!$D$25</f>
        <v>1.5510779963846155</v>
      </c>
      <c r="M120" s="360">
        <v>2</v>
      </c>
      <c r="N120" s="355">
        <f t="shared" si="11"/>
        <v>3.102155992769231</v>
      </c>
      <c r="O120" s="355">
        <f>N120*'[3]FR SO Table'!$D$25</f>
        <v>3.102155992769231</v>
      </c>
      <c r="P120" s="415">
        <f>O120*F170</f>
        <v>199.09637161592926</v>
      </c>
      <c r="Q120" s="417">
        <f>G120*M120*'[3]FR SO Table'!$D$25*F170</f>
        <v>199.39244923076927</v>
      </c>
      <c r="R120" s="329" t="s">
        <v>843</v>
      </c>
      <c r="S120" s="775">
        <f>E120*VLOOKUP(R120,'[3]FR SO Table'!$A$37:$B$44,2,FALSE)</f>
        <v>2174.5303079999999</v>
      </c>
      <c r="T120" s="329">
        <f t="shared" si="13"/>
        <v>4339.0289901509823</v>
      </c>
    </row>
    <row r="121" spans="1:20" s="339" customFormat="1" ht="12.9" customHeight="1" x14ac:dyDescent="0.3">
      <c r="A121" s="1042"/>
      <c r="B121" s="1043"/>
      <c r="C121" s="360" t="s">
        <v>891</v>
      </c>
      <c r="D121" s="361">
        <f t="shared" si="16"/>
        <v>1.383289</v>
      </c>
      <c r="E121" s="347">
        <v>1.383289</v>
      </c>
      <c r="F121" s="348">
        <v>206.19749999999999</v>
      </c>
      <c r="G121" s="354">
        <f t="shared" si="15"/>
        <v>0.15533846153846154</v>
      </c>
      <c r="H121" s="363">
        <f t="shared" si="14"/>
        <v>1</v>
      </c>
      <c r="I121" s="349">
        <v>0.78333333333333333</v>
      </c>
      <c r="J121" s="336">
        <f>I121*'[3]%Non-FF'!$AJ$3/1000</f>
        <v>4.1124999999999814E-6</v>
      </c>
      <c r="K121" s="355">
        <f t="shared" si="10"/>
        <v>0.15533434903846155</v>
      </c>
      <c r="L121" s="355">
        <f>K121*'[3]FR SO Table'!$D$25</f>
        <v>0.15533434903846155</v>
      </c>
      <c r="M121" s="360">
        <v>8</v>
      </c>
      <c r="N121" s="355">
        <f t="shared" si="11"/>
        <v>1.2426747923076924</v>
      </c>
      <c r="O121" s="355">
        <f>N121*'[3]FR SO Table'!$D$25</f>
        <v>1.2426747923076924</v>
      </c>
      <c r="P121" s="415">
        <f>O121*F170</f>
        <v>79.754868170307702</v>
      </c>
      <c r="Q121" s="417">
        <f>G121*M121*'[3]FR SO Table'!$D$25*F170</f>
        <v>79.756979692307695</v>
      </c>
      <c r="R121" s="329" t="s">
        <v>843</v>
      </c>
      <c r="S121" s="775">
        <f>E121*VLOOKUP(R121,'[3]FR SO Table'!$A$37:$B$44,2,FALSE)</f>
        <v>217.45303079999999</v>
      </c>
      <c r="T121" s="329">
        <f t="shared" si="13"/>
        <v>1739.6170921952867</v>
      </c>
    </row>
    <row r="122" spans="1:20" s="339" customFormat="1" ht="12.6" customHeight="1" x14ac:dyDescent="0.3">
      <c r="A122" s="1042" t="s">
        <v>768</v>
      </c>
      <c r="B122" s="1043" t="s">
        <v>808</v>
      </c>
      <c r="C122" s="360" t="s">
        <v>892</v>
      </c>
      <c r="D122" s="361">
        <v>82.8</v>
      </c>
      <c r="E122" s="361">
        <v>14.115226927082663</v>
      </c>
      <c r="F122" s="348">
        <v>1517.3183720930233</v>
      </c>
      <c r="G122" s="354">
        <f t="shared" si="15"/>
        <v>1.5850900535746955</v>
      </c>
      <c r="H122" s="363">
        <f t="shared" si="14"/>
        <v>0.17047375515800317</v>
      </c>
      <c r="I122" s="349">
        <v>1584.480935551343</v>
      </c>
      <c r="J122" s="336">
        <f>I122*'[3]%Non-FF'!$AE$3/1000</f>
        <v>3.6971221829532543E-3</v>
      </c>
      <c r="K122" s="355">
        <f t="shared" si="10"/>
        <v>1.5813929313917423</v>
      </c>
      <c r="L122" s="355">
        <f>K122*'[3]FR SO Table'!$D$26</f>
        <v>1.5813929313917423</v>
      </c>
      <c r="M122" s="360">
        <v>18</v>
      </c>
      <c r="N122" s="355">
        <f t="shared" si="11"/>
        <v>28.46507276505136</v>
      </c>
      <c r="O122" s="355">
        <f>N122*'[3]FR SO Table'!$D$26</f>
        <v>28.46507276505136</v>
      </c>
      <c r="P122" s="415">
        <f>O122*F170</f>
        <v>1826.8883700609965</v>
      </c>
      <c r="Q122" s="417">
        <f>G122*M122*'[3]FR SO Table'!$D$26*F170</f>
        <v>1831.1594334916315</v>
      </c>
      <c r="R122" s="338" t="s">
        <v>810</v>
      </c>
      <c r="S122" s="775">
        <f>E122*VLOOKUP(R122,'[3]FR SO Table'!$A$37:$B$44,2,FALSE)</f>
        <v>2119.7542037746389</v>
      </c>
      <c r="T122" s="329">
        <f t="shared" si="13"/>
        <v>38014.509842738196</v>
      </c>
    </row>
    <row r="123" spans="1:20" s="339" customFormat="1" ht="12.6" customHeight="1" x14ac:dyDescent="0.3">
      <c r="A123" s="1042"/>
      <c r="B123" s="1043"/>
      <c r="C123" s="360" t="s">
        <v>893</v>
      </c>
      <c r="D123" s="361">
        <v>82.8</v>
      </c>
      <c r="E123" s="361">
        <v>17.801249511137684</v>
      </c>
      <c r="F123" s="348">
        <v>1687.8831034482755</v>
      </c>
      <c r="G123" s="354">
        <f t="shared" si="15"/>
        <v>1.9990173510542038</v>
      </c>
      <c r="H123" s="363">
        <f t="shared" si="14"/>
        <v>0.21499093612485126</v>
      </c>
      <c r="I123" s="349">
        <v>2009.1142905557299</v>
      </c>
      <c r="J123" s="336">
        <f>I123*'[3]%Non-FF'!$AE$3/1000</f>
        <v>4.687933344630189E-3</v>
      </c>
      <c r="K123" s="355">
        <f t="shared" si="10"/>
        <v>1.9943294177095736</v>
      </c>
      <c r="L123" s="355">
        <f>K123*'[3]FR SO Table'!$D$26</f>
        <v>1.9943294177095736</v>
      </c>
      <c r="M123" s="360">
        <v>18</v>
      </c>
      <c r="N123" s="355">
        <f t="shared" si="11"/>
        <v>35.897929518772322</v>
      </c>
      <c r="O123" s="355">
        <f>N123*'[3]FR SO Table'!$D$26</f>
        <v>35.897929518772322</v>
      </c>
      <c r="P123" s="415">
        <f>O123*F170</f>
        <v>2303.9291165148079</v>
      </c>
      <c r="Q123" s="417">
        <f>G123*M123*'[3]FR SO Table'!$D$26*F170</f>
        <v>2309.3448046318586</v>
      </c>
      <c r="R123" s="338" t="s">
        <v>810</v>
      </c>
      <c r="S123" s="775">
        <f>E123*VLOOKUP(R123,'[3]FR SO Table'!$A$37:$B$44,2,FALSE)</f>
        <v>2673.3026453351017</v>
      </c>
      <c r="T123" s="329">
        <f t="shared" si="13"/>
        <v>47893.866853027452</v>
      </c>
    </row>
    <row r="124" spans="1:20" s="339" customFormat="1" ht="12.6" customHeight="1" x14ac:dyDescent="0.3">
      <c r="A124" s="1042"/>
      <c r="B124" s="1043"/>
      <c r="C124" s="360" t="s">
        <v>894</v>
      </c>
      <c r="D124" s="361">
        <v>82.8</v>
      </c>
      <c r="E124" s="361">
        <v>24.162434815761053</v>
      </c>
      <c r="F124" s="348">
        <v>1802.9074999999993</v>
      </c>
      <c r="G124" s="354">
        <f t="shared" si="15"/>
        <v>2.7133559590972549</v>
      </c>
      <c r="H124" s="363">
        <f t="shared" si="14"/>
        <v>0.29181684560097892</v>
      </c>
      <c r="I124" s="349">
        <v>2705.52098775379</v>
      </c>
      <c r="J124" s="336">
        <f>I124*'[3]%Non-FF'!$AE$3/1000</f>
        <v>6.3128823047590493E-3</v>
      </c>
      <c r="K124" s="355">
        <f t="shared" si="10"/>
        <v>2.707043076792496</v>
      </c>
      <c r="L124" s="355">
        <f>K124*'[3]FR SO Table'!$D$26</f>
        <v>2.707043076792496</v>
      </c>
      <c r="M124" s="360">
        <v>18</v>
      </c>
      <c r="N124" s="355">
        <f t="shared" si="11"/>
        <v>48.726775382264925</v>
      </c>
      <c r="O124" s="355">
        <f>N124*'[3]FR SO Table'!$D$26</f>
        <v>48.726775382264925</v>
      </c>
      <c r="P124" s="415">
        <f>O124*F170</f>
        <v>3127.2844440337631</v>
      </c>
      <c r="Q124" s="417">
        <f>G124*M124*'[3]FR SO Table'!$D$26*F170</f>
        <v>3134.5773381875133</v>
      </c>
      <c r="R124" s="338" t="s">
        <v>810</v>
      </c>
      <c r="S124" s="775">
        <f>E124*VLOOKUP(R124,'[3]FR SO Table'!$A$37:$B$44,2,FALSE)</f>
        <v>3628.5936484569165</v>
      </c>
      <c r="T124" s="329">
        <f t="shared" si="13"/>
        <v>64902.361748803414</v>
      </c>
    </row>
    <row r="125" spans="1:20" s="339" customFormat="1" ht="12.6" customHeight="1" x14ac:dyDescent="0.3">
      <c r="A125" s="1042"/>
      <c r="B125" s="1043"/>
      <c r="C125" s="360" t="s">
        <v>895</v>
      </c>
      <c r="D125" s="361">
        <v>82.8</v>
      </c>
      <c r="E125" s="361">
        <v>25.958751861950063</v>
      </c>
      <c r="F125" s="348">
        <v>2110.7422500000011</v>
      </c>
      <c r="G125" s="354">
        <f t="shared" si="15"/>
        <v>2.9150760092027022</v>
      </c>
      <c r="H125" s="363">
        <f t="shared" si="14"/>
        <v>0.31351149591727129</v>
      </c>
      <c r="I125" s="349">
        <v>2938.1766414246945</v>
      </c>
      <c r="J125" s="336">
        <f>I125*'[3]%Non-FF'!$AE$3/1000</f>
        <v>6.8557454966578441E-3</v>
      </c>
      <c r="K125" s="355">
        <f t="shared" si="10"/>
        <v>2.9082202637060441</v>
      </c>
      <c r="L125" s="355">
        <f>K125*'[3]FR SO Table'!$D$26</f>
        <v>2.9082202637060441</v>
      </c>
      <c r="M125" s="360">
        <v>18</v>
      </c>
      <c r="N125" s="355">
        <f t="shared" si="11"/>
        <v>52.347964746708797</v>
      </c>
      <c r="O125" s="355">
        <f>N125*'[3]FR SO Table'!$D$26</f>
        <v>52.347964746708797</v>
      </c>
      <c r="P125" s="415">
        <f>O125*F170</f>
        <v>3359.692377443771</v>
      </c>
      <c r="Q125" s="417">
        <f>G125*M125*'[3]FR SO Table'!$D$26*F170</f>
        <v>3367.61240887133</v>
      </c>
      <c r="R125" s="338" t="s">
        <v>810</v>
      </c>
      <c r="S125" s="775">
        <f>E125*VLOOKUP(R125,'[3]FR SO Table'!$A$37:$B$44,2,FALSE)</f>
        <v>3898.3555608683509</v>
      </c>
      <c r="T125" s="329">
        <f t="shared" si="13"/>
        <v>69689.329691176026</v>
      </c>
    </row>
    <row r="126" spans="1:20" s="339" customFormat="1" ht="12.6" customHeight="1" x14ac:dyDescent="0.3">
      <c r="A126" s="1042"/>
      <c r="B126" s="1043"/>
      <c r="C126" s="360" t="s">
        <v>896</v>
      </c>
      <c r="D126" s="361">
        <v>82.8</v>
      </c>
      <c r="E126" s="361">
        <v>34.003571731159333</v>
      </c>
      <c r="F126" s="348">
        <v>3239.909009126467</v>
      </c>
      <c r="G126" s="354">
        <f t="shared" si="15"/>
        <v>3.8184808232632608</v>
      </c>
      <c r="H126" s="363">
        <f t="shared" si="14"/>
        <v>0.41067115617342193</v>
      </c>
      <c r="I126" s="349">
        <v>3855.7914289748005</v>
      </c>
      <c r="J126" s="336">
        <f>I126*'[3]%Non-FF'!$AE$3/1000</f>
        <v>8.9968466676081608E-3</v>
      </c>
      <c r="K126" s="355">
        <f t="shared" si="10"/>
        <v>3.8094839765956525</v>
      </c>
      <c r="L126" s="355">
        <f>K126*'[3]FR SO Table'!$D$26</f>
        <v>3.8094839765956525</v>
      </c>
      <c r="M126" s="360">
        <v>18</v>
      </c>
      <c r="N126" s="355">
        <f t="shared" si="11"/>
        <v>68.570711578721742</v>
      </c>
      <c r="O126" s="355">
        <f>N126*'[3]FR SO Table'!$D$26</f>
        <v>68.570711578721742</v>
      </c>
      <c r="P126" s="415">
        <f>O126*F170</f>
        <v>4400.8682691223621</v>
      </c>
      <c r="Q126" s="417">
        <f>G126*M126*'[3]FR SO Table'!$D$26*$F$170</f>
        <v>4411.2617862666502</v>
      </c>
      <c r="R126" s="338" t="s">
        <v>810</v>
      </c>
      <c r="S126" s="775">
        <f>E126*VLOOKUP(R126,'[3]FR SO Table'!$A$37:$B$44,2,FALSE)</f>
        <v>5106.4863847268534</v>
      </c>
      <c r="T126" s="329">
        <f t="shared" si="13"/>
        <v>91089.793974838278</v>
      </c>
    </row>
    <row r="127" spans="1:20" s="339" customFormat="1" ht="12.6" customHeight="1" x14ac:dyDescent="0.3">
      <c r="A127" s="1042"/>
      <c r="B127" s="1043"/>
      <c r="C127" s="360" t="s">
        <v>897</v>
      </c>
      <c r="D127" s="361">
        <v>82.8</v>
      </c>
      <c r="E127" s="361">
        <v>48.954111476437987</v>
      </c>
      <c r="F127" s="348">
        <v>3601.0405991735533</v>
      </c>
      <c r="G127" s="354">
        <f t="shared" si="15"/>
        <v>5.4973735515371125</v>
      </c>
      <c r="H127" s="363">
        <f t="shared" si="14"/>
        <v>0.59123323039176312</v>
      </c>
      <c r="I127" s="349">
        <v>5474.967492234493</v>
      </c>
      <c r="J127" s="336">
        <f>I127*'[3]%Non-FF'!$AE$3/1000</f>
        <v>1.2774924148547568E-2</v>
      </c>
      <c r="K127" s="355">
        <f t="shared" si="10"/>
        <v>5.4845986273885652</v>
      </c>
      <c r="L127" s="355">
        <f>K127*'[3]FR SO Table'!$D$26</f>
        <v>5.4845986273885652</v>
      </c>
      <c r="M127" s="360">
        <v>18</v>
      </c>
      <c r="N127" s="355">
        <f t="shared" si="11"/>
        <v>98.722775292994172</v>
      </c>
      <c r="O127" s="355">
        <f>N127*'[3]FR SO Table'!$D$26</f>
        <v>98.722775292994172</v>
      </c>
      <c r="P127" s="415">
        <f>O127*F170</f>
        <v>6336.0277183043663</v>
      </c>
      <c r="Q127" s="417">
        <f>G127*M127*'[3]FR SO Table'!$D$26*$F$170</f>
        <v>6350.785821677734</v>
      </c>
      <c r="R127" s="338" t="s">
        <v>810</v>
      </c>
      <c r="S127" s="775">
        <f>E127*VLOOKUP(R127,'[3]FR SO Table'!$A$37:$B$44,2,FALSE)</f>
        <v>7351.683690974075</v>
      </c>
      <c r="T127" s="329">
        <f t="shared" si="13"/>
        <v>130639.79681023982</v>
      </c>
    </row>
    <row r="128" spans="1:20" s="339" customFormat="1" ht="12.6" customHeight="1" x14ac:dyDescent="0.3">
      <c r="A128" s="1042"/>
      <c r="B128" s="1043"/>
      <c r="C128" s="360" t="s">
        <v>898</v>
      </c>
      <c r="D128" s="361">
        <v>82.8</v>
      </c>
      <c r="E128" s="361">
        <v>50.983360188651389</v>
      </c>
      <c r="F128" s="348">
        <v>4460.787149002741</v>
      </c>
      <c r="G128" s="354">
        <f t="shared" si="15"/>
        <v>5.7252510037789319</v>
      </c>
      <c r="H128" s="363">
        <f t="shared" si="14"/>
        <v>0.61574106508033077</v>
      </c>
      <c r="I128" s="349">
        <v>5781.452397489702</v>
      </c>
      <c r="J128" s="336">
        <f>I128*'[3]%Non-FF'!$AE$3/1000</f>
        <v>1.3490055594143078E-2</v>
      </c>
      <c r="K128" s="355">
        <f t="shared" si="10"/>
        <v>5.7117609481847884</v>
      </c>
      <c r="L128" s="355">
        <f>K128*'[3]FR SO Table'!$D$26</f>
        <v>5.7117609481847884</v>
      </c>
      <c r="M128" s="360">
        <v>18</v>
      </c>
      <c r="N128" s="355">
        <f t="shared" si="11"/>
        <v>102.81169706732619</v>
      </c>
      <c r="O128" s="355">
        <f>N128*'[3]FR SO Table'!$D$26</f>
        <v>102.81169706732619</v>
      </c>
      <c r="P128" s="415">
        <f t="shared" ref="P128" si="17">O128*F172</f>
        <v>0</v>
      </c>
      <c r="Q128" s="417">
        <f>G128*M128*'[3]FR SO Table'!$D$26*$F$170</f>
        <v>6614.0389696055736</v>
      </c>
      <c r="R128" s="338" t="s">
        <v>810</v>
      </c>
      <c r="S128" s="775">
        <f>E128*VLOOKUP(R128,'[3]FR SO Table'!$A$37:$B$44,2,FALSE)</f>
        <v>7656.4261163307228</v>
      </c>
      <c r="T128" s="329">
        <f t="shared" si="13"/>
        <v>135956.52904264149</v>
      </c>
    </row>
    <row r="129" spans="1:20" s="339" customFormat="1" ht="12.6" customHeight="1" x14ac:dyDescent="0.3">
      <c r="A129" s="1042"/>
      <c r="B129" s="1043"/>
      <c r="C129" s="360" t="s">
        <v>899</v>
      </c>
      <c r="D129" s="361">
        <v>82.8</v>
      </c>
      <c r="E129" s="361">
        <v>70.117963935807126</v>
      </c>
      <c r="F129" s="348">
        <v>5079.3700982800983</v>
      </c>
      <c r="G129" s="354">
        <f t="shared" si="15"/>
        <v>7.8739993190125919</v>
      </c>
      <c r="H129" s="363">
        <f t="shared" si="14"/>
        <v>0.84683531323438566</v>
      </c>
      <c r="I129" s="349">
        <v>7825.6930928928869</v>
      </c>
      <c r="J129" s="336">
        <f>I129*'[3]%Non-FF'!$AE$3/1000</f>
        <v>1.8259950550084E-2</v>
      </c>
      <c r="K129" s="355">
        <f t="shared" si="10"/>
        <v>7.8557393684625083</v>
      </c>
      <c r="L129" s="355">
        <f>K129*'[3]FR SO Table'!$D$26</f>
        <v>7.8557393684625083</v>
      </c>
      <c r="M129" s="360">
        <v>18</v>
      </c>
      <c r="N129" s="355">
        <f t="shared" si="11"/>
        <v>141.40330863232515</v>
      </c>
      <c r="O129" s="355">
        <f>N129*'[3]FR SO Table'!$D$26</f>
        <v>141.40330863232515</v>
      </c>
      <c r="P129" s="415">
        <f t="shared" ref="P129" si="18">O129*F172</f>
        <v>0</v>
      </c>
      <c r="Q129" s="417">
        <f>G129*M129*'[3]FR SO Table'!$D$26*$F$170</f>
        <v>9096.3589732961082</v>
      </c>
      <c r="R129" s="338" t="s">
        <v>810</v>
      </c>
      <c r="S129" s="775">
        <f>E129*VLOOKUP(R129,'[3]FR SO Table'!$A$37:$B$44,2,FALSE)</f>
        <v>10529.965234059835</v>
      </c>
      <c r="T129" s="329">
        <f t="shared" si="13"/>
        <v>186078.3946126524</v>
      </c>
    </row>
    <row r="130" spans="1:20" s="339" customFormat="1" ht="12.6" customHeight="1" x14ac:dyDescent="0.3">
      <c r="A130" s="1042"/>
      <c r="B130" s="1043"/>
      <c r="C130" s="360" t="s">
        <v>900</v>
      </c>
      <c r="D130" s="361">
        <v>82.8</v>
      </c>
      <c r="E130" s="361">
        <v>66.201735232005362</v>
      </c>
      <c r="F130" s="348">
        <v>5497.8879093717733</v>
      </c>
      <c r="G130" s="354">
        <f t="shared" si="15"/>
        <v>7.4342206886025117</v>
      </c>
      <c r="H130" s="363">
        <f t="shared" si="14"/>
        <v>0.79953786512083769</v>
      </c>
      <c r="I130" s="349">
        <v>7528.1690323143648</v>
      </c>
      <c r="J130" s="336">
        <f>I130*'[3]%Non-FF'!$AE$3/1000</f>
        <v>1.7565727742067425E-2</v>
      </c>
      <c r="K130" s="355">
        <f t="shared" si="10"/>
        <v>7.416654960860444</v>
      </c>
      <c r="L130" s="355">
        <f>K130*'[3]FR SO Table'!$D$26</f>
        <v>7.416654960860444</v>
      </c>
      <c r="M130" s="360">
        <v>18</v>
      </c>
      <c r="N130" s="355">
        <f t="shared" si="11"/>
        <v>133.499789295488</v>
      </c>
      <c r="O130" s="355">
        <f>N130*'[3]FR SO Table'!$D$26</f>
        <v>133.499789295488</v>
      </c>
      <c r="P130" s="415">
        <f t="shared" ref="P130" si="19">O130*F174</f>
        <v>0</v>
      </c>
      <c r="Q130" s="417">
        <f>G130*M130*'[3]FR SO Table'!$D$26*$F$170</f>
        <v>8588.3091083011659</v>
      </c>
      <c r="R130" s="338" t="s">
        <v>810</v>
      </c>
      <c r="S130" s="775">
        <f>E130*VLOOKUP(R130,'[3]FR SO Table'!$A$37:$B$44,2,FALSE)</f>
        <v>9941.8455884664054</v>
      </c>
      <c r="T130" s="329">
        <f t="shared" si="13"/>
        <v>175809.77704090314</v>
      </c>
    </row>
    <row r="131" spans="1:20" s="339" customFormat="1" ht="12.6" customHeight="1" x14ac:dyDescent="0.3">
      <c r="A131" s="1042"/>
      <c r="B131" s="1043"/>
      <c r="C131" s="360" t="s">
        <v>901</v>
      </c>
      <c r="D131" s="361">
        <v>82.8</v>
      </c>
      <c r="E131" s="361">
        <v>81.758500427863368</v>
      </c>
      <c r="F131" s="348">
        <v>6019.0168325242721</v>
      </c>
      <c r="G131" s="354">
        <f t="shared" si="15"/>
        <v>9.1811903905517553</v>
      </c>
      <c r="H131" s="363">
        <f t="shared" si="14"/>
        <v>0.98742150275197305</v>
      </c>
      <c r="I131" s="349">
        <v>9208.9323461588774</v>
      </c>
      <c r="J131" s="336">
        <f>I131*'[3]%Non-FF'!$AE$3/1000</f>
        <v>2.1487508807704749E-2</v>
      </c>
      <c r="K131" s="355">
        <f t="shared" si="10"/>
        <v>9.1597028817440513</v>
      </c>
      <c r="L131" s="355">
        <f>K131*'[3]FR SO Table'!$D$26</f>
        <v>9.1597028817440513</v>
      </c>
      <c r="M131" s="360">
        <v>18</v>
      </c>
      <c r="N131" s="355">
        <f t="shared" si="11"/>
        <v>164.87465187139293</v>
      </c>
      <c r="O131" s="355">
        <f>N131*'[3]FR SO Table'!$D$26</f>
        <v>164.87465187139293</v>
      </c>
      <c r="P131" s="415">
        <f t="shared" ref="P131" si="20">O131*F174</f>
        <v>0</v>
      </c>
      <c r="Q131" s="417">
        <f>G131*M131*'[3]FR SO Table'!$D$26*$F$170</f>
        <v>10606.478386781011</v>
      </c>
      <c r="R131" s="338" t="s">
        <v>810</v>
      </c>
      <c r="S131" s="775">
        <f>E131*VLOOKUP(R131,'[3]FR SO Table'!$A$37:$B$44,2,FALSE)</f>
        <v>12278.082801754383</v>
      </c>
      <c r="T131" s="329">
        <f t="shared" si="13"/>
        <v>216256.63300937923</v>
      </c>
    </row>
    <row r="132" spans="1:20" s="339" customFormat="1" ht="12.6" customHeight="1" x14ac:dyDescent="0.3">
      <c r="A132" s="1042"/>
      <c r="B132" s="1043"/>
      <c r="C132" s="360" t="s">
        <v>902</v>
      </c>
      <c r="D132" s="361">
        <v>82.8</v>
      </c>
      <c r="E132" s="361">
        <v>79.743202567913556</v>
      </c>
      <c r="F132" s="348">
        <v>7531.895714285718</v>
      </c>
      <c r="G132" s="354">
        <f t="shared" si="15"/>
        <v>8.9548795696702488</v>
      </c>
      <c r="H132" s="363">
        <f t="shared" si="14"/>
        <v>0.96308215661731356</v>
      </c>
      <c r="I132" s="349">
        <v>9104.5263806930579</v>
      </c>
      <c r="J132" s="336">
        <f>I132*'[3]%Non-FF'!$AE$3/1000</f>
        <v>2.1243894888284494E-2</v>
      </c>
      <c r="K132" s="355">
        <f t="shared" si="10"/>
        <v>8.9336356747819643</v>
      </c>
      <c r="L132" s="355">
        <f>K132*'[3]FR SO Table'!$D$26</f>
        <v>8.9336356747819643</v>
      </c>
      <c r="M132" s="360">
        <v>18</v>
      </c>
      <c r="N132" s="355">
        <f t="shared" si="11"/>
        <v>160.80544214607536</v>
      </c>
      <c r="O132" s="355">
        <f>N132*'[3]FR SO Table'!$D$26</f>
        <v>160.80544214607536</v>
      </c>
      <c r="P132" s="415">
        <f t="shared" ref="P132" si="21">O132*F176</f>
        <v>0</v>
      </c>
      <c r="Q132" s="417">
        <f>G132*M132*'[3]FR SO Table'!$D$26*$F$170</f>
        <v>10345.03507406586</v>
      </c>
      <c r="R132" s="338" t="s">
        <v>810</v>
      </c>
      <c r="S132" s="775">
        <f>E132*VLOOKUP(R132,'[3]FR SO Table'!$A$37:$B$44,2,FALSE)</f>
        <v>11975.43544563642</v>
      </c>
      <c r="T132" s="329">
        <f t="shared" si="13"/>
        <v>210978.54996818191</v>
      </c>
    </row>
    <row r="133" spans="1:20" s="339" customFormat="1" ht="12.6" customHeight="1" x14ac:dyDescent="0.3">
      <c r="A133" s="1042"/>
      <c r="B133" s="1043"/>
      <c r="C133" s="360" t="s">
        <v>903</v>
      </c>
      <c r="D133" s="361">
        <v>82.8</v>
      </c>
      <c r="E133" s="361">
        <v>99.466226475963794</v>
      </c>
      <c r="F133" s="348">
        <v>6275.0379999999986</v>
      </c>
      <c r="G133" s="354">
        <f t="shared" si="15"/>
        <v>11.169705387531028</v>
      </c>
      <c r="H133" s="363">
        <f t="shared" si="14"/>
        <v>1.201282928453669</v>
      </c>
      <c r="I133" s="349">
        <v>11208.545463598019</v>
      </c>
      <c r="J133" s="336">
        <f>I133*'[3]%Non-FF'!$AE$3/1000</f>
        <v>2.6153272748396229E-2</v>
      </c>
      <c r="K133" s="355">
        <f t="shared" si="10"/>
        <v>11.143552114782631</v>
      </c>
      <c r="L133" s="355">
        <f>K133*'[3]FR SO Table'!$D$26</f>
        <v>11.143552114782631</v>
      </c>
      <c r="M133" s="360">
        <v>18</v>
      </c>
      <c r="N133" s="355">
        <f t="shared" si="11"/>
        <v>200.58393806608737</v>
      </c>
      <c r="O133" s="355">
        <f>N133*'[3]FR SO Table'!$D$26</f>
        <v>200.58393806608737</v>
      </c>
      <c r="P133" s="415">
        <f t="shared" ref="P133" si="22">O133*F176</f>
        <v>0</v>
      </c>
      <c r="Q133" s="417">
        <f>G133*M133*'[3]FR SO Table'!$D$26*$F$170</f>
        <v>12903.690451891345</v>
      </c>
      <c r="R133" s="338" t="s">
        <v>810</v>
      </c>
      <c r="S133" s="775">
        <f>E133*VLOOKUP(R133,'[3]FR SO Table'!$A$37:$B$44,2,FALSE)</f>
        <v>14937.340561027864</v>
      </c>
      <c r="T133" s="329">
        <f t="shared" si="13"/>
        <v>261840.24394559319</v>
      </c>
    </row>
    <row r="134" spans="1:20" s="339" customFormat="1" ht="12.6" customHeight="1" x14ac:dyDescent="0.3">
      <c r="A134" s="1042"/>
      <c r="B134" s="1043"/>
      <c r="C134" s="360" t="s">
        <v>904</v>
      </c>
      <c r="D134" s="361">
        <v>82.8</v>
      </c>
      <c r="E134" s="361">
        <v>108.43112619739848</v>
      </c>
      <c r="F134" s="348">
        <v>6490.8959999999961</v>
      </c>
      <c r="G134" s="354">
        <f t="shared" si="15"/>
        <v>12.176431914362547</v>
      </c>
      <c r="H134" s="363">
        <f t="shared" si="14"/>
        <v>1.3095546642197886</v>
      </c>
      <c r="I134" s="349">
        <v>12219.632388226666</v>
      </c>
      <c r="J134" s="336">
        <f>I134*'[3]%Non-FF'!$AE$3/1000</f>
        <v>2.8512475572529814E-2</v>
      </c>
      <c r="K134" s="355">
        <f t="shared" si="10"/>
        <v>12.147919438790018</v>
      </c>
      <c r="L134" s="355">
        <f>K134*'[3]FR SO Table'!$D$26</f>
        <v>12.147919438790018</v>
      </c>
      <c r="M134" s="360">
        <v>18</v>
      </c>
      <c r="N134" s="355">
        <f t="shared" si="11"/>
        <v>218.66254989822031</v>
      </c>
      <c r="O134" s="355">
        <f>N134*'[3]FR SO Table'!$D$26</f>
        <v>218.66254989822031</v>
      </c>
      <c r="P134" s="415">
        <f t="shared" ref="P134" si="23">O134*F178</f>
        <v>0</v>
      </c>
      <c r="Q134" s="417">
        <f>G134*M134*'[3]FR SO Table'!$D$26*$F$170</f>
        <v>14066.701204748191</v>
      </c>
      <c r="R134" s="338" t="s">
        <v>810</v>
      </c>
      <c r="S134" s="775">
        <f>E134*VLOOKUP(R134,'[3]FR SO Table'!$A$37:$B$44,2,FALSE)</f>
        <v>16283.644376694319</v>
      </c>
      <c r="T134" s="329">
        <f t="shared" si="13"/>
        <v>284748.4325550971</v>
      </c>
    </row>
    <row r="135" spans="1:20" s="339" customFormat="1" ht="12.6" customHeight="1" x14ac:dyDescent="0.3">
      <c r="A135" s="1042"/>
      <c r="B135" s="1043"/>
      <c r="C135" s="360" t="s">
        <v>905</v>
      </c>
      <c r="D135" s="361" t="s">
        <v>695</v>
      </c>
      <c r="E135" s="361">
        <v>10.692383179182265</v>
      </c>
      <c r="F135" s="348">
        <v>1517.3183720930233</v>
      </c>
      <c r="G135" s="354">
        <f t="shared" si="15"/>
        <v>1.2007168084427025</v>
      </c>
      <c r="H135" s="363" t="e">
        <f t="shared" si="14"/>
        <v>#VALUE!</v>
      </c>
      <c r="I135" s="349">
        <v>1485.3205196312565</v>
      </c>
      <c r="J135" s="336">
        <f>I135*'[3]%Non-FF'!$AE$3/1000</f>
        <v>3.4657478791397115E-3</v>
      </c>
      <c r="K135" s="355">
        <f t="shared" si="10"/>
        <v>1.1972510605635627</v>
      </c>
      <c r="L135" s="355">
        <f>K135*'[3]FR SO Table'!$D$26</f>
        <v>1.1972510605635627</v>
      </c>
      <c r="M135" s="360">
        <v>18</v>
      </c>
      <c r="N135" s="355">
        <f t="shared" si="11"/>
        <v>21.550519090144128</v>
      </c>
      <c r="O135" s="355">
        <f>N135*'[3]FR SO Table'!$D$26</f>
        <v>21.550519090144128</v>
      </c>
      <c r="P135" s="415">
        <f>O135*F170</f>
        <v>1383.1123152054504</v>
      </c>
      <c r="Q135" s="417">
        <f>G135*M135*'[3]FR SO Table'!$D$26*F170</f>
        <v>1387.1160857853479</v>
      </c>
      <c r="R135" s="338" t="s">
        <v>810</v>
      </c>
      <c r="S135" s="775">
        <f>E135*VLOOKUP(R135,'[3]FR SO Table'!$A$37:$B$44,2,FALSE)</f>
        <v>1605.7286439336967</v>
      </c>
      <c r="T135" s="329">
        <f t="shared" si="13"/>
        <v>28802.944679247175</v>
      </c>
    </row>
    <row r="136" spans="1:20" s="339" customFormat="1" ht="12.6" customHeight="1" x14ac:dyDescent="0.3">
      <c r="A136" s="1042"/>
      <c r="B136" s="1043"/>
      <c r="C136" s="360" t="s">
        <v>906</v>
      </c>
      <c r="D136" s="361" t="s">
        <v>695</v>
      </c>
      <c r="E136" s="361">
        <v>13.484571082319405</v>
      </c>
      <c r="F136" s="348">
        <v>1687.8831034482755</v>
      </c>
      <c r="G136" s="354">
        <f t="shared" si="15"/>
        <v>1.5142696330510281</v>
      </c>
      <c r="H136" s="363" t="e">
        <f t="shared" si="14"/>
        <v>#VALUE!</v>
      </c>
      <c r="I136" s="349">
        <v>1899.9536584242016</v>
      </c>
      <c r="J136" s="336">
        <f>I136*'[3]%Non-FF'!$AE$3/1000</f>
        <v>4.4332252029899485E-3</v>
      </c>
      <c r="K136" s="355">
        <f t="shared" si="10"/>
        <v>1.5098364078480382</v>
      </c>
      <c r="L136" s="355">
        <f>K136*'[3]FR SO Table'!$D$26</f>
        <v>1.5098364078480382</v>
      </c>
      <c r="M136" s="360">
        <v>18</v>
      </c>
      <c r="N136" s="355">
        <f t="shared" si="11"/>
        <v>27.177055341264687</v>
      </c>
      <c r="O136" s="355">
        <f>N136*'[3]FR SO Table'!$D$26</f>
        <v>27.177055341264687</v>
      </c>
      <c r="P136" s="415">
        <f>O136*F170</f>
        <v>1744.2234118023678</v>
      </c>
      <c r="Q136" s="417">
        <f>G136*M136*'[3]FR SO Table'!$D$26*F170</f>
        <v>1749.3448508858701</v>
      </c>
      <c r="R136" s="338" t="s">
        <v>810</v>
      </c>
      <c r="S136" s="775">
        <f>E136*VLOOKUP(R136,'[3]FR SO Table'!$A$37:$B$44,2,FALSE)</f>
        <v>2025.0454622873169</v>
      </c>
      <c r="T136" s="329">
        <f t="shared" si="13"/>
        <v>36289.223634720678</v>
      </c>
    </row>
    <row r="137" spans="1:20" s="339" customFormat="1" ht="12.6" customHeight="1" x14ac:dyDescent="0.3">
      <c r="A137" s="1042"/>
      <c r="B137" s="1043"/>
      <c r="C137" s="360" t="s">
        <v>907</v>
      </c>
      <c r="D137" s="361" t="s">
        <v>695</v>
      </c>
      <c r="E137" s="361">
        <v>18.303213467750325</v>
      </c>
      <c r="F137" s="348">
        <v>1802.9074999999993</v>
      </c>
      <c r="G137" s="354">
        <f t="shared" si="15"/>
        <v>2.0553861277653369</v>
      </c>
      <c r="H137" s="363" t="e">
        <f t="shared" si="14"/>
        <v>#VALUE!</v>
      </c>
      <c r="I137" s="349">
        <v>2525.8419849346028</v>
      </c>
      <c r="J137" s="336">
        <f>I137*'[3]%Non-FF'!$AE$3/1000</f>
        <v>5.8936312981809321E-3</v>
      </c>
      <c r="K137" s="355">
        <f t="shared" si="10"/>
        <v>2.0494924964671561</v>
      </c>
      <c r="L137" s="355">
        <f>K137*'[3]FR SO Table'!$D$26</f>
        <v>2.0494924964671561</v>
      </c>
      <c r="M137" s="360">
        <v>18</v>
      </c>
      <c r="N137" s="355">
        <f t="shared" si="11"/>
        <v>36.890864936408811</v>
      </c>
      <c r="O137" s="355">
        <f>N137*'[3]FR SO Table'!$D$26</f>
        <v>36.890864936408811</v>
      </c>
      <c r="P137" s="415">
        <f>O137*F170</f>
        <v>2367.6557116187178</v>
      </c>
      <c r="Q137" s="417">
        <f>G137*M137*'[3]FR SO Table'!$D$26*F170</f>
        <v>2374.4642702396281</v>
      </c>
      <c r="R137" s="338" t="s">
        <v>810</v>
      </c>
      <c r="S137" s="775">
        <f>E137*VLOOKUP(R137,'[3]FR SO Table'!$A$37:$B$44,2,FALSE)</f>
        <v>2748.6850825194051</v>
      </c>
      <c r="T137" s="329">
        <f t="shared" si="13"/>
        <v>49184.736229588067</v>
      </c>
    </row>
    <row r="138" spans="1:20" s="339" customFormat="1" ht="12.6" customHeight="1" x14ac:dyDescent="0.3">
      <c r="A138" s="1042"/>
      <c r="B138" s="1043"/>
      <c r="C138" s="360" t="s">
        <v>908</v>
      </c>
      <c r="D138" s="361" t="s">
        <v>695</v>
      </c>
      <c r="E138" s="361">
        <v>19.663936201318126</v>
      </c>
      <c r="F138" s="348">
        <v>2110.7422500000011</v>
      </c>
      <c r="G138" s="354">
        <f t="shared" si="15"/>
        <v>2.2081904774079875</v>
      </c>
      <c r="H138" s="363" t="e">
        <f t="shared" si="14"/>
        <v>#VALUE!</v>
      </c>
      <c r="I138" s="349">
        <v>2791.2467814427137</v>
      </c>
      <c r="J138" s="336">
        <f>I138*'[3]%Non-FF'!$AE$3/1000</f>
        <v>6.5129091566998778E-3</v>
      </c>
      <c r="K138" s="355">
        <f t="shared" si="10"/>
        <v>2.2016775682512875</v>
      </c>
      <c r="L138" s="355">
        <f>K138*'[3]FR SO Table'!$D$26</f>
        <v>2.2016775682512875</v>
      </c>
      <c r="M138" s="360">
        <v>18</v>
      </c>
      <c r="N138" s="355">
        <f t="shared" si="11"/>
        <v>39.630196228523175</v>
      </c>
      <c r="O138" s="355">
        <f>N138*'[3]FR SO Table'!$D$26</f>
        <v>39.630196228523175</v>
      </c>
      <c r="P138" s="415">
        <f>O138*F170</f>
        <v>2543.4659939466178</v>
      </c>
      <c r="Q138" s="417">
        <f>G138*M138*'[3]FR SO Table'!$D$26*F170</f>
        <v>2550.9899671208041</v>
      </c>
      <c r="R138" s="338" t="s">
        <v>810</v>
      </c>
      <c r="S138" s="775">
        <f>E138*VLOOKUP(R138,'[3]FR SO Table'!$A$37:$B$44,2,FALSE)</f>
        <v>2953.0316190329499</v>
      </c>
      <c r="T138" s="329">
        <f t="shared" si="13"/>
        <v>52808.378262503866</v>
      </c>
    </row>
    <row r="139" spans="1:20" s="339" customFormat="1" ht="12.6" customHeight="1" x14ac:dyDescent="0.3">
      <c r="A139" s="1042"/>
      <c r="B139" s="1043"/>
      <c r="C139" s="360" t="s">
        <v>909</v>
      </c>
      <c r="D139" s="361" t="s">
        <v>695</v>
      </c>
      <c r="E139" s="361">
        <v>25.757943551922075</v>
      </c>
      <c r="F139" s="348">
        <v>3239.909009126467</v>
      </c>
      <c r="G139" s="354">
        <f t="shared" si="15"/>
        <v>2.8925259463135404</v>
      </c>
      <c r="H139" s="363" t="e">
        <f t="shared" si="14"/>
        <v>#VALUE!</v>
      </c>
      <c r="I139" s="349">
        <v>3673.6414705003658</v>
      </c>
      <c r="J139" s="336">
        <f>I139*'[3]%Non-FF'!$AE$3/1000</f>
        <v>8.571830097834467E-3</v>
      </c>
      <c r="K139" s="355">
        <f t="shared" si="10"/>
        <v>2.8839541162157061</v>
      </c>
      <c r="L139" s="355">
        <f>K139*'[3]FR SO Table'!$D$26</f>
        <v>2.8839541162157061</v>
      </c>
      <c r="M139" s="360">
        <v>18</v>
      </c>
      <c r="N139" s="355">
        <f t="shared" si="11"/>
        <v>51.911174091882707</v>
      </c>
      <c r="O139" s="355">
        <f>N139*'[3]FR SO Table'!$D$26</f>
        <v>51.911174091882707</v>
      </c>
      <c r="P139" s="415">
        <f>O139*F170</f>
        <v>3331.6591532170323</v>
      </c>
      <c r="Q139" s="417">
        <f>G139*M139*'[3]FR SO Table'!$D$26*$F$170</f>
        <v>3341.5616742192547</v>
      </c>
      <c r="R139" s="338" t="s">
        <v>810</v>
      </c>
      <c r="S139" s="775">
        <f>E139*VLOOKUP(R139,'[3]FR SO Table'!$A$37:$B$44,2,FALSE)</f>
        <v>3868.1991729098982</v>
      </c>
      <c r="T139" s="329">
        <f t="shared" si="13"/>
        <v>69030.749282672346</v>
      </c>
    </row>
    <row r="140" spans="1:20" s="339" customFormat="1" ht="12.6" customHeight="1" x14ac:dyDescent="0.3">
      <c r="A140" s="1042"/>
      <c r="B140" s="1043"/>
      <c r="C140" s="360" t="s">
        <v>910</v>
      </c>
      <c r="D140" s="361" t="s">
        <v>695</v>
      </c>
      <c r="E140" s="361">
        <v>37.083082036617533</v>
      </c>
      <c r="F140" s="348">
        <v>3601.0405991735533</v>
      </c>
      <c r="G140" s="354">
        <f t="shared" si="15"/>
        <v>4.1642989372956247</v>
      </c>
      <c r="H140" s="363" t="e">
        <f t="shared" si="14"/>
        <v>#VALUE!</v>
      </c>
      <c r="I140" s="349">
        <v>5101.3746309438875</v>
      </c>
      <c r="J140" s="336">
        <f>I140*'[3]%Non-FF'!$AE$3/1000</f>
        <v>1.1903207472202793E-2</v>
      </c>
      <c r="K140" s="355">
        <f t="shared" si="10"/>
        <v>4.1523957298234215</v>
      </c>
      <c r="L140" s="355">
        <f>K140*'[3]FR SO Table'!$D$26</f>
        <v>4.1523957298234215</v>
      </c>
      <c r="M140" s="360">
        <v>18</v>
      </c>
      <c r="N140" s="355">
        <f t="shared" si="11"/>
        <v>74.743123136821595</v>
      </c>
      <c r="O140" s="355">
        <f>N140*'[3]FR SO Table'!$D$26</f>
        <v>74.743123136821595</v>
      </c>
      <c r="P140" s="415">
        <f>O140*F170</f>
        <v>4797.0136429212107</v>
      </c>
      <c r="Q140" s="417">
        <f>G140*M140*'[3]FR SO Table'!$D$26*$F$170</f>
        <v>4810.7647043213983</v>
      </c>
      <c r="R140" s="338" t="s">
        <v>810</v>
      </c>
      <c r="S140" s="775">
        <f>E140*VLOOKUP(R140,'[3]FR SO Table'!$A$37:$B$44,2,FALSE)</f>
        <v>5568.951844849038</v>
      </c>
      <c r="T140" s="329">
        <f t="shared" si="13"/>
        <v>99047.942201467697</v>
      </c>
    </row>
    <row r="141" spans="1:20" s="339" customFormat="1" ht="12.9" customHeight="1" x14ac:dyDescent="0.3">
      <c r="A141" s="1042"/>
      <c r="B141" s="1043"/>
      <c r="C141" s="360" t="s">
        <v>911</v>
      </c>
      <c r="D141" s="361" t="s">
        <v>695</v>
      </c>
      <c r="E141" s="361">
        <v>38.620252137313329</v>
      </c>
      <c r="F141" s="348">
        <v>4460.787149002741</v>
      </c>
      <c r="G141" s="354">
        <f t="shared" si="15"/>
        <v>4.3369177021126708</v>
      </c>
      <c r="H141" s="363" t="e">
        <f t="shared" si="14"/>
        <v>#VALUE!</v>
      </c>
      <c r="I141" s="349">
        <v>5508.7250902700143</v>
      </c>
      <c r="J141" s="336">
        <f>I141*'[3]%Non-FF'!$AE$3/1000</f>
        <v>1.2853691877297119E-2</v>
      </c>
      <c r="K141" s="355">
        <f t="shared" si="10"/>
        <v>4.3240640102353733</v>
      </c>
      <c r="L141" s="355">
        <f>K141*'[3]FR SO Table'!$D$26</f>
        <v>4.3240640102353733</v>
      </c>
      <c r="M141" s="360">
        <v>18</v>
      </c>
      <c r="N141" s="355">
        <f t="shared" si="11"/>
        <v>77.833152184236724</v>
      </c>
      <c r="O141" s="355">
        <f>N141*'[3]FR SO Table'!$D$26</f>
        <v>77.833152184236724</v>
      </c>
      <c r="P141" s="415">
        <f t="shared" ref="P141" si="24">O141*F172</f>
        <v>0</v>
      </c>
      <c r="Q141" s="417">
        <f>G141*M141*'[3]FR SO Table'!$D$26*$F$170</f>
        <v>5010.1808061886422</v>
      </c>
      <c r="R141" s="338" t="s">
        <v>810</v>
      </c>
      <c r="S141" s="775">
        <f>E141*VLOOKUP(R141,'[3]FR SO Table'!$A$37:$B$44,2,FALSE)</f>
        <v>5799.7963647210299</v>
      </c>
      <c r="T141" s="329">
        <f t="shared" si="13"/>
        <v>103054.45624736107</v>
      </c>
    </row>
    <row r="142" spans="1:20" s="339" customFormat="1" ht="12.9" customHeight="1" x14ac:dyDescent="0.3">
      <c r="A142" s="1042"/>
      <c r="B142" s="1043"/>
      <c r="C142" s="360" t="s">
        <v>912</v>
      </c>
      <c r="D142" s="361" t="s">
        <v>695</v>
      </c>
      <c r="E142" s="361">
        <v>53.114848384565569</v>
      </c>
      <c r="F142" s="348">
        <v>5079.3700982800983</v>
      </c>
      <c r="G142" s="354">
        <f t="shared" si="15"/>
        <v>5.9646095883846799</v>
      </c>
      <c r="H142" s="363" t="e">
        <f t="shared" si="14"/>
        <v>#VALUE!</v>
      </c>
      <c r="I142" s="349">
        <v>7266.8700119654304</v>
      </c>
      <c r="J142" s="336">
        <f>I142*'[3]%Non-FF'!$AE$3/1000</f>
        <v>1.6956030027919889E-2</v>
      </c>
      <c r="K142" s="355">
        <f t="shared" si="10"/>
        <v>5.9476535583567598</v>
      </c>
      <c r="L142" s="355">
        <f>K142*'[3]FR SO Table'!$D$26</f>
        <v>5.9476535583567598</v>
      </c>
      <c r="M142" s="360">
        <v>18</v>
      </c>
      <c r="N142" s="355">
        <f t="shared" si="11"/>
        <v>107.05776405042168</v>
      </c>
      <c r="O142" s="355">
        <f>N142*'[3]FR SO Table'!$D$26</f>
        <v>107.05776405042168</v>
      </c>
      <c r="P142" s="415">
        <f t="shared" ref="P142" si="25">O142*F172</f>
        <v>0</v>
      </c>
      <c r="Q142" s="417">
        <f>G142*M142*'[3]FR SO Table'!$D$26*$F$170</f>
        <v>6890.5555808855188</v>
      </c>
      <c r="R142" s="338" t="s">
        <v>810</v>
      </c>
      <c r="S142" s="775">
        <f>E142*VLOOKUP(R142,'[3]FR SO Table'!$A$37:$B$44,2,FALSE)</f>
        <v>7976.5223561521352</v>
      </c>
      <c r="T142" s="329">
        <f t="shared" si="13"/>
        <v>141142.89966413123</v>
      </c>
    </row>
    <row r="143" spans="1:20" s="339" customFormat="1" ht="12.9" customHeight="1" x14ac:dyDescent="0.3">
      <c r="A143" s="1042"/>
      <c r="B143" s="1043"/>
      <c r="C143" s="360" t="s">
        <v>913</v>
      </c>
      <c r="D143" s="361" t="s">
        <v>695</v>
      </c>
      <c r="E143" s="361">
        <v>50.148277734679802</v>
      </c>
      <c r="F143" s="348">
        <v>5497.8879093717733</v>
      </c>
      <c r="G143" s="354">
        <f t="shared" si="15"/>
        <v>5.6314741981673002</v>
      </c>
      <c r="H143" s="363" t="e">
        <f t="shared" si="14"/>
        <v>#VALUE!</v>
      </c>
      <c r="I143" s="349">
        <v>7204.711481078306</v>
      </c>
      <c r="J143" s="336">
        <f>I143*'[3]%Non-FF'!$AE$3/1000</f>
        <v>1.6810993455849927E-2</v>
      </c>
      <c r="K143" s="355">
        <f t="shared" si="10"/>
        <v>5.6146632047114506</v>
      </c>
      <c r="L143" s="355">
        <f>K143*'[3]FR SO Table'!$D$26</f>
        <v>5.6146632047114506</v>
      </c>
      <c r="M143" s="360">
        <v>18</v>
      </c>
      <c r="N143" s="355">
        <f t="shared" si="11"/>
        <v>101.06393768480611</v>
      </c>
      <c r="O143" s="355">
        <f>N143*'[3]FR SO Table'!$D$26</f>
        <v>101.06393768480611</v>
      </c>
      <c r="P143" s="415">
        <f t="shared" ref="P143" si="26">O143*F174</f>
        <v>0</v>
      </c>
      <c r="Q143" s="417">
        <f>G143*M143*'[3]FR SO Table'!$D$26*$F$170</f>
        <v>6505.7042526907917</v>
      </c>
      <c r="R143" s="338" t="s">
        <v>810</v>
      </c>
      <c r="S143" s="775">
        <f>E143*VLOOKUP(R143,'[3]FR SO Table'!$A$37:$B$44,2,FALSE)</f>
        <v>7531.0176088055396</v>
      </c>
      <c r="T143" s="329">
        <f t="shared" si="13"/>
        <v>133279.44697922436</v>
      </c>
    </row>
    <row r="144" spans="1:20" s="339" customFormat="1" ht="12.9" customHeight="1" x14ac:dyDescent="0.3">
      <c r="A144" s="1042"/>
      <c r="B144" s="1043"/>
      <c r="C144" s="360" t="s">
        <v>914</v>
      </c>
      <c r="D144" s="361" t="s">
        <v>695</v>
      </c>
      <c r="E144" s="361">
        <v>61.932636240707666</v>
      </c>
      <c r="F144" s="348">
        <v>6019.0168325242721</v>
      </c>
      <c r="G144" s="354">
        <f t="shared" si="15"/>
        <v>6.9548159731283175</v>
      </c>
      <c r="H144" s="363" t="e">
        <f t="shared" si="14"/>
        <v>#VALUE!</v>
      </c>
      <c r="I144" s="349">
        <v>8680.3177186907669</v>
      </c>
      <c r="J144" s="336">
        <f>I144*'[3]%Non-FF'!$AE$3/1000</f>
        <v>2.0254074676945785E-2</v>
      </c>
      <c r="K144" s="355">
        <f t="shared" si="10"/>
        <v>6.9345618984513715</v>
      </c>
      <c r="L144" s="355">
        <f>K144*'[3]FR SO Table'!$D$26</f>
        <v>6.9345618984513715</v>
      </c>
      <c r="M144" s="360">
        <v>18</v>
      </c>
      <c r="N144" s="355">
        <f t="shared" si="11"/>
        <v>124.82211417212469</v>
      </c>
      <c r="O144" s="355">
        <f>N144*'[3]FR SO Table'!$D$26</f>
        <v>124.82211417212469</v>
      </c>
      <c r="P144" s="415">
        <f t="shared" ref="P144" si="27">O144*F174</f>
        <v>0</v>
      </c>
      <c r="Q144" s="417">
        <f>G144*M144*'[3]FR SO Table'!$D$26*$F$170</f>
        <v>8034.4816047967588</v>
      </c>
      <c r="R144" s="338" t="s">
        <v>810</v>
      </c>
      <c r="S144" s="775">
        <f>E144*VLOOKUP(R144,'[3]FR SO Table'!$A$37:$B$44,2,FALSE)</f>
        <v>9300.7336474482745</v>
      </c>
      <c r="T144" s="329">
        <f t="shared" si="13"/>
        <v>164022.40608484455</v>
      </c>
    </row>
    <row r="145" spans="1:20" s="339" customFormat="1" ht="12.9" customHeight="1" x14ac:dyDescent="0.3">
      <c r="A145" s="1042"/>
      <c r="B145" s="1043"/>
      <c r="C145" s="360" t="s">
        <v>915</v>
      </c>
      <c r="D145" s="361" t="s">
        <v>695</v>
      </c>
      <c r="E145" s="361">
        <v>60.406034008233092</v>
      </c>
      <c r="F145" s="348">
        <v>7531.895714285718</v>
      </c>
      <c r="G145" s="354">
        <f t="shared" si="15"/>
        <v>6.7833839425303868</v>
      </c>
      <c r="H145" s="363" t="e">
        <f t="shared" si="14"/>
        <v>#VALUE!</v>
      </c>
      <c r="I145" s="349">
        <v>8768.2739823797747</v>
      </c>
      <c r="J145" s="336">
        <f>I145*'[3]%Non-FF'!$AE$3/1000</f>
        <v>2.0459305958886807E-2</v>
      </c>
      <c r="K145" s="355">
        <f t="shared" si="10"/>
        <v>6.7629246365715003</v>
      </c>
      <c r="L145" s="355">
        <f>K145*'[3]FR SO Table'!$D$26</f>
        <v>6.7629246365715003</v>
      </c>
      <c r="M145" s="360">
        <v>18</v>
      </c>
      <c r="N145" s="355">
        <f t="shared" si="11"/>
        <v>121.732643458287</v>
      </c>
      <c r="O145" s="355">
        <f>N145*'[3]FR SO Table'!$D$26</f>
        <v>121.732643458287</v>
      </c>
      <c r="P145" s="415">
        <f t="shared" ref="P145" si="28">O145*F176</f>
        <v>0</v>
      </c>
      <c r="Q145" s="417">
        <f>G145*M145*'[3]FR SO Table'!$D$26*$F$170</f>
        <v>7836.4364657688047</v>
      </c>
      <c r="R145" s="338" t="s">
        <v>810</v>
      </c>
      <c r="S145" s="775">
        <f>E145*VLOOKUP(R145,'[3]FR SO Table'!$A$37:$B$44,2,FALSE)</f>
        <v>9071.4761571864055</v>
      </c>
      <c r="T145" s="329">
        <f t="shared" si="13"/>
        <v>159945.84091778009</v>
      </c>
    </row>
    <row r="146" spans="1:20" s="339" customFormat="1" ht="12.9" customHeight="1" x14ac:dyDescent="0.3">
      <c r="A146" s="1042"/>
      <c r="B146" s="1043"/>
      <c r="C146" s="360" t="s">
        <v>916</v>
      </c>
      <c r="D146" s="361" t="s">
        <v>695</v>
      </c>
      <c r="E146" s="361">
        <v>75.34636264527559</v>
      </c>
      <c r="F146" s="348">
        <v>6275.0379999999986</v>
      </c>
      <c r="G146" s="354">
        <f t="shared" si="15"/>
        <v>8.4611299994694669</v>
      </c>
      <c r="H146" s="363" t="e">
        <f t="shared" si="14"/>
        <v>#VALUE!</v>
      </c>
      <c r="I146" s="349">
        <v>10572.885913573624</v>
      </c>
      <c r="J146" s="336">
        <f>I146*'[3]%Non-FF'!$AE$3/1000</f>
        <v>2.4670067131672593E-2</v>
      </c>
      <c r="K146" s="355">
        <f t="shared" si="10"/>
        <v>8.4364599323377938</v>
      </c>
      <c r="L146" s="355">
        <f>K146*'[3]FR SO Table'!$D$26</f>
        <v>8.4364599323377938</v>
      </c>
      <c r="M146" s="360">
        <v>18</v>
      </c>
      <c r="N146" s="355">
        <f t="shared" si="11"/>
        <v>151.8562787820803</v>
      </c>
      <c r="O146" s="355">
        <f>N146*'[3]FR SO Table'!$D$26</f>
        <v>151.8562787820803</v>
      </c>
      <c r="P146" s="415">
        <f t="shared" ref="P146" si="29">O146*F176</f>
        <v>0</v>
      </c>
      <c r="Q146" s="417">
        <f>G146*M146*'[3]FR SO Table'!$D$26*$F$170</f>
        <v>9774.6358205871074</v>
      </c>
      <c r="R146" s="338" t="s">
        <v>810</v>
      </c>
      <c r="S146" s="775">
        <f>E146*VLOOKUP(R146,'[3]FR SO Table'!$A$37:$B$44,2,FALSE)</f>
        <v>11315.140010254263</v>
      </c>
      <c r="T146" s="329">
        <f t="shared" si="13"/>
        <v>198647.9054387463</v>
      </c>
    </row>
    <row r="147" spans="1:20" s="339" customFormat="1" ht="12.9" customHeight="1" x14ac:dyDescent="0.3">
      <c r="A147" s="1042"/>
      <c r="B147" s="1043"/>
      <c r="C147" s="360" t="s">
        <v>917</v>
      </c>
      <c r="D147" s="361" t="s">
        <v>695</v>
      </c>
      <c r="E147" s="361">
        <v>82.13733692289108</v>
      </c>
      <c r="F147" s="348">
        <v>6490.8959999999961</v>
      </c>
      <c r="G147" s="354">
        <f t="shared" si="15"/>
        <v>9.2237323888704204</v>
      </c>
      <c r="H147" s="363" t="e">
        <f t="shared" ref="H147:H148" si="30">E147/D147</f>
        <v>#VALUE!</v>
      </c>
      <c r="I147" s="349">
        <v>11527.938478880253</v>
      </c>
      <c r="J147" s="336">
        <f>I147*'[3]%Non-FF'!$AE$3/1000</f>
        <v>2.6898523117388135E-2</v>
      </c>
      <c r="K147" s="355">
        <f t="shared" si="10"/>
        <v>9.1968338657530317</v>
      </c>
      <c r="L147" s="355">
        <f>K147*'[3]FR SO Table'!$D$26</f>
        <v>9.1968338657530317</v>
      </c>
      <c r="M147" s="360">
        <v>18</v>
      </c>
      <c r="N147" s="355">
        <f t="shared" si="11"/>
        <v>165.54300958355458</v>
      </c>
      <c r="O147" s="355">
        <f>N147*'[3]FR SO Table'!$D$26</f>
        <v>165.54300958355458</v>
      </c>
      <c r="P147" s="415">
        <f t="shared" ref="P147" si="31">O147*F178</f>
        <v>0</v>
      </c>
      <c r="Q147" s="417">
        <f>G147*M147*'[3]FR SO Table'!$D$26*$F$170</f>
        <v>10655.624604918665</v>
      </c>
      <c r="R147" s="338" t="s">
        <v>810</v>
      </c>
      <c r="S147" s="775">
        <f>E147*VLOOKUP(R147,'[3]FR SO Table'!$A$37:$B$44,2,FALSE)</f>
        <v>12334.974572395169</v>
      </c>
      <c r="T147" s="329">
        <f t="shared" si="13"/>
        <v>216057.27552672965</v>
      </c>
    </row>
    <row r="148" spans="1:20" s="339" customFormat="1" ht="26.4" x14ac:dyDescent="0.3">
      <c r="A148" s="986" t="s">
        <v>769</v>
      </c>
      <c r="B148" s="987" t="s">
        <v>808</v>
      </c>
      <c r="C148" s="360" t="s">
        <v>918</v>
      </c>
      <c r="D148" s="361">
        <v>2.1190000000000002</v>
      </c>
      <c r="E148" s="361">
        <v>2.1190000000000002</v>
      </c>
      <c r="F148" s="348" t="s">
        <v>695</v>
      </c>
      <c r="G148" s="354">
        <f t="shared" si="15"/>
        <v>0.23795620437956208</v>
      </c>
      <c r="H148" s="363">
        <f t="shared" si="30"/>
        <v>1</v>
      </c>
      <c r="I148" s="349">
        <v>258.18</v>
      </c>
      <c r="J148" s="336">
        <f>I148*'[3]%Non-FF'!$AF$3/1000</f>
        <v>7.2290400000000641E-4</v>
      </c>
      <c r="K148" s="355">
        <f t="shared" si="10"/>
        <v>0.23723330037956208</v>
      </c>
      <c r="L148" s="355">
        <f>K148*'[3]FR SO Table'!$D$27</f>
        <v>0.23723330037956208</v>
      </c>
      <c r="M148" s="360">
        <v>15</v>
      </c>
      <c r="N148" s="355">
        <f t="shared" ref="N148:N161" si="32">K148*M148</f>
        <v>3.5584995056934314</v>
      </c>
      <c r="O148" s="355">
        <f>N148*'[3]FR SO Table'!$D$27</f>
        <v>3.5584995056934314</v>
      </c>
      <c r="P148" s="415">
        <f>O148*F170</f>
        <v>228.38449827540444</v>
      </c>
      <c r="Q148" s="417">
        <f>G148*M148*'[3]FR SO Table'!$D$27*F170</f>
        <v>229.08043795620443</v>
      </c>
      <c r="R148" s="329" t="s">
        <v>866</v>
      </c>
      <c r="S148" s="775">
        <f>E148*VLOOKUP(R148,'[3]FR SO Table'!$A$37:$B$44,2,FALSE)</f>
        <v>294.64695000000006</v>
      </c>
      <c r="T148" s="329">
        <f t="shared" si="13"/>
        <v>4416.509228118859</v>
      </c>
    </row>
    <row r="149" spans="1:20" s="339" customFormat="1" ht="14.4" x14ac:dyDescent="0.3">
      <c r="A149" s="986" t="s">
        <v>919</v>
      </c>
      <c r="B149" s="987" t="s">
        <v>808</v>
      </c>
      <c r="C149" s="360" t="s">
        <v>920</v>
      </c>
      <c r="D149" s="361" t="s">
        <v>695</v>
      </c>
      <c r="E149" s="361" t="s">
        <v>695</v>
      </c>
      <c r="F149" s="348" t="s">
        <v>695</v>
      </c>
      <c r="G149" s="365" t="s">
        <v>921</v>
      </c>
      <c r="H149" s="363" t="s">
        <v>695</v>
      </c>
      <c r="I149" s="366"/>
      <c r="J149" s="367"/>
      <c r="K149" s="368" t="str">
        <f>G149</f>
        <v>Custom Input from Tool</v>
      </c>
      <c r="L149" s="355" t="e">
        <f>K149*'[3]FR SO Table'!$D$28</f>
        <v>#VALUE!</v>
      </c>
      <c r="M149" s="360">
        <v>10</v>
      </c>
      <c r="N149" s="355" t="e">
        <f t="shared" si="32"/>
        <v>#VALUE!</v>
      </c>
      <c r="O149" s="355" t="e">
        <f>N149*'[3]FR SO Table'!$D$28</f>
        <v>#VALUE!</v>
      </c>
      <c r="P149" s="415" t="e">
        <f>O149*F170</f>
        <v>#VALUE!</v>
      </c>
      <c r="Q149" s="435" t="e">
        <f>G149*M149*'[3]FR SO Table'!$D$28*F170</f>
        <v>#VALUE!</v>
      </c>
      <c r="R149" s="436" t="s">
        <v>695</v>
      </c>
      <c r="S149" s="775" t="e">
        <f>E149*VLOOKUP(R149,'[3]FR SO Table'!$A$37:$B$44,2,FALSE)</f>
        <v>#VALUE!</v>
      </c>
      <c r="T149" s="329" t="e">
        <f t="shared" ref="T149:T161" si="33">S149*M149*(1-J149)</f>
        <v>#VALUE!</v>
      </c>
    </row>
    <row r="150" spans="1:20" s="339" customFormat="1" ht="14.4" x14ac:dyDescent="0.3">
      <c r="A150" s="1042" t="s">
        <v>770</v>
      </c>
      <c r="B150" s="1043" t="s">
        <v>808</v>
      </c>
      <c r="C150" s="360" t="s">
        <v>922</v>
      </c>
      <c r="D150" s="361">
        <v>2.06</v>
      </c>
      <c r="E150" s="361">
        <v>2.06</v>
      </c>
      <c r="F150" s="348">
        <v>7499</v>
      </c>
      <c r="G150" s="365">
        <f>E150/$G$170</f>
        <v>0.23133071308253791</v>
      </c>
      <c r="H150" s="363">
        <f>D150/E150</f>
        <v>1</v>
      </c>
      <c r="I150" s="349">
        <v>90.12370967741937</v>
      </c>
      <c r="J150" s="336">
        <f>I150*'[3]%Non-FF'!$AI$3/1000</f>
        <v>3.7851958064515968E-4</v>
      </c>
      <c r="K150" s="368">
        <f>G150-J150</f>
        <v>0.23095219350189275</v>
      </c>
      <c r="L150" s="355">
        <f>K150*'[3]FR SO Table'!$D$29</f>
        <v>0.23095219350189275</v>
      </c>
      <c r="M150" s="360">
        <v>10</v>
      </c>
      <c r="N150" s="355">
        <f t="shared" si="32"/>
        <v>2.3095219350189273</v>
      </c>
      <c r="O150" s="355">
        <f>N150*'[3]FR SO Table'!$D$29</f>
        <v>2.3095219350189273</v>
      </c>
      <c r="P150" s="415">
        <f>O150*F170</f>
        <v>148.22511778951477</v>
      </c>
      <c r="Q150" s="417">
        <f>G150*M150*'[3]FR SO Table'!$D$29*F170</f>
        <v>148.46805165637284</v>
      </c>
      <c r="R150" s="436" t="s">
        <v>843</v>
      </c>
      <c r="S150" s="775">
        <f>E150*VLOOKUP(R150,'[3]FR SO Table'!$A$37:$B$44,2,FALSE)</f>
        <v>323.83199999999999</v>
      </c>
      <c r="T150" s="329">
        <f t="shared" si="33"/>
        <v>3237.0942324716048</v>
      </c>
    </row>
    <row r="151" spans="1:20" s="339" customFormat="1" ht="14.4" x14ac:dyDescent="0.3">
      <c r="A151" s="1042"/>
      <c r="B151" s="1043"/>
      <c r="C151" s="360" t="s">
        <v>923</v>
      </c>
      <c r="D151" s="361">
        <v>7.9</v>
      </c>
      <c r="E151" s="361">
        <v>7.9</v>
      </c>
      <c r="F151" s="348">
        <v>18919</v>
      </c>
      <c r="G151" s="365">
        <f>E151/$G$170</f>
        <v>0.88714205502526677</v>
      </c>
      <c r="H151" s="363">
        <f>D151/E151</f>
        <v>1</v>
      </c>
      <c r="I151" s="349">
        <v>231.89397201291709</v>
      </c>
      <c r="J151" s="336">
        <f>I151*'[3]%Non-FF'!$AI$3/1000</f>
        <v>9.7395468245424759E-4</v>
      </c>
      <c r="K151" s="368">
        <f>G151-J151</f>
        <v>0.88616810034281257</v>
      </c>
      <c r="L151" s="355">
        <f>K151*'[3]FR SO Table'!$D$29</f>
        <v>0.88616810034281257</v>
      </c>
      <c r="M151" s="360">
        <v>10</v>
      </c>
      <c r="N151" s="355">
        <f t="shared" si="32"/>
        <v>8.8616810034281261</v>
      </c>
      <c r="O151" s="355">
        <f>N151*'[3]FR SO Table'!$D$29</f>
        <v>8.8616810034281261</v>
      </c>
      <c r="P151" s="415">
        <f>O151*$F$170</f>
        <v>568.74268680001717</v>
      </c>
      <c r="Q151" s="417">
        <f>G151*M151*'[3]FR SO Table'!$D$29*$F$170</f>
        <v>569.36777091521628</v>
      </c>
      <c r="R151" s="436" t="s">
        <v>843</v>
      </c>
      <c r="S151" s="775">
        <f>E151*VLOOKUP(R151,'[3]FR SO Table'!$A$37:$B$44,2,FALSE)</f>
        <v>1241.8799999999999</v>
      </c>
      <c r="T151" s="329">
        <f t="shared" si="33"/>
        <v>12406.704651589536</v>
      </c>
    </row>
    <row r="152" spans="1:20" s="339" customFormat="1" ht="14.4" x14ac:dyDescent="0.3">
      <c r="A152" s="1042" t="s">
        <v>924</v>
      </c>
      <c r="B152" s="1043" t="s">
        <v>808</v>
      </c>
      <c r="C152" s="360" t="s">
        <v>925</v>
      </c>
      <c r="D152" s="361">
        <f>E152</f>
        <v>1.383289</v>
      </c>
      <c r="E152" s="361">
        <v>1.383289</v>
      </c>
      <c r="F152" s="348">
        <v>271.94600000000003</v>
      </c>
      <c r="G152" s="365">
        <f t="shared" ref="G152:G157" si="34">E152/$G$170</f>
        <v>0.15533846153846154</v>
      </c>
      <c r="H152" s="363">
        <f t="shared" ref="H152:H157" si="35">D152/E152</f>
        <v>1</v>
      </c>
      <c r="I152" s="349">
        <v>0.70499999999999996</v>
      </c>
      <c r="J152" s="336">
        <f>I152*'[3]%Non-FF'!$AJ$3/1000</f>
        <v>3.7012499999999838E-6</v>
      </c>
      <c r="K152" s="368">
        <f t="shared" ref="K152:K157" si="36">G152-J152</f>
        <v>0.15533476028846155</v>
      </c>
      <c r="L152" s="355">
        <f>K152*'[3]FR SO Table'!$D$30</f>
        <v>0.15533476028846155</v>
      </c>
      <c r="M152" s="360">
        <v>8</v>
      </c>
      <c r="N152" s="355">
        <f t="shared" si="32"/>
        <v>1.2426780823076924</v>
      </c>
      <c r="O152" s="355">
        <f>N152*'[3]FR SO Table'!$D$30</f>
        <v>1.2426780823076924</v>
      </c>
      <c r="P152" s="415">
        <f t="shared" ref="P152:P157" si="37">O152*$F$170</f>
        <v>79.755079322507711</v>
      </c>
      <c r="Q152" s="417">
        <f>G152*M152*'[3]FR SO Table'!$D$30*$F$170</f>
        <v>79.756979692307695</v>
      </c>
      <c r="R152" s="436" t="s">
        <v>843</v>
      </c>
      <c r="S152" s="775">
        <f>E152*VLOOKUP(R152,'[3]FR SO Table'!$A$37:$B$44,2,FALSE)</f>
        <v>217.45303079999999</v>
      </c>
      <c r="T152" s="329">
        <f t="shared" si="33"/>
        <v>1739.6178076157578</v>
      </c>
    </row>
    <row r="153" spans="1:20" s="339" customFormat="1" ht="14.4" x14ac:dyDescent="0.3">
      <c r="A153" s="1042"/>
      <c r="B153" s="1043"/>
      <c r="C153" s="360" t="s">
        <v>926</v>
      </c>
      <c r="D153" s="361">
        <f t="shared" ref="D153:D157" si="38">E153</f>
        <v>13.832890000000001</v>
      </c>
      <c r="E153" s="361">
        <v>13.832890000000001</v>
      </c>
      <c r="F153" s="348">
        <v>594.93499999999995</v>
      </c>
      <c r="G153" s="365">
        <f t="shared" si="34"/>
        <v>1.5533846153846156</v>
      </c>
      <c r="H153" s="363">
        <f t="shared" si="35"/>
        <v>1</v>
      </c>
      <c r="I153" s="349">
        <v>58.978499999999997</v>
      </c>
      <c r="J153" s="336">
        <f>I153*'[3]%Non-FF'!$AO$3/1000</f>
        <v>1.1205915000000008E-3</v>
      </c>
      <c r="K153" s="368">
        <f t="shared" si="36"/>
        <v>1.5522640238846155</v>
      </c>
      <c r="L153" s="355">
        <f>K153*'[3]FR SO Table'!$D$30</f>
        <v>1.5522640238846155</v>
      </c>
      <c r="M153" s="360">
        <v>2</v>
      </c>
      <c r="N153" s="355">
        <f t="shared" si="32"/>
        <v>3.104528047769231</v>
      </c>
      <c r="O153" s="355">
        <f>N153*'[3]FR SO Table'!$D$30</f>
        <v>3.104528047769231</v>
      </c>
      <c r="P153" s="415">
        <f t="shared" si="37"/>
        <v>199.24861010582927</v>
      </c>
      <c r="Q153" s="417">
        <f>G153*M153*'[3]FR SO Table'!$D$30*$F$170</f>
        <v>199.39244923076927</v>
      </c>
      <c r="R153" s="436" t="s">
        <v>843</v>
      </c>
      <c r="S153" s="775">
        <f>E153*VLOOKUP(R153,'[3]FR SO Table'!$A$37:$B$44,2,FALSE)</f>
        <v>2174.5303079999999</v>
      </c>
      <c r="T153" s="329">
        <f t="shared" si="33"/>
        <v>4344.1870956407256</v>
      </c>
    </row>
    <row r="154" spans="1:20" s="339" customFormat="1" ht="14.4" x14ac:dyDescent="0.3">
      <c r="A154" s="1042"/>
      <c r="B154" s="1043"/>
      <c r="C154" s="360" t="s">
        <v>927</v>
      </c>
      <c r="D154" s="361">
        <f t="shared" si="38"/>
        <v>1.383289</v>
      </c>
      <c r="E154" s="361">
        <v>1.383289</v>
      </c>
      <c r="F154" s="348">
        <v>383.94599999999997</v>
      </c>
      <c r="G154" s="365">
        <f t="shared" si="34"/>
        <v>0.15533846153846154</v>
      </c>
      <c r="H154" s="363">
        <f t="shared" si="35"/>
        <v>1</v>
      </c>
      <c r="I154" s="349">
        <v>1.0183333333333333</v>
      </c>
      <c r="J154" s="336">
        <f>I154*'[3]%Non-FF'!$AJ$3/1000</f>
        <v>5.3462499999999761E-6</v>
      </c>
      <c r="K154" s="368">
        <f t="shared" si="36"/>
        <v>0.15533311528846153</v>
      </c>
      <c r="L154" s="355">
        <f>K154*'[3]FR SO Table'!$D$30</f>
        <v>0.15533311528846153</v>
      </c>
      <c r="M154" s="360">
        <v>8</v>
      </c>
      <c r="N154" s="355">
        <f t="shared" si="32"/>
        <v>1.2426649223076922</v>
      </c>
      <c r="O154" s="355">
        <f>N154*'[3]FR SO Table'!$D$30</f>
        <v>1.2426649223076922</v>
      </c>
      <c r="P154" s="415">
        <f t="shared" si="37"/>
        <v>79.754234713707689</v>
      </c>
      <c r="Q154" s="417">
        <f>G154*M154*'[3]FR SO Table'!$D$30*$F$170</f>
        <v>79.756979692307695</v>
      </c>
      <c r="R154" s="436" t="s">
        <v>843</v>
      </c>
      <c r="S154" s="775">
        <f>E154*VLOOKUP(R154,'[3]FR SO Table'!$A$37:$B$44,2,FALSE)</f>
        <v>217.45303079999999</v>
      </c>
      <c r="T154" s="329">
        <f t="shared" si="33"/>
        <v>1739.6149459338726</v>
      </c>
    </row>
    <row r="155" spans="1:20" s="339" customFormat="1" ht="14.4" x14ac:dyDescent="0.3">
      <c r="A155" s="1042"/>
      <c r="B155" s="1043"/>
      <c r="C155" s="360" t="s">
        <v>928</v>
      </c>
      <c r="D155" s="361">
        <f t="shared" si="38"/>
        <v>13.832890000000001</v>
      </c>
      <c r="E155" s="361">
        <v>13.832890000000001</v>
      </c>
      <c r="F155" s="348">
        <v>777.45</v>
      </c>
      <c r="G155" s="365">
        <f t="shared" si="34"/>
        <v>1.5533846153846156</v>
      </c>
      <c r="H155" s="363">
        <f t="shared" si="35"/>
        <v>1</v>
      </c>
      <c r="I155" s="349">
        <v>130.44149999999999</v>
      </c>
      <c r="J155" s="336">
        <f>I155*'[3]%Non-FF'!$AO$3/1000</f>
        <v>2.4783885000000021E-3</v>
      </c>
      <c r="K155" s="368">
        <f t="shared" si="36"/>
        <v>1.5509062268846157</v>
      </c>
      <c r="L155" s="355">
        <f>K155*'[3]FR SO Table'!$D$30</f>
        <v>1.5509062268846157</v>
      </c>
      <c r="M155" s="360">
        <v>2</v>
      </c>
      <c r="N155" s="355">
        <f t="shared" si="32"/>
        <v>3.1018124537692313</v>
      </c>
      <c r="O155" s="355">
        <f>N155*'[3]FR SO Table'!$D$30</f>
        <v>3.1018124537692313</v>
      </c>
      <c r="P155" s="415">
        <f t="shared" si="37"/>
        <v>199.07432328290929</v>
      </c>
      <c r="Q155" s="417">
        <f>G155*M155*'[3]FR SO Table'!$D$30*$F$170</f>
        <v>199.39244923076927</v>
      </c>
      <c r="R155" s="436" t="s">
        <v>843</v>
      </c>
      <c r="S155" s="775">
        <f>E155*VLOOKUP(R155,'[3]FR SO Table'!$A$37:$B$44,2,FALSE)</f>
        <v>2174.5303079999999</v>
      </c>
      <c r="T155" s="329">
        <f t="shared" si="33"/>
        <v>4338.2819541835024</v>
      </c>
    </row>
    <row r="156" spans="1:20" s="339" customFormat="1" ht="14.4" x14ac:dyDescent="0.3">
      <c r="A156" s="1042"/>
      <c r="B156" s="1043"/>
      <c r="C156" s="360" t="s">
        <v>929</v>
      </c>
      <c r="D156" s="361">
        <f t="shared" si="38"/>
        <v>1</v>
      </c>
      <c r="E156" s="361">
        <v>1</v>
      </c>
      <c r="F156" s="348">
        <v>419</v>
      </c>
      <c r="G156" s="365">
        <f t="shared" si="34"/>
        <v>0.11229646266142618</v>
      </c>
      <c r="H156" s="363">
        <f t="shared" si="35"/>
        <v>1</v>
      </c>
      <c r="I156" s="349">
        <v>8.9499999999999993</v>
      </c>
      <c r="J156" s="336">
        <f>I156*'[3]%Non-FF'!$AI$3/1000</f>
        <v>3.7589999999999835E-5</v>
      </c>
      <c r="K156" s="368">
        <f t="shared" si="36"/>
        <v>0.11225887266142617</v>
      </c>
      <c r="L156" s="355">
        <f>K156*'[3]FR SO Table'!$D$30</f>
        <v>0.11225887266142617</v>
      </c>
      <c r="M156" s="360">
        <v>10</v>
      </c>
      <c r="N156" s="355">
        <f t="shared" si="32"/>
        <v>1.1225887266142618</v>
      </c>
      <c r="O156" s="355">
        <f>N156*'[3]FR SO Table'!$D$30</f>
        <v>1.1225887266142618</v>
      </c>
      <c r="P156" s="415">
        <f t="shared" si="37"/>
        <v>72.047744474103325</v>
      </c>
      <c r="Q156" s="417">
        <f>G156*M156*'[3]FR SO Table'!$D$30*$F$170</f>
        <v>72.071869736103338</v>
      </c>
      <c r="R156" s="436" t="s">
        <v>843</v>
      </c>
      <c r="S156" s="775">
        <f>E156*VLOOKUP(R156,'[3]FR SO Table'!$A$37:$B$44,2,FALSE)</f>
        <v>157.19999999999999</v>
      </c>
      <c r="T156" s="329">
        <f t="shared" si="33"/>
        <v>1571.94090852</v>
      </c>
    </row>
    <row r="157" spans="1:20" s="339" customFormat="1" ht="14.4" x14ac:dyDescent="0.3">
      <c r="A157" s="1042"/>
      <c r="B157" s="1043"/>
      <c r="C157" s="360" t="s">
        <v>930</v>
      </c>
      <c r="D157" s="361">
        <f t="shared" si="38"/>
        <v>16.100000000000001</v>
      </c>
      <c r="E157" s="361">
        <v>16.100000000000001</v>
      </c>
      <c r="F157" s="348">
        <v>500</v>
      </c>
      <c r="G157" s="365">
        <f t="shared" si="34"/>
        <v>1.8079730488489616</v>
      </c>
      <c r="H157" s="363">
        <f t="shared" si="35"/>
        <v>1</v>
      </c>
      <c r="I157" s="349">
        <v>238.32</v>
      </c>
      <c r="J157" s="336">
        <f>I157*'[3]%Non-FF'!$AL$3/1000</f>
        <v>1.6682400000000016E-3</v>
      </c>
      <c r="K157" s="368">
        <f t="shared" si="36"/>
        <v>1.8063048088489615</v>
      </c>
      <c r="L157" s="355">
        <f>K157*'[3]FR SO Table'!$D$30</f>
        <v>1.8063048088489615</v>
      </c>
      <c r="M157" s="360">
        <v>6</v>
      </c>
      <c r="N157" s="355">
        <f t="shared" si="32"/>
        <v>10.837828853093768</v>
      </c>
      <c r="O157" s="355">
        <f>N157*'[3]FR SO Table'!$D$30</f>
        <v>10.837828853093768</v>
      </c>
      <c r="P157" s="415">
        <f t="shared" si="37"/>
        <v>695.57185579155816</v>
      </c>
      <c r="Q157" s="417">
        <f>G157*M157*'[3]FR SO Table'!$D$30*$F$170</f>
        <v>696.2142616507582</v>
      </c>
      <c r="R157" s="436" t="s">
        <v>843</v>
      </c>
      <c r="S157" s="775">
        <f>E157*VLOOKUP(R157,'[3]FR SO Table'!$A$37:$B$44,2,FALSE)</f>
        <v>2530.92</v>
      </c>
      <c r="T157" s="329">
        <f t="shared" si="33"/>
        <v>15160.1869081152</v>
      </c>
    </row>
    <row r="158" spans="1:20" s="339" customFormat="1" ht="14.4" x14ac:dyDescent="0.3">
      <c r="A158" s="986" t="s">
        <v>931</v>
      </c>
      <c r="B158" s="987" t="s">
        <v>808</v>
      </c>
      <c r="C158" s="360" t="s">
        <v>932</v>
      </c>
      <c r="D158" s="361" t="s">
        <v>695</v>
      </c>
      <c r="E158" s="361" t="s">
        <v>695</v>
      </c>
      <c r="F158" s="348" t="s">
        <v>695</v>
      </c>
      <c r="G158" s="365" t="s">
        <v>921</v>
      </c>
      <c r="H158" s="363" t="s">
        <v>695</v>
      </c>
      <c r="I158" s="366">
        <v>0</v>
      </c>
      <c r="J158" s="367">
        <f>I158*'[3]%Non-FF'!$AL$3/1000</f>
        <v>0</v>
      </c>
      <c r="K158" s="368" t="str">
        <f>G158</f>
        <v>Custom Input from Tool</v>
      </c>
      <c r="L158" s="355" t="e">
        <f>K158*'[3]FR SO Table'!$D$28</f>
        <v>#VALUE!</v>
      </c>
      <c r="M158" s="360">
        <v>1</v>
      </c>
      <c r="N158" s="355" t="e">
        <f t="shared" si="32"/>
        <v>#VALUE!</v>
      </c>
      <c r="O158" s="355" t="e">
        <f>N158*'[3]FR SO Table'!$D$28</f>
        <v>#VALUE!</v>
      </c>
      <c r="P158" s="438" t="e">
        <f>O158*$F$170</f>
        <v>#VALUE!</v>
      </c>
      <c r="Q158" s="435" t="e">
        <f>G158*M158*'[3]FR SO Table'!$D$28*$F$170</f>
        <v>#VALUE!</v>
      </c>
      <c r="R158" s="436" t="s">
        <v>695</v>
      </c>
      <c r="S158" s="775" t="e">
        <f>E158*VLOOKUP(R158,'[3]FR SO Table'!$A$37:$B$44,2,FALSE)</f>
        <v>#VALUE!</v>
      </c>
      <c r="T158" s="329" t="e">
        <f t="shared" si="33"/>
        <v>#VALUE!</v>
      </c>
    </row>
    <row r="159" spans="1:20" s="339" customFormat="1" ht="26.4" x14ac:dyDescent="0.3">
      <c r="A159" s="986" t="s">
        <v>933</v>
      </c>
      <c r="B159" s="987" t="s">
        <v>808</v>
      </c>
      <c r="C159" s="360" t="s">
        <v>934</v>
      </c>
      <c r="D159" s="361" t="s">
        <v>695</v>
      </c>
      <c r="E159" s="361">
        <v>12.29</v>
      </c>
      <c r="F159" s="348">
        <v>0</v>
      </c>
      <c r="G159" s="365">
        <f>E159/$G$170</f>
        <v>1.3801235261089275</v>
      </c>
      <c r="H159" s="363" t="s">
        <v>695</v>
      </c>
      <c r="I159" s="349">
        <v>0</v>
      </c>
      <c r="J159" s="336">
        <f>I159*'[3]%Non-FF'!$AM$3/1000</f>
        <v>0</v>
      </c>
      <c r="K159" s="368">
        <f>G159</f>
        <v>1.3801235261089275</v>
      </c>
      <c r="L159" s="355">
        <f>K159*'[3]FR SO Table'!$D$32</f>
        <v>1.3801235261089275</v>
      </c>
      <c r="M159" s="360">
        <v>5</v>
      </c>
      <c r="N159" s="355">
        <f t="shared" si="32"/>
        <v>6.9006176305446374</v>
      </c>
      <c r="O159" s="355">
        <f>N159*'[3]FR SO Table'!$D$31</f>
        <v>6.9006176305446374</v>
      </c>
      <c r="P159" s="337">
        <f>O159*$F$170</f>
        <v>442.88163952835487</v>
      </c>
      <c r="Q159" s="417">
        <f>G159*M159*'[3]FR SO Table'!$D$31*$F$170</f>
        <v>442.88163952835487</v>
      </c>
      <c r="R159" s="436" t="s">
        <v>843</v>
      </c>
      <c r="S159" s="775">
        <f>E159*VLOOKUP(R159,'[3]FR SO Table'!$A$37:$B$44,2,FALSE)</f>
        <v>1931.9879999999998</v>
      </c>
      <c r="T159" s="329">
        <f t="shared" si="33"/>
        <v>9659.9399999999987</v>
      </c>
    </row>
    <row r="160" spans="1:20" s="339" customFormat="1" ht="14.4" x14ac:dyDescent="0.3">
      <c r="A160" s="1042" t="s">
        <v>935</v>
      </c>
      <c r="B160" s="1043" t="s">
        <v>808</v>
      </c>
      <c r="C160" s="360" t="s">
        <v>936</v>
      </c>
      <c r="D160" s="361">
        <f>E160</f>
        <v>325.62940552941177</v>
      </c>
      <c r="E160" s="361">
        <v>325.62940552941177</v>
      </c>
      <c r="F160" s="348">
        <v>4200</v>
      </c>
      <c r="G160" s="365">
        <f t="shared" ref="G160:G161" si="39">E160/$G$170</f>
        <v>36.567030379495989</v>
      </c>
      <c r="H160" s="363">
        <f>D160/E160</f>
        <v>1</v>
      </c>
      <c r="I160" s="349">
        <v>16923.722216198414</v>
      </c>
      <c r="J160" s="336">
        <f>I160*'[3]%Non-FF'!$AM$3/1000</f>
        <v>0.14215926661606604</v>
      </c>
      <c r="K160" s="368">
        <f t="shared" ref="K160:K161" si="40">G160</f>
        <v>36.567030379495989</v>
      </c>
      <c r="L160" s="355">
        <f>K160*'[3]FR SO Table'!$D$31</f>
        <v>36.567030379495989</v>
      </c>
      <c r="M160" s="360">
        <v>5</v>
      </c>
      <c r="N160" s="355">
        <f t="shared" si="32"/>
        <v>182.83515189747993</v>
      </c>
      <c r="O160" s="355">
        <f>N160*'[3]FR SO Table'!$D$32</f>
        <v>182.83515189747993</v>
      </c>
      <c r="P160" s="337">
        <f t="shared" ref="P160:P161" si="41">O160*$F$170</f>
        <v>11734.360048780263</v>
      </c>
      <c r="Q160" s="417">
        <f>G160*M160*'[3]FR SO Table'!$D$32*$F$170</f>
        <v>11734.360048780263</v>
      </c>
      <c r="R160" s="329" t="s">
        <v>866</v>
      </c>
      <c r="S160" s="775">
        <f>E160*VLOOKUP(R160,'[3]FR SO Table'!$A$37:$B$44,2,FALSE)</f>
        <v>45278.768838864708</v>
      </c>
      <c r="T160" s="329">
        <f t="shared" si="33"/>
        <v>194209.86133726657</v>
      </c>
    </row>
    <row r="161" spans="1:20" s="339" customFormat="1" ht="14.4" x14ac:dyDescent="0.3">
      <c r="A161" s="1042"/>
      <c r="B161" s="1043"/>
      <c r="C161" s="360" t="s">
        <v>937</v>
      </c>
      <c r="D161" s="361">
        <f>E161</f>
        <v>739.11256990311404</v>
      </c>
      <c r="E161" s="361">
        <v>739.11256990311404</v>
      </c>
      <c r="F161" s="348">
        <v>4200</v>
      </c>
      <c r="G161" s="365">
        <f t="shared" si="39"/>
        <v>82.999727108715788</v>
      </c>
      <c r="H161" s="363">
        <f>D161/E161</f>
        <v>1</v>
      </c>
      <c r="I161" s="349">
        <v>18705.166660008774</v>
      </c>
      <c r="J161" s="336">
        <f>I161*'[3]%Non-FF'!$AM$3/1000</f>
        <v>0.15712339994407301</v>
      </c>
      <c r="K161" s="368">
        <f t="shared" si="40"/>
        <v>82.999727108715788</v>
      </c>
      <c r="L161" s="355">
        <f>K161*'[3]FR SO Table'!$D$31</f>
        <v>82.999727108715788</v>
      </c>
      <c r="M161" s="360">
        <v>5</v>
      </c>
      <c r="N161" s="355">
        <f t="shared" si="32"/>
        <v>414.99863554357893</v>
      </c>
      <c r="O161" s="355">
        <f>N161*'[3]FR SO Table'!$D$32</f>
        <v>414.99863554357893</v>
      </c>
      <c r="P161" s="337">
        <f t="shared" si="41"/>
        <v>26634.612429186898</v>
      </c>
      <c r="Q161" s="417">
        <f>G161*M161*'[3]FR SO Table'!$D$32*$F$170</f>
        <v>26634.612429186898</v>
      </c>
      <c r="R161" s="329" t="s">
        <v>866</v>
      </c>
      <c r="S161" s="775">
        <f>E161*VLOOKUP(R161,'[3]FR SO Table'!$A$37:$B$44,2,FALSE)</f>
        <v>102773.60284502801</v>
      </c>
      <c r="T161" s="329">
        <f t="shared" si="33"/>
        <v>433127.32470757683</v>
      </c>
    </row>
    <row r="162" spans="1:20" ht="14.4" x14ac:dyDescent="0.3">
      <c r="A162" s="317" t="s">
        <v>938</v>
      </c>
      <c r="B162" s="369"/>
      <c r="G162" s="370"/>
      <c r="H162" s="371"/>
      <c r="I162" s="372"/>
      <c r="J162" s="340"/>
      <c r="K162" s="340"/>
      <c r="L162" s="340"/>
      <c r="N162" s="340"/>
      <c r="O162" s="340"/>
      <c r="P162" s="373"/>
      <c r="Q162" s="342"/>
      <c r="R162" s="342"/>
    </row>
    <row r="163" spans="1:20" ht="14.4" x14ac:dyDescent="0.3">
      <c r="A163" s="317" t="s">
        <v>939</v>
      </c>
      <c r="G163" s="370"/>
      <c r="P163" s="373"/>
    </row>
    <row r="164" spans="1:20" ht="14.4" x14ac:dyDescent="0.3">
      <c r="A164" s="317" t="s">
        <v>940</v>
      </c>
      <c r="G164" s="370"/>
      <c r="P164" s="373"/>
    </row>
    <row r="165" spans="1:20" ht="14.4" x14ac:dyDescent="0.3">
      <c r="A165" s="317" t="s">
        <v>941</v>
      </c>
      <c r="G165" s="370"/>
      <c r="P165" s="373"/>
    </row>
    <row r="166" spans="1:20" ht="14.4" x14ac:dyDescent="0.3">
      <c r="A166" s="317" t="s">
        <v>942</v>
      </c>
      <c r="G166" s="370"/>
      <c r="P166" s="373"/>
    </row>
    <row r="167" spans="1:20" x14ac:dyDescent="0.25">
      <c r="I167" s="374"/>
      <c r="J167" s="374"/>
    </row>
    <row r="168" spans="1:20" x14ac:dyDescent="0.25">
      <c r="I168" s="375"/>
      <c r="J168" s="376"/>
    </row>
    <row r="169" spans="1:20" x14ac:dyDescent="0.25">
      <c r="B169" s="1044" t="s">
        <v>943</v>
      </c>
      <c r="C169" s="1044"/>
      <c r="F169" s="329" t="s">
        <v>944</v>
      </c>
      <c r="G169" s="329" t="s">
        <v>945</v>
      </c>
      <c r="I169" s="375"/>
      <c r="J169" s="377"/>
    </row>
    <row r="170" spans="1:20" ht="14.4" x14ac:dyDescent="0.3">
      <c r="B170" s="378"/>
      <c r="C170" s="329" t="s">
        <v>946</v>
      </c>
      <c r="F170" s="777">
        <v>64.180000000000007</v>
      </c>
      <c r="G170" s="379">
        <v>8.9049999999999994</v>
      </c>
      <c r="I170" s="375"/>
      <c r="J170" s="377"/>
    </row>
    <row r="171" spans="1:20" x14ac:dyDescent="0.25">
      <c r="B171" s="380"/>
      <c r="C171" s="329" t="s">
        <v>947</v>
      </c>
      <c r="G171" s="339"/>
    </row>
    <row r="172" spans="1:20" x14ac:dyDescent="0.25">
      <c r="G172" s="339"/>
      <c r="I172" s="381"/>
      <c r="J172" s="382"/>
    </row>
    <row r="173" spans="1:20" x14ac:dyDescent="0.25">
      <c r="I173" s="382"/>
    </row>
    <row r="176" spans="1:20" x14ac:dyDescent="0.25">
      <c r="K176" s="383"/>
    </row>
    <row r="177" spans="9:11" x14ac:dyDescent="0.25">
      <c r="I177" s="382"/>
      <c r="K177" s="382"/>
    </row>
    <row r="178" spans="9:11" x14ac:dyDescent="0.25">
      <c r="K178" s="384"/>
    </row>
    <row r="179" spans="9:11" x14ac:dyDescent="0.25">
      <c r="I179" s="382"/>
      <c r="J179" s="384"/>
    </row>
    <row r="180" spans="9:11" x14ac:dyDescent="0.25">
      <c r="I180" s="382"/>
      <c r="J180" s="382"/>
    </row>
    <row r="181" spans="9:11" x14ac:dyDescent="0.25">
      <c r="I181" s="385"/>
    </row>
    <row r="182" spans="9:11" x14ac:dyDescent="0.25">
      <c r="I182" s="386"/>
    </row>
    <row r="184" spans="9:11" x14ac:dyDescent="0.25">
      <c r="I184" s="387"/>
    </row>
    <row r="185" spans="9:11" x14ac:dyDescent="0.25">
      <c r="I185" s="387"/>
    </row>
    <row r="186" spans="9:11" x14ac:dyDescent="0.25">
      <c r="I186" s="387"/>
      <c r="J186" s="388"/>
    </row>
    <row r="189" spans="9:11" x14ac:dyDescent="0.25">
      <c r="I189" s="389"/>
    </row>
    <row r="190" spans="9:11" x14ac:dyDescent="0.25">
      <c r="I190" s="389"/>
    </row>
    <row r="191" spans="9:11" x14ac:dyDescent="0.25">
      <c r="I191" s="389"/>
    </row>
    <row r="192" spans="9:11" ht="14.4" x14ac:dyDescent="0.25">
      <c r="I192" s="390"/>
    </row>
    <row r="193" spans="9:9" x14ac:dyDescent="0.25">
      <c r="I193" s="389"/>
    </row>
    <row r="195" spans="9:9" x14ac:dyDescent="0.25">
      <c r="I195" s="388"/>
    </row>
    <row r="197" spans="9:9" x14ac:dyDescent="0.25">
      <c r="I197" s="389"/>
    </row>
    <row r="198" spans="9:9" x14ac:dyDescent="0.25">
      <c r="I198" s="389"/>
    </row>
  </sheetData>
  <mergeCells count="49">
    <mergeCell ref="A9:A14"/>
    <mergeCell ref="B9:B14"/>
    <mergeCell ref="E1:H1"/>
    <mergeCell ref="I1:J1"/>
    <mergeCell ref="K1:Q1"/>
    <mergeCell ref="A3:A8"/>
    <mergeCell ref="B3:B8"/>
    <mergeCell ref="A15:A20"/>
    <mergeCell ref="B15:B20"/>
    <mergeCell ref="A21:A26"/>
    <mergeCell ref="B21:B26"/>
    <mergeCell ref="A27:A34"/>
    <mergeCell ref="B27:B34"/>
    <mergeCell ref="A35:A42"/>
    <mergeCell ref="B35:B42"/>
    <mergeCell ref="A43:A50"/>
    <mergeCell ref="B43:B50"/>
    <mergeCell ref="A51:A58"/>
    <mergeCell ref="B51:B58"/>
    <mergeCell ref="A59:A64"/>
    <mergeCell ref="B59:B64"/>
    <mergeCell ref="A65:A68"/>
    <mergeCell ref="B65:B68"/>
    <mergeCell ref="A69:A74"/>
    <mergeCell ref="B69:B74"/>
    <mergeCell ref="A118:A119"/>
    <mergeCell ref="B118:B119"/>
    <mergeCell ref="A75:A78"/>
    <mergeCell ref="B75:B78"/>
    <mergeCell ref="A79:A82"/>
    <mergeCell ref="B79:B82"/>
    <mergeCell ref="A83:A84"/>
    <mergeCell ref="A89:A91"/>
    <mergeCell ref="A93:A96"/>
    <mergeCell ref="A97:A98"/>
    <mergeCell ref="B97:B98"/>
    <mergeCell ref="A100:A117"/>
    <mergeCell ref="B100:B117"/>
    <mergeCell ref="A120:A121"/>
    <mergeCell ref="B120:B121"/>
    <mergeCell ref="A122:A147"/>
    <mergeCell ref="B122:B147"/>
    <mergeCell ref="A150:A151"/>
    <mergeCell ref="B150:B151"/>
    <mergeCell ref="A152:A157"/>
    <mergeCell ref="B152:B157"/>
    <mergeCell ref="A160:A161"/>
    <mergeCell ref="B160:B161"/>
    <mergeCell ref="B169:C169"/>
  </mergeCells>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6F72-1DAE-469D-B5B3-D2E606051D1B}">
  <dimension ref="A1:K22"/>
  <sheetViews>
    <sheetView zoomScale="130" zoomScaleNormal="130" workbookViewId="0">
      <selection activeCell="J22" sqref="J22"/>
    </sheetView>
  </sheetViews>
  <sheetFormatPr defaultRowHeight="14.4" x14ac:dyDescent="0.3"/>
  <cols>
    <col min="6" max="6" width="2.109375" customWidth="1"/>
    <col min="7" max="7" width="15.5546875" customWidth="1"/>
    <col min="8" max="8" width="12.88671875" bestFit="1" customWidth="1"/>
    <col min="9" max="9" width="15.44140625" customWidth="1"/>
    <col min="10" max="10" width="12.88671875" bestFit="1" customWidth="1"/>
    <col min="12" max="12" width="15.6640625" bestFit="1" customWidth="1"/>
  </cols>
  <sheetData>
    <row r="1" spans="1:11" x14ac:dyDescent="0.3">
      <c r="G1" s="1054" t="s">
        <v>675</v>
      </c>
      <c r="H1" s="1054"/>
      <c r="I1" s="1054"/>
    </row>
    <row r="2" spans="1:11" s="285" customFormat="1" ht="28.8" x14ac:dyDescent="0.3">
      <c r="B2" s="285" t="s">
        <v>676</v>
      </c>
      <c r="C2" s="285" t="s">
        <v>677</v>
      </c>
      <c r="D2" s="285" t="s">
        <v>678</v>
      </c>
      <c r="E2" s="285" t="s">
        <v>418</v>
      </c>
      <c r="G2" s="285" t="s">
        <v>676</v>
      </c>
      <c r="H2" s="285" t="s">
        <v>678</v>
      </c>
      <c r="I2" s="285" t="s">
        <v>418</v>
      </c>
    </row>
    <row r="3" spans="1:11" x14ac:dyDescent="0.3">
      <c r="A3">
        <v>2017</v>
      </c>
      <c r="B3" s="241">
        <v>0.55000000000000004</v>
      </c>
      <c r="C3" s="14">
        <f>B3-D3</f>
        <v>0.54</v>
      </c>
      <c r="D3" s="14">
        <v>0.01</v>
      </c>
      <c r="E3" s="14">
        <v>0.02</v>
      </c>
      <c r="G3" s="20">
        <v>10</v>
      </c>
      <c r="H3" s="20">
        <v>60</v>
      </c>
      <c r="I3" s="20">
        <f>H3</f>
        <v>60</v>
      </c>
    </row>
    <row r="4" spans="1:11" x14ac:dyDescent="0.3">
      <c r="A4">
        <v>2018</v>
      </c>
      <c r="B4" s="241">
        <v>0.55000000000000004</v>
      </c>
      <c r="C4" s="14">
        <f>B4-D4</f>
        <v>0.53400000000000003</v>
      </c>
      <c r="D4" s="241">
        <f t="shared" ref="D4:D17" si="0">D3+0.006</f>
        <v>1.6E-2</v>
      </c>
      <c r="E4" s="241">
        <f t="shared" ref="E4:E18" si="1">E3+2/300</f>
        <v>2.6666666666666668E-2</v>
      </c>
      <c r="G4" s="20">
        <v>10.130000000000001</v>
      </c>
      <c r="H4" s="20">
        <v>60.78</v>
      </c>
      <c r="I4" s="20">
        <f>H4</f>
        <v>60.78</v>
      </c>
    </row>
    <row r="5" spans="1:11" x14ac:dyDescent="0.3">
      <c r="A5">
        <v>2019</v>
      </c>
      <c r="B5" s="241">
        <v>0.55000000000000004</v>
      </c>
      <c r="C5" s="14">
        <v>0.52800000000000002</v>
      </c>
      <c r="D5" s="241">
        <f t="shared" si="0"/>
        <v>2.1999999999999999E-2</v>
      </c>
      <c r="E5" s="241">
        <f t="shared" si="1"/>
        <v>3.3333333333333333E-2</v>
      </c>
      <c r="G5" s="20">
        <v>10.4</v>
      </c>
      <c r="H5" s="20">
        <v>62.42</v>
      </c>
      <c r="I5" s="20">
        <v>62.42</v>
      </c>
      <c r="K5" s="27"/>
    </row>
    <row r="6" spans="1:11" x14ac:dyDescent="0.3">
      <c r="A6">
        <v>2020</v>
      </c>
      <c r="B6" s="241">
        <v>0.59</v>
      </c>
      <c r="C6" s="14">
        <v>0.56199999999999994</v>
      </c>
      <c r="D6" s="241">
        <f t="shared" si="0"/>
        <v>2.7999999999999997E-2</v>
      </c>
      <c r="E6" s="241">
        <f t="shared" si="1"/>
        <v>0.04</v>
      </c>
      <c r="G6" s="20">
        <v>10.693239346363347</v>
      </c>
      <c r="H6" s="20">
        <v>64.180000000000007</v>
      </c>
      <c r="I6" s="20">
        <v>64.180000000000007</v>
      </c>
    </row>
    <row r="7" spans="1:11" x14ac:dyDescent="0.3">
      <c r="A7">
        <v>2021</v>
      </c>
      <c r="B7" s="241">
        <v>0.59</v>
      </c>
      <c r="C7" s="14">
        <v>0.55599999999999994</v>
      </c>
      <c r="D7" s="241">
        <f t="shared" si="0"/>
        <v>3.3999999999999996E-2</v>
      </c>
      <c r="E7" s="241">
        <f t="shared" si="1"/>
        <v>4.6666666666666669E-2</v>
      </c>
      <c r="F7" s="27"/>
      <c r="G7" s="27">
        <v>11.97</v>
      </c>
      <c r="H7" s="27">
        <v>71.83</v>
      </c>
      <c r="I7" s="27">
        <v>71.81</v>
      </c>
    </row>
    <row r="8" spans="1:11" x14ac:dyDescent="0.3">
      <c r="A8">
        <v>2022</v>
      </c>
      <c r="B8" s="241">
        <v>0.59</v>
      </c>
      <c r="C8" s="14">
        <v>0.54999999999999993</v>
      </c>
      <c r="D8" s="241">
        <f t="shared" si="0"/>
        <v>3.9999999999999994E-2</v>
      </c>
      <c r="E8" s="241">
        <f t="shared" si="1"/>
        <v>5.3333333333333337E-2</v>
      </c>
      <c r="G8" s="20"/>
      <c r="H8" s="20"/>
      <c r="I8" s="20"/>
    </row>
    <row r="9" spans="1:11" x14ac:dyDescent="0.3">
      <c r="A9">
        <v>2023</v>
      </c>
      <c r="B9" s="241">
        <v>0.63</v>
      </c>
      <c r="C9" s="14">
        <v>0.58399999999999996</v>
      </c>
      <c r="D9" s="241">
        <f t="shared" si="0"/>
        <v>4.5999999999999992E-2</v>
      </c>
      <c r="E9" s="241">
        <f t="shared" si="1"/>
        <v>6.0000000000000005E-2</v>
      </c>
      <c r="G9" s="20"/>
      <c r="H9" s="20"/>
      <c r="I9" s="20"/>
    </row>
    <row r="10" spans="1:11" x14ac:dyDescent="0.3">
      <c r="A10">
        <v>2024</v>
      </c>
      <c r="B10" s="241">
        <v>0.63000000000000012</v>
      </c>
      <c r="C10" s="14">
        <v>0.57800000000000007</v>
      </c>
      <c r="D10" s="241">
        <f t="shared" si="0"/>
        <v>5.1999999999999991E-2</v>
      </c>
      <c r="E10" s="241">
        <f t="shared" si="1"/>
        <v>6.6666666666666666E-2</v>
      </c>
      <c r="G10" s="20"/>
      <c r="H10" s="20"/>
      <c r="I10" s="20"/>
    </row>
    <row r="11" spans="1:11" x14ac:dyDescent="0.3">
      <c r="A11">
        <v>2025</v>
      </c>
      <c r="B11" s="241">
        <v>0.63</v>
      </c>
      <c r="C11" s="14">
        <v>0.57200000000000006</v>
      </c>
      <c r="D11" s="241">
        <f t="shared" si="0"/>
        <v>5.7999999999999989E-2</v>
      </c>
      <c r="E11" s="241">
        <f t="shared" si="1"/>
        <v>7.3333333333333334E-2</v>
      </c>
      <c r="G11" s="20"/>
      <c r="H11" s="20"/>
      <c r="I11" s="20"/>
    </row>
    <row r="12" spans="1:11" x14ac:dyDescent="0.3">
      <c r="A12">
        <v>2026</v>
      </c>
      <c r="B12" s="241">
        <v>0.67</v>
      </c>
      <c r="C12" s="14">
        <v>0.60600000000000009</v>
      </c>
      <c r="D12" s="241">
        <f t="shared" si="0"/>
        <v>6.3999999999999987E-2</v>
      </c>
      <c r="E12" s="241">
        <f t="shared" si="1"/>
        <v>0.08</v>
      </c>
      <c r="G12" s="20"/>
      <c r="H12" s="20"/>
      <c r="I12" s="20"/>
    </row>
    <row r="13" spans="1:11" x14ac:dyDescent="0.3">
      <c r="A13">
        <v>2027</v>
      </c>
      <c r="B13" s="241">
        <v>0.67</v>
      </c>
      <c r="C13" s="14">
        <v>0.60000000000000009</v>
      </c>
      <c r="D13" s="241">
        <f t="shared" si="0"/>
        <v>6.9999999999999993E-2</v>
      </c>
      <c r="E13" s="241">
        <f t="shared" si="1"/>
        <v>8.666666666666667E-2</v>
      </c>
      <c r="G13" s="20"/>
      <c r="H13" s="20"/>
      <c r="I13" s="20"/>
    </row>
    <row r="14" spans="1:11" x14ac:dyDescent="0.3">
      <c r="A14">
        <v>2028</v>
      </c>
      <c r="B14" s="286">
        <v>0.67</v>
      </c>
      <c r="C14" s="14">
        <f>B14-D14</f>
        <v>0.59400000000000008</v>
      </c>
      <c r="D14" s="286">
        <f t="shared" si="0"/>
        <v>7.5999999999999998E-2</v>
      </c>
      <c r="E14" s="286">
        <f t="shared" si="1"/>
        <v>9.3333333333333338E-2</v>
      </c>
      <c r="G14" s="30"/>
      <c r="H14" s="30"/>
      <c r="I14" s="30"/>
    </row>
    <row r="15" spans="1:11" x14ac:dyDescent="0.3">
      <c r="A15">
        <v>2029</v>
      </c>
      <c r="B15" s="241">
        <v>0.71000000000000008</v>
      </c>
      <c r="C15" s="14">
        <f>B15-D15</f>
        <v>0.62800000000000011</v>
      </c>
      <c r="D15" s="241">
        <f t="shared" si="0"/>
        <v>8.2000000000000003E-2</v>
      </c>
      <c r="E15" s="241">
        <f t="shared" si="1"/>
        <v>0.1</v>
      </c>
      <c r="G15" s="20"/>
      <c r="H15" s="20"/>
      <c r="I15" s="20"/>
    </row>
    <row r="16" spans="1:11" x14ac:dyDescent="0.3">
      <c r="A16">
        <v>2030</v>
      </c>
      <c r="B16" s="241">
        <v>0.71000000000000008</v>
      </c>
      <c r="C16" s="14">
        <f>B16-D16</f>
        <v>0.62200000000000011</v>
      </c>
      <c r="D16" s="241">
        <f t="shared" si="0"/>
        <v>8.8000000000000009E-2</v>
      </c>
      <c r="E16" s="241">
        <f t="shared" si="1"/>
        <v>0.10666666666666667</v>
      </c>
      <c r="G16" s="20"/>
      <c r="H16" s="20"/>
      <c r="I16" s="20"/>
    </row>
    <row r="17" spans="1:10" x14ac:dyDescent="0.3">
      <c r="A17">
        <v>2031</v>
      </c>
      <c r="B17" s="241">
        <v>0.71000000000000008</v>
      </c>
      <c r="C17" s="14">
        <f>B17-D17</f>
        <v>0.6160000000000001</v>
      </c>
      <c r="D17" s="241">
        <f t="shared" si="0"/>
        <v>9.4000000000000014E-2</v>
      </c>
      <c r="E17" s="241">
        <f t="shared" si="1"/>
        <v>0.11333333333333334</v>
      </c>
      <c r="G17" s="20"/>
      <c r="H17" s="20"/>
      <c r="I17" s="20"/>
    </row>
    <row r="18" spans="1:10" x14ac:dyDescent="0.3">
      <c r="A18">
        <v>2032</v>
      </c>
      <c r="B18" s="241">
        <v>0.75000000000000011</v>
      </c>
      <c r="C18" s="14">
        <f>B18-D18</f>
        <v>0.65000000000000013</v>
      </c>
      <c r="D18" s="241">
        <f>D17+0.006</f>
        <v>0.10000000000000002</v>
      </c>
      <c r="E18" s="241">
        <f t="shared" si="1"/>
        <v>0.12000000000000001</v>
      </c>
      <c r="G18" s="20"/>
      <c r="H18" s="20"/>
      <c r="I18" s="20"/>
    </row>
    <row r="21" spans="1:10" x14ac:dyDescent="0.3">
      <c r="G21" t="str">
        <f>G2</f>
        <v>Tier I</v>
      </c>
      <c r="H21" t="str">
        <f t="shared" ref="H21:I21" si="2">H2</f>
        <v>Tier II</v>
      </c>
      <c r="I21" t="str">
        <f t="shared" si="2"/>
        <v>Tier III</v>
      </c>
    </row>
    <row r="22" spans="1:10" x14ac:dyDescent="0.3">
      <c r="D22" t="s">
        <v>983</v>
      </c>
      <c r="G22" s="25">
        <f>requirements!F11*G7</f>
        <v>35822017.080649793</v>
      </c>
      <c r="H22" s="25">
        <f>H7*requirements!F12</f>
        <v>13145160.045603298</v>
      </c>
      <c r="I22" s="25">
        <f>I7*requirements!F14</f>
        <v>18037352.900567003</v>
      </c>
      <c r="J22" s="1010">
        <f>SUM(G22:I22)</f>
        <v>67004530.026820093</v>
      </c>
    </row>
  </sheetData>
  <mergeCells count="1">
    <mergeCell ref="G1:I1"/>
  </mergeCells>
  <pageMargins left="0.7" right="0.7" top="0.75" bottom="0.75" header="0.3" footer="0.3"/>
  <pageSetup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B63"/>
  <sheetViews>
    <sheetView zoomScale="80" zoomScaleNormal="80" workbookViewId="0">
      <selection activeCell="H26" sqref="H26"/>
    </sheetView>
  </sheetViews>
  <sheetFormatPr defaultColWidth="10.109375" defaultRowHeight="14.4" x14ac:dyDescent="0.3"/>
  <cols>
    <col min="1" max="1" width="31.33203125" customWidth="1"/>
    <col min="2" max="22" width="11.5546875" customWidth="1"/>
  </cols>
  <sheetData>
    <row r="2" spans="1:11" x14ac:dyDescent="0.3">
      <c r="B2" t="s">
        <v>679</v>
      </c>
      <c r="C2" t="s">
        <v>39</v>
      </c>
      <c r="G2" t="s">
        <v>679</v>
      </c>
      <c r="H2" t="s">
        <v>40</v>
      </c>
      <c r="J2" s="47">
        <f>htg_load_CCHP_space/T3_credit_CCHP_space</f>
        <v>1.7397280977931384</v>
      </c>
      <c r="K2" t="s">
        <v>680</v>
      </c>
    </row>
    <row r="3" spans="1:11" x14ac:dyDescent="0.3">
      <c r="A3" t="s">
        <v>681</v>
      </c>
      <c r="B3" s="69">
        <v>85</v>
      </c>
      <c r="C3">
        <f>B3</f>
        <v>85</v>
      </c>
      <c r="F3" s="48" t="s">
        <v>682</v>
      </c>
      <c r="G3" s="105">
        <v>10000</v>
      </c>
      <c r="H3" s="10">
        <f>G3</f>
        <v>10000</v>
      </c>
    </row>
    <row r="4" spans="1:11" x14ac:dyDescent="0.3">
      <c r="A4" t="s">
        <v>683</v>
      </c>
      <c r="B4" s="69">
        <v>15</v>
      </c>
      <c r="C4">
        <f>B4</f>
        <v>15</v>
      </c>
      <c r="F4" s="48" t="s">
        <v>684</v>
      </c>
      <c r="G4" s="106">
        <v>25000</v>
      </c>
      <c r="H4" s="106">
        <v>35000</v>
      </c>
      <c r="J4" t="s">
        <v>685</v>
      </c>
    </row>
    <row r="5" spans="1:11" x14ac:dyDescent="0.3">
      <c r="A5" t="s">
        <v>686</v>
      </c>
      <c r="B5" s="70">
        <v>5000</v>
      </c>
      <c r="C5" s="70">
        <v>3000</v>
      </c>
      <c r="F5" s="48" t="s">
        <v>687</v>
      </c>
      <c r="G5" s="15">
        <v>0</v>
      </c>
      <c r="H5" s="15">
        <v>-0.03</v>
      </c>
      <c r="J5" t="s">
        <v>688</v>
      </c>
    </row>
    <row r="6" spans="1:11" x14ac:dyDescent="0.3">
      <c r="A6" t="s">
        <v>689</v>
      </c>
      <c r="B6" s="70">
        <v>1600</v>
      </c>
      <c r="C6" s="70">
        <f>B6+150</f>
        <v>1750</v>
      </c>
      <c r="F6" s="48" t="s">
        <v>690</v>
      </c>
      <c r="G6" s="98">
        <f>((1/25.3)*121160)/1000000</f>
        <v>4.7889328063241109E-3</v>
      </c>
      <c r="H6" s="98">
        <f>((1/3)*3412)/1000000</f>
        <v>1.1373333333333333E-3</v>
      </c>
    </row>
    <row r="7" spans="1:11" x14ac:dyDescent="0.3">
      <c r="A7" s="7" t="s">
        <v>691</v>
      </c>
      <c r="B7" s="24">
        <f>inflation_rate</f>
        <v>0.04</v>
      </c>
      <c r="C7" s="24">
        <v>0.01</v>
      </c>
      <c r="F7" s="48" t="s">
        <v>692</v>
      </c>
      <c r="G7" s="7">
        <f>G3*G6</f>
        <v>47.889328063241109</v>
      </c>
      <c r="H7" s="7">
        <f>H3*H6</f>
        <v>11.373333333333333</v>
      </c>
      <c r="J7" t="s">
        <v>693</v>
      </c>
    </row>
    <row r="8" spans="1:11" x14ac:dyDescent="0.3">
      <c r="A8" s="7" t="s">
        <v>694</v>
      </c>
      <c r="B8" s="107" t="s">
        <v>695</v>
      </c>
      <c r="C8" s="23">
        <v>0.5</v>
      </c>
      <c r="F8" s="48" t="s">
        <v>696</v>
      </c>
      <c r="G8" s="99">
        <f>2606/150000</f>
        <v>1.7373333333333334E-2</v>
      </c>
      <c r="H8" s="99">
        <f>529/150000</f>
        <v>3.5266666666666667E-3</v>
      </c>
      <c r="J8" t="s">
        <v>697</v>
      </c>
    </row>
    <row r="9" spans="1:11" x14ac:dyDescent="0.3">
      <c r="A9" s="7" t="s">
        <v>698</v>
      </c>
      <c r="B9" s="107" t="s">
        <v>695</v>
      </c>
      <c r="C9" s="23">
        <v>1</v>
      </c>
      <c r="F9" s="48" t="s">
        <v>699</v>
      </c>
      <c r="G9" s="76">
        <f>G8*G3</f>
        <v>173.73333333333335</v>
      </c>
      <c r="H9" s="76">
        <f>H8*G3</f>
        <v>35.266666666666666</v>
      </c>
      <c r="J9" t="s">
        <v>685</v>
      </c>
      <c r="K9" s="71"/>
    </row>
    <row r="10" spans="1:11" x14ac:dyDescent="0.3">
      <c r="A10" s="7" t="s">
        <v>700</v>
      </c>
      <c r="B10" s="107" t="s">
        <v>695</v>
      </c>
      <c r="C10" s="72">
        <f>htg_load_baseline_space*C8</f>
        <v>42.5</v>
      </c>
      <c r="F10" s="48" t="s">
        <v>701</v>
      </c>
      <c r="G10" s="1" t="s">
        <v>695</v>
      </c>
      <c r="H10" s="100">
        <f>H7/3.412</f>
        <v>3.3333333333333335</v>
      </c>
    </row>
    <row r="11" spans="1:11" x14ac:dyDescent="0.3">
      <c r="A11" s="7" t="s">
        <v>702</v>
      </c>
      <c r="B11" s="107" t="s">
        <v>695</v>
      </c>
      <c r="C11" s="72">
        <f>htg_load_baseline_water*C9</f>
        <v>15</v>
      </c>
      <c r="F11" s="48" t="s">
        <v>703</v>
      </c>
      <c r="G11" s="1" t="s">
        <v>695</v>
      </c>
      <c r="H11" s="101">
        <v>37</v>
      </c>
    </row>
    <row r="12" spans="1:11" x14ac:dyDescent="0.3">
      <c r="A12" s="7" t="s">
        <v>704</v>
      </c>
      <c r="B12" s="73">
        <f>htg_load_baseline_space</f>
        <v>85</v>
      </c>
      <c r="C12" s="72">
        <f>C3-htg_load_CCHP_space</f>
        <v>42.5</v>
      </c>
    </row>
    <row r="13" spans="1:11" x14ac:dyDescent="0.3">
      <c r="A13" s="7" t="s">
        <v>705</v>
      </c>
      <c r="B13" s="73">
        <f>htg_load_baseline_water</f>
        <v>15</v>
      </c>
      <c r="C13" s="72">
        <f>C4-C11</f>
        <v>0</v>
      </c>
    </row>
    <row r="14" spans="1:11" x14ac:dyDescent="0.3">
      <c r="A14" t="s">
        <v>706</v>
      </c>
      <c r="B14" s="1" t="s">
        <v>695</v>
      </c>
      <c r="C14" s="74">
        <v>2</v>
      </c>
      <c r="J14" s="7" t="s">
        <v>707</v>
      </c>
    </row>
    <row r="15" spans="1:11" x14ac:dyDescent="0.3">
      <c r="A15" s="7" t="s">
        <v>708</v>
      </c>
      <c r="B15" s="1" t="s">
        <v>695</v>
      </c>
      <c r="C15" s="75">
        <v>1.1000000000000001</v>
      </c>
    </row>
    <row r="16" spans="1:11" x14ac:dyDescent="0.3">
      <c r="A16" s="7" t="s">
        <v>709</v>
      </c>
      <c r="B16" s="71">
        <v>0</v>
      </c>
      <c r="C16" s="74">
        <v>0.2</v>
      </c>
      <c r="J16" s="7" t="s">
        <v>710</v>
      </c>
    </row>
    <row r="17" spans="1:28" x14ac:dyDescent="0.3">
      <c r="B17" s="76"/>
      <c r="C17" s="3"/>
      <c r="R17" s="3"/>
      <c r="T17" s="3"/>
    </row>
    <row r="18" spans="1:28" x14ac:dyDescent="0.3">
      <c r="A18" s="3" t="s">
        <v>711</v>
      </c>
      <c r="B18" s="1" t="s">
        <v>695</v>
      </c>
      <c r="C18" s="77">
        <f>[4]t3possible!$A$17</f>
        <v>24.429104785921233</v>
      </c>
      <c r="J18" t="s">
        <v>712</v>
      </c>
      <c r="R18" s="3"/>
      <c r="T18" s="3"/>
    </row>
    <row r="19" spans="1:28" x14ac:dyDescent="0.3">
      <c r="A19" t="s">
        <v>713</v>
      </c>
      <c r="B19" s="1" t="s">
        <v>695</v>
      </c>
      <c r="C19" s="77">
        <f>[4]t3possible!$A$38</f>
        <v>14.453726894874265</v>
      </c>
      <c r="J19" t="s">
        <v>712</v>
      </c>
      <c r="R19" s="3"/>
      <c r="T19" s="3"/>
    </row>
    <row r="20" spans="1:28" x14ac:dyDescent="0.3">
      <c r="C20" s="7"/>
      <c r="D20" s="7"/>
      <c r="J20" s="7"/>
      <c r="K20" s="7"/>
      <c r="L20" s="7"/>
      <c r="M20" s="71"/>
      <c r="N20" s="7"/>
      <c r="O20" s="71"/>
      <c r="P20" s="71"/>
    </row>
    <row r="21" spans="1:28" x14ac:dyDescent="0.3">
      <c r="F21" s="7"/>
      <c r="G21" s="7"/>
      <c r="H21" s="7"/>
      <c r="I21" s="7"/>
      <c r="J21" s="71"/>
      <c r="K21" s="7"/>
      <c r="L21" s="71"/>
      <c r="M21" s="71"/>
    </row>
    <row r="22" spans="1:28" x14ac:dyDescent="0.3">
      <c r="P22" s="78"/>
    </row>
    <row r="23" spans="1:28" s="8" customFormat="1" x14ac:dyDescent="0.3">
      <c r="A23" s="8" t="s">
        <v>714</v>
      </c>
      <c r="D23" s="83">
        <f>loads!D2</f>
        <v>2017</v>
      </c>
      <c r="E23" s="82">
        <f>D23+1</f>
        <v>2018</v>
      </c>
      <c r="F23" s="82">
        <f t="shared" ref="F23:N23" si="0">E23+1</f>
        <v>2019</v>
      </c>
      <c r="G23" s="82">
        <f t="shared" si="0"/>
        <v>2020</v>
      </c>
      <c r="H23" s="82">
        <f t="shared" si="0"/>
        <v>2021</v>
      </c>
      <c r="I23" s="82">
        <f t="shared" si="0"/>
        <v>2022</v>
      </c>
      <c r="J23" s="82">
        <f t="shared" si="0"/>
        <v>2023</v>
      </c>
      <c r="K23" s="82">
        <f t="shared" si="0"/>
        <v>2024</v>
      </c>
      <c r="L23" s="82">
        <f t="shared" si="0"/>
        <v>2025</v>
      </c>
      <c r="M23" s="82">
        <f t="shared" si="0"/>
        <v>2026</v>
      </c>
      <c r="N23" s="82">
        <f t="shared" si="0"/>
        <v>2027</v>
      </c>
      <c r="O23" s="82">
        <f t="shared" ref="O23:AB23" si="1">N23+1</f>
        <v>2028</v>
      </c>
      <c r="P23" s="82">
        <f t="shared" si="1"/>
        <v>2029</v>
      </c>
      <c r="Q23" s="82">
        <f t="shared" si="1"/>
        <v>2030</v>
      </c>
      <c r="R23" s="82">
        <f t="shared" si="1"/>
        <v>2031</v>
      </c>
      <c r="S23" s="82">
        <f t="shared" si="1"/>
        <v>2032</v>
      </c>
      <c r="T23" s="82">
        <f t="shared" si="1"/>
        <v>2033</v>
      </c>
      <c r="U23" s="82">
        <f t="shared" si="1"/>
        <v>2034</v>
      </c>
      <c r="V23" s="82">
        <f t="shared" si="1"/>
        <v>2035</v>
      </c>
      <c r="W23" s="82">
        <f t="shared" si="1"/>
        <v>2036</v>
      </c>
      <c r="X23" s="82">
        <f t="shared" si="1"/>
        <v>2037</v>
      </c>
      <c r="Y23" s="82">
        <f t="shared" si="1"/>
        <v>2038</v>
      </c>
      <c r="Z23" s="82">
        <f t="shared" si="1"/>
        <v>2039</v>
      </c>
      <c r="AA23" s="82">
        <f t="shared" si="1"/>
        <v>2040</v>
      </c>
      <c r="AB23" s="82">
        <f t="shared" si="1"/>
        <v>2041</v>
      </c>
    </row>
    <row r="24" spans="1:28" x14ac:dyDescent="0.3">
      <c r="A24" t="s">
        <v>715</v>
      </c>
      <c r="B24" t="s">
        <v>129</v>
      </c>
      <c r="D24" s="84">
        <f>Retail_Rate_yr1</f>
        <v>180.35000000000002</v>
      </c>
      <c r="E24" s="85">
        <f>D24*(1+Retail_Rate_escalation)</f>
        <v>184.31770000000003</v>
      </c>
      <c r="F24" s="85">
        <f t="shared" ref="F24:AB24" si="2">E24*(1+Retail_Rate_escalation)</f>
        <v>188.37268940000004</v>
      </c>
      <c r="G24" s="85">
        <f t="shared" si="2"/>
        <v>192.51688856680005</v>
      </c>
      <c r="H24" s="85">
        <f t="shared" si="2"/>
        <v>196.75226011526965</v>
      </c>
      <c r="I24" s="85">
        <f t="shared" si="2"/>
        <v>201.08080983780559</v>
      </c>
      <c r="J24" s="85">
        <f t="shared" si="2"/>
        <v>205.50458765423733</v>
      </c>
      <c r="K24" s="85">
        <f t="shared" si="2"/>
        <v>210.02568858263055</v>
      </c>
      <c r="L24" s="85">
        <f t="shared" si="2"/>
        <v>214.64625373144844</v>
      </c>
      <c r="M24" s="85">
        <f t="shared" si="2"/>
        <v>219.36847131354031</v>
      </c>
      <c r="N24" s="85">
        <f t="shared" si="2"/>
        <v>224.19457768243819</v>
      </c>
      <c r="O24" s="85">
        <f t="shared" si="2"/>
        <v>229.12685839145183</v>
      </c>
      <c r="P24" s="85">
        <f t="shared" si="2"/>
        <v>234.16764927606377</v>
      </c>
      <c r="Q24" s="85">
        <f t="shared" si="2"/>
        <v>239.31933756013717</v>
      </c>
      <c r="R24" s="85">
        <f t="shared" si="2"/>
        <v>244.58436298646021</v>
      </c>
      <c r="S24" s="85">
        <f t="shared" si="2"/>
        <v>249.96521897216235</v>
      </c>
      <c r="T24" s="85">
        <f t="shared" si="2"/>
        <v>255.46445378954994</v>
      </c>
      <c r="U24" s="85">
        <f t="shared" si="2"/>
        <v>261.08467177292005</v>
      </c>
      <c r="V24" s="85">
        <f t="shared" si="2"/>
        <v>266.82853455192429</v>
      </c>
      <c r="W24" s="85">
        <f t="shared" si="2"/>
        <v>272.69876231206661</v>
      </c>
      <c r="X24" s="85">
        <f t="shared" si="2"/>
        <v>278.69813508293208</v>
      </c>
      <c r="Y24" s="85">
        <f t="shared" si="2"/>
        <v>284.82949405475659</v>
      </c>
      <c r="Z24" s="85">
        <f t="shared" si="2"/>
        <v>291.09574292396127</v>
      </c>
      <c r="AA24" s="85">
        <f t="shared" si="2"/>
        <v>297.49984926828841</v>
      </c>
      <c r="AB24" s="85">
        <f t="shared" si="2"/>
        <v>304.04484595219077</v>
      </c>
    </row>
    <row r="25" spans="1:28" x14ac:dyDescent="0.3">
      <c r="A25" t="s">
        <v>131</v>
      </c>
      <c r="B25" t="s">
        <v>129</v>
      </c>
      <c r="D25" s="84">
        <f>requirements!D18</f>
        <v>60.78</v>
      </c>
      <c r="E25" s="84">
        <f>requirements!E18</f>
        <v>63.48</v>
      </c>
      <c r="F25" s="84">
        <f>requirements!F18</f>
        <v>64.180000000000007</v>
      </c>
      <c r="G25" s="84">
        <f>requirements!G18</f>
        <v>66.94</v>
      </c>
      <c r="H25" s="84">
        <f>requirements!H18</f>
        <v>71.81</v>
      </c>
      <c r="I25" s="84">
        <f>requirements!I18</f>
        <v>74.682400000000001</v>
      </c>
      <c r="J25" s="84">
        <f>requirements!J18</f>
        <v>77.669696000000002</v>
      </c>
      <c r="K25" s="84">
        <f>requirements!K18</f>
        <v>80.776483840000012</v>
      </c>
      <c r="L25" s="84">
        <f>requirements!L18</f>
        <v>84.007543193600014</v>
      </c>
      <c r="M25" s="84">
        <f>requirements!M18</f>
        <v>87.367844921344016</v>
      </c>
      <c r="N25" s="84">
        <f>requirements!N18</f>
        <v>90.862558718197775</v>
      </c>
      <c r="O25" s="84">
        <f>N25*1.013</f>
        <v>92.043771981534334</v>
      </c>
      <c r="P25" s="84">
        <f>requirements!P18</f>
        <v>98.276943509602731</v>
      </c>
      <c r="Q25" s="84">
        <f>requirements!Q18</f>
        <v>0</v>
      </c>
      <c r="R25" s="84">
        <f>requirements!R18</f>
        <v>0</v>
      </c>
      <c r="S25" s="84">
        <f>requirements!S18</f>
        <v>0</v>
      </c>
      <c r="T25" s="84">
        <f>requirements!T18</f>
        <v>0</v>
      </c>
      <c r="U25" s="84">
        <f>requirements!U18</f>
        <v>0</v>
      </c>
      <c r="V25" s="84">
        <f>requirements!V18</f>
        <v>0</v>
      </c>
      <c r="W25" s="84">
        <f>requirements!W18</f>
        <v>0</v>
      </c>
      <c r="X25" s="84">
        <f>requirements!X18</f>
        <v>0</v>
      </c>
      <c r="Y25" s="84">
        <f>requirements!Y18</f>
        <v>0</v>
      </c>
      <c r="Z25" s="84">
        <f>requirements!Z18</f>
        <v>0</v>
      </c>
      <c r="AA25" s="84">
        <f>requirements!AA18</f>
        <v>0</v>
      </c>
      <c r="AB25" s="84">
        <f>requirements!AB18</f>
        <v>0</v>
      </c>
    </row>
    <row r="26" spans="1:28" s="43" customFormat="1" x14ac:dyDescent="0.3">
      <c r="A26" s="43" t="s">
        <v>716</v>
      </c>
      <c r="B26" s="43" t="s">
        <v>340</v>
      </c>
      <c r="D26" s="97">
        <f>'price forecasts'!D40</f>
        <v>0</v>
      </c>
      <c r="E26" s="97">
        <f>'price forecasts'!E40</f>
        <v>19</v>
      </c>
      <c r="F26" s="97">
        <f>'price forecasts'!F40</f>
        <v>19.362993491023545</v>
      </c>
      <c r="G26" s="97">
        <f>'price forecasts'!G40</f>
        <v>19.672801386879922</v>
      </c>
      <c r="H26" s="97">
        <f>'price forecasts'!H40</f>
        <v>19.98756620907</v>
      </c>
      <c r="I26" s="97">
        <f>'price forecasts'!I40</f>
        <v>20.307367268415121</v>
      </c>
      <c r="J26" s="97">
        <f>'price forecasts'!J40</f>
        <v>20.632285144709762</v>
      </c>
      <c r="K26" s="97">
        <f>'price forecasts'!K40</f>
        <v>20.962401707025119</v>
      </c>
      <c r="L26" s="97">
        <f>'price forecasts'!L40</f>
        <v>21.297800134337521</v>
      </c>
      <c r="M26" s="97">
        <f>'price forecasts'!M40</f>
        <v>21.638564936486922</v>
      </c>
      <c r="N26" s="97">
        <f>'price forecasts'!N40</f>
        <v>21.984781975470714</v>
      </c>
      <c r="O26" s="97">
        <f>'price forecasts'!O40</f>
        <v>22.336538487078247</v>
      </c>
      <c r="P26" s="97" t="e">
        <f>'price forecasts'!#REF!</f>
        <v>#REF!</v>
      </c>
      <c r="Q26" s="97" t="e">
        <f>'price forecasts'!#REF!</f>
        <v>#REF!</v>
      </c>
      <c r="R26" s="97">
        <f>'price forecasts'!P40</f>
        <v>22.693923102871498</v>
      </c>
      <c r="S26" s="97">
        <f>'price forecasts'!Q40</f>
        <v>0</v>
      </c>
      <c r="T26" s="97">
        <f>'price forecasts'!R40</f>
        <v>0</v>
      </c>
      <c r="U26" s="97">
        <f>'price forecasts'!S40</f>
        <v>0</v>
      </c>
      <c r="V26" s="97">
        <f>'price forecasts'!T40</f>
        <v>0</v>
      </c>
      <c r="W26" s="97">
        <f>'price forecasts'!U40</f>
        <v>0</v>
      </c>
      <c r="X26" s="97">
        <f>'price forecasts'!V40</f>
        <v>0</v>
      </c>
      <c r="Y26" s="97">
        <f>'price forecasts'!W40</f>
        <v>0</v>
      </c>
      <c r="Z26" s="97">
        <f>'price forecasts'!X40</f>
        <v>0</v>
      </c>
      <c r="AA26" s="97">
        <f>'price forecasts'!Y40</f>
        <v>0</v>
      </c>
      <c r="AB26" s="97">
        <f>'price forecasts'!Z40</f>
        <v>0</v>
      </c>
    </row>
    <row r="27" spans="1:28" s="43" customFormat="1" x14ac:dyDescent="0.3">
      <c r="A27" s="43" t="s">
        <v>717</v>
      </c>
      <c r="B27" s="43" t="s">
        <v>340</v>
      </c>
      <c r="D27" s="97">
        <f>'price forecasts'!D41</f>
        <v>0</v>
      </c>
      <c r="E27" s="97">
        <f>'price forecasts'!E41</f>
        <v>24</v>
      </c>
      <c r="F27" s="97">
        <f>'price forecasts'!F41</f>
        <v>25.844168</v>
      </c>
      <c r="G27" s="97">
        <f>'price forecasts'!G41</f>
        <v>26.257674688000002</v>
      </c>
      <c r="H27" s="97">
        <f>'price forecasts'!H41</f>
        <v>26.677797483008003</v>
      </c>
      <c r="I27" s="97">
        <f>'price forecasts'!I41</f>
        <v>27.104642242736134</v>
      </c>
      <c r="J27" s="97">
        <f>'price forecasts'!J41</f>
        <v>27.538316518619911</v>
      </c>
      <c r="K27" s="97">
        <f>'price forecasts'!K41</f>
        <v>27.978929582917832</v>
      </c>
      <c r="L27" s="97">
        <f>'price forecasts'!L41</f>
        <v>28.426592456244517</v>
      </c>
      <c r="M27" s="97">
        <f>'price forecasts'!M41</f>
        <v>28.88141793554443</v>
      </c>
      <c r="N27" s="97">
        <f>'price forecasts'!N41</f>
        <v>29.343520622513143</v>
      </c>
      <c r="O27" s="97">
        <f>'price forecasts'!O41</f>
        <v>29.813016952473355</v>
      </c>
      <c r="P27" s="97" t="e">
        <f>'price forecasts'!#REF!</f>
        <v>#REF!</v>
      </c>
      <c r="Q27" s="97" t="e">
        <f>'price forecasts'!#REF!</f>
        <v>#REF!</v>
      </c>
      <c r="R27" s="97">
        <f>'price forecasts'!P41</f>
        <v>30.290025223712927</v>
      </c>
      <c r="S27" s="97">
        <f>'price forecasts'!Q41</f>
        <v>0</v>
      </c>
      <c r="T27" s="97">
        <f>'price forecasts'!R41</f>
        <v>0</v>
      </c>
      <c r="U27" s="97">
        <f>'price forecasts'!S41</f>
        <v>0</v>
      </c>
      <c r="V27" s="97">
        <f>'price forecasts'!T41</f>
        <v>0</v>
      </c>
      <c r="W27" s="97">
        <f>'price forecasts'!U41</f>
        <v>0</v>
      </c>
      <c r="X27" s="97">
        <f>'price forecasts'!V41</f>
        <v>0</v>
      </c>
      <c r="Y27" s="97">
        <f>'price forecasts'!W41</f>
        <v>0</v>
      </c>
      <c r="Z27" s="97">
        <f>'price forecasts'!X41</f>
        <v>0</v>
      </c>
      <c r="AA27" s="97">
        <f>'price forecasts'!Y41</f>
        <v>0</v>
      </c>
      <c r="AB27" s="97">
        <f>'price forecasts'!Z41</f>
        <v>0</v>
      </c>
    </row>
    <row r="28" spans="1:28" x14ac:dyDescent="0.3">
      <c r="D28" s="47"/>
      <c r="E28" s="47"/>
      <c r="F28" s="47"/>
      <c r="G28" s="47"/>
      <c r="H28" s="47"/>
      <c r="I28" s="47"/>
      <c r="J28" s="47"/>
      <c r="K28" s="47"/>
      <c r="L28" s="47"/>
      <c r="M28" s="47"/>
      <c r="N28" s="47"/>
      <c r="O28" s="47"/>
      <c r="P28" s="47"/>
      <c r="Q28" s="47"/>
      <c r="R28" s="47"/>
      <c r="S28" s="47"/>
      <c r="T28" s="47"/>
      <c r="U28" s="47"/>
      <c r="V28" s="47"/>
      <c r="W28" s="47"/>
      <c r="X28" s="47"/>
      <c r="Y28" s="47"/>
      <c r="Z28" s="47"/>
      <c r="AA28" s="47"/>
      <c r="AB28" s="47"/>
    </row>
    <row r="29" spans="1:28" ht="15.6" x14ac:dyDescent="0.3">
      <c r="A29" s="86" t="s">
        <v>39</v>
      </c>
      <c r="D29" s="76"/>
      <c r="E29" s="76"/>
      <c r="F29" s="76"/>
      <c r="G29" s="76"/>
      <c r="H29" s="76"/>
      <c r="I29" s="76"/>
      <c r="J29" s="76"/>
      <c r="K29" s="76"/>
      <c r="L29" s="76"/>
      <c r="M29" s="76"/>
      <c r="P29" s="78"/>
    </row>
    <row r="30" spans="1:28" x14ac:dyDescent="0.3">
      <c r="A30" t="s">
        <v>718</v>
      </c>
      <c r="B30" t="s">
        <v>719</v>
      </c>
      <c r="D30" s="76">
        <f t="shared" ref="D30:AB30" si="3">(htg_load_baseline_space*D$26)+(UEC_window_clg*D24)</f>
        <v>0</v>
      </c>
      <c r="E30" s="76">
        <f t="shared" si="3"/>
        <v>1615</v>
      </c>
      <c r="F30" s="76">
        <f t="shared" si="3"/>
        <v>1645.8544467370014</v>
      </c>
      <c r="G30" s="76">
        <f t="shared" si="3"/>
        <v>1672.1881178847934</v>
      </c>
      <c r="H30" s="76">
        <f t="shared" si="3"/>
        <v>1698.94312777095</v>
      </c>
      <c r="I30" s="76">
        <f t="shared" si="3"/>
        <v>1726.1262178152851</v>
      </c>
      <c r="J30" s="76">
        <f t="shared" si="3"/>
        <v>1753.7442373003298</v>
      </c>
      <c r="K30" s="76">
        <f t="shared" si="3"/>
        <v>1781.8041450971352</v>
      </c>
      <c r="L30" s="76">
        <f t="shared" si="3"/>
        <v>1810.3130114186893</v>
      </c>
      <c r="M30" s="76">
        <f t="shared" si="3"/>
        <v>1839.2780196013885</v>
      </c>
      <c r="N30" s="76">
        <f t="shared" si="3"/>
        <v>1868.7064679150108</v>
      </c>
      <c r="O30" s="76">
        <f t="shared" si="3"/>
        <v>1898.6057714016511</v>
      </c>
      <c r="P30" s="76" t="e">
        <f t="shared" si="3"/>
        <v>#REF!</v>
      </c>
      <c r="Q30" s="76" t="e">
        <f t="shared" si="3"/>
        <v>#REF!</v>
      </c>
      <c r="R30" s="76">
        <f t="shared" si="3"/>
        <v>1928.9834637440774</v>
      </c>
      <c r="S30" s="76">
        <f t="shared" si="3"/>
        <v>0</v>
      </c>
      <c r="T30" s="76">
        <f t="shared" si="3"/>
        <v>0</v>
      </c>
      <c r="U30" s="76">
        <f t="shared" si="3"/>
        <v>0</v>
      </c>
      <c r="V30" s="76">
        <f t="shared" si="3"/>
        <v>0</v>
      </c>
      <c r="W30" s="76">
        <f t="shared" si="3"/>
        <v>0</v>
      </c>
      <c r="X30" s="76">
        <f t="shared" si="3"/>
        <v>0</v>
      </c>
      <c r="Y30" s="76">
        <f t="shared" si="3"/>
        <v>0</v>
      </c>
      <c r="Z30" s="76">
        <f t="shared" si="3"/>
        <v>0</v>
      </c>
      <c r="AA30" s="76">
        <f t="shared" si="3"/>
        <v>0</v>
      </c>
      <c r="AB30" s="76">
        <f t="shared" si="3"/>
        <v>0</v>
      </c>
    </row>
    <row r="31" spans="1:28" x14ac:dyDescent="0.3">
      <c r="A31" t="s">
        <v>720</v>
      </c>
      <c r="B31" t="s">
        <v>719</v>
      </c>
      <c r="D31" s="76">
        <f>equip_cost_CCHP_space</f>
        <v>3000</v>
      </c>
      <c r="E31" s="76">
        <f t="shared" ref="E31:N31" si="4">D31*(1+equip_cost_trend_CCHP)</f>
        <v>3030</v>
      </c>
      <c r="F31" s="76">
        <f t="shared" si="4"/>
        <v>3060.3</v>
      </c>
      <c r="G31" s="76">
        <f t="shared" si="4"/>
        <v>3090.9030000000002</v>
      </c>
      <c r="H31" s="76">
        <f t="shared" si="4"/>
        <v>3121.8120300000005</v>
      </c>
      <c r="I31" s="76">
        <f t="shared" si="4"/>
        <v>3153.0301503000005</v>
      </c>
      <c r="J31" s="76">
        <f t="shared" si="4"/>
        <v>3184.5604518030004</v>
      </c>
      <c r="K31" s="76">
        <f t="shared" si="4"/>
        <v>3216.4060563210305</v>
      </c>
      <c r="L31" s="76">
        <f t="shared" si="4"/>
        <v>3248.5701168842406</v>
      </c>
      <c r="M31" s="76">
        <f t="shared" si="4"/>
        <v>3281.0558180530829</v>
      </c>
      <c r="N31" s="76">
        <f t="shared" si="4"/>
        <v>3313.8663762336137</v>
      </c>
      <c r="P31" s="78"/>
    </row>
    <row r="32" spans="1:28" s="66" customFormat="1" x14ac:dyDescent="0.3">
      <c r="A32" s="87" t="s">
        <v>721</v>
      </c>
      <c r="B32" t="s">
        <v>719</v>
      </c>
      <c r="D32" s="66">
        <f t="shared" ref="D32:AB32" si="5">($C$14*D24)+(htg_load_CCHP_backup*D$26)+($C$16*D24)</f>
        <v>396.77000000000004</v>
      </c>
      <c r="E32" s="66">
        <f t="shared" si="5"/>
        <v>1212.9989400000002</v>
      </c>
      <c r="F32" s="66">
        <f t="shared" si="5"/>
        <v>1237.3471400485009</v>
      </c>
      <c r="G32" s="66">
        <f t="shared" si="5"/>
        <v>1259.6312137893569</v>
      </c>
      <c r="H32" s="66">
        <f t="shared" si="5"/>
        <v>1282.3265361390684</v>
      </c>
      <c r="I32" s="66">
        <f t="shared" si="5"/>
        <v>1305.4408905508149</v>
      </c>
      <c r="J32" s="66">
        <f t="shared" si="5"/>
        <v>1328.9822114894871</v>
      </c>
      <c r="K32" s="66">
        <f t="shared" si="5"/>
        <v>1352.958587430355</v>
      </c>
      <c r="L32" s="66">
        <f t="shared" si="5"/>
        <v>1377.378263918531</v>
      </c>
      <c r="M32" s="66">
        <f t="shared" si="5"/>
        <v>1402.2496466904829</v>
      </c>
      <c r="N32" s="66">
        <f t="shared" si="5"/>
        <v>1427.5813048588693</v>
      </c>
      <c r="O32" s="66">
        <f t="shared" si="5"/>
        <v>1453.3819741620196</v>
      </c>
      <c r="P32" s="66" t="e">
        <f t="shared" si="5"/>
        <v>#REF!</v>
      </c>
      <c r="Q32" s="66" t="e">
        <f t="shared" si="5"/>
        <v>#REF!</v>
      </c>
      <c r="R32" s="66">
        <f t="shared" si="5"/>
        <v>1502.5773304422512</v>
      </c>
      <c r="S32" s="66">
        <f t="shared" si="5"/>
        <v>549.92348173875712</v>
      </c>
      <c r="T32" s="66">
        <f t="shared" si="5"/>
        <v>562.02179833700984</v>
      </c>
      <c r="U32" s="66">
        <f t="shared" si="5"/>
        <v>574.38627790042415</v>
      </c>
      <c r="V32" s="66">
        <f t="shared" si="5"/>
        <v>587.02277601423339</v>
      </c>
      <c r="W32" s="66">
        <f t="shared" si="5"/>
        <v>599.93727708654649</v>
      </c>
      <c r="X32" s="66">
        <f t="shared" si="5"/>
        <v>613.13589718245055</v>
      </c>
      <c r="Y32" s="66">
        <f t="shared" si="5"/>
        <v>626.62488692046452</v>
      </c>
      <c r="Z32" s="66">
        <f t="shared" si="5"/>
        <v>640.4106344327148</v>
      </c>
      <c r="AA32" s="66">
        <f t="shared" si="5"/>
        <v>654.49966839023455</v>
      </c>
      <c r="AB32" s="66">
        <f t="shared" si="5"/>
        <v>668.89866109481966</v>
      </c>
    </row>
    <row r="33" spans="1:28" x14ac:dyDescent="0.3">
      <c r="A33" t="s">
        <v>722</v>
      </c>
      <c r="B33" t="s">
        <v>719</v>
      </c>
      <c r="D33" s="76">
        <f>MAX(D31+NPV('Core Assumptions'!$D$7,'Tier III incentives'!D32:H32)-NPV('Core Assumptions'!$D$7,'Tier III incentives'!D30:H30),0)</f>
        <v>2035.4373340098946</v>
      </c>
      <c r="E33" s="76">
        <f>MAX(E31+NPV('Core Assumptions'!$D$7,'Tier III incentives'!E32:I32)-NPV('Core Assumptions'!$D$7,'Tier III incentives'!E30:I30),0)</f>
        <v>1296.4330250472813</v>
      </c>
      <c r="F33" s="76">
        <f>MAX(F31+NPV('Core Assumptions'!$D$7,'Tier III incentives'!F32:J32)-NPV('Core Assumptions'!$D$7,'Tier III incentives'!F30:J30),0)</f>
        <v>1307.3131712398226</v>
      </c>
      <c r="G33" s="76">
        <f>MAX(G31+NPV('Core Assumptions'!$D$7,'Tier III incentives'!G32:K32)-NPV('Core Assumptions'!$D$7,'Tier III incentives'!G30:K30),0)</f>
        <v>1320.7859203389107</v>
      </c>
      <c r="H33" s="76">
        <f>MAX(H31+NPV('Core Assumptions'!$D$7,'Tier III incentives'!H32:L32)-NPV('Core Assumptions'!$D$7,'Tier III incentives'!H30:L30),0)</f>
        <v>1334.530801267485</v>
      </c>
      <c r="I33" s="76">
        <f>MAX(I31+NPV('Core Assumptions'!$D$7,'Tier III incentives'!I32:M32)-NPV('Core Assumptions'!$D$7,'Tier III incentives'!I30:M30),0)</f>
        <v>1348.5556160433889</v>
      </c>
      <c r="J33" s="76">
        <f>MAX(J31+NPV('Core Assumptions'!$D$7,'Tier III incentives'!J32:N32)-NPV('Core Assumptions'!$D$7,'Tier III incentives'!J30:N30),0)</f>
        <v>1362.8683894048872</v>
      </c>
      <c r="K33" s="76">
        <f>MAX(K31+NPV('Core Assumptions'!$D$7,'Tier III incentives'!K32:O32)-NPV('Core Assumptions'!$D$7,'Tier III incentives'!K30:O30),0)</f>
        <v>1377.4773747480976</v>
      </c>
      <c r="L33" s="76" t="e">
        <f>MAX(L31+NPV('Core Assumptions'!$D$7,'Tier III incentives'!L32:P32)-NPV('Core Assumptions'!$D$7,'Tier III incentives'!L30:P30),0)</f>
        <v>#REF!</v>
      </c>
      <c r="M33" s="76" t="e">
        <f>MAX(M31+NPV('Core Assumptions'!$D$7,'Tier III incentives'!M32:Q32)-NPV('Core Assumptions'!$D$7,'Tier III incentives'!M30:Q30),0)</f>
        <v>#REF!</v>
      </c>
      <c r="N33" s="76" t="e">
        <f>MAX(N31+NPV('Core Assumptions'!$D$7,'Tier III incentives'!N32:R32)-NPV('Core Assumptions'!$D$7,'Tier III incentives'!N30:R30),0)</f>
        <v>#REF!</v>
      </c>
      <c r="O33" s="76"/>
      <c r="P33" s="76"/>
      <c r="Q33" s="76"/>
      <c r="R33" s="76"/>
      <c r="S33" s="76"/>
      <c r="T33" s="76"/>
      <c r="U33" s="76"/>
      <c r="V33" s="76"/>
      <c r="W33" s="76"/>
      <c r="X33" s="76"/>
      <c r="Y33" s="76"/>
      <c r="Z33" s="76"/>
      <c r="AA33" s="76"/>
      <c r="AB33" s="76"/>
    </row>
    <row r="34" spans="1:28" ht="12.75" customHeight="1" x14ac:dyDescent="0.3">
      <c r="A34" t="s">
        <v>723</v>
      </c>
      <c r="B34" t="s">
        <v>129</v>
      </c>
      <c r="D34" s="88">
        <f t="shared" ref="D34:N34" si="6">D33/$C$18</f>
        <v>83.320176971156954</v>
      </c>
      <c r="E34" s="88">
        <f t="shared" si="6"/>
        <v>53.069199072510841</v>
      </c>
      <c r="F34" s="88">
        <f t="shared" si="6"/>
        <v>53.514575449905223</v>
      </c>
      <c r="G34" s="88">
        <f t="shared" si="6"/>
        <v>54.066079453721713</v>
      </c>
      <c r="H34" s="88">
        <f t="shared" si="6"/>
        <v>54.628723113774932</v>
      </c>
      <c r="I34" s="88">
        <f t="shared" si="6"/>
        <v>55.20282580393927</v>
      </c>
      <c r="J34" s="88">
        <f t="shared" si="6"/>
        <v>55.788716015100299</v>
      </c>
      <c r="K34" s="88">
        <f t="shared" si="6"/>
        <v>56.386731598202211</v>
      </c>
      <c r="L34" s="88" t="e">
        <f t="shared" si="6"/>
        <v>#REF!</v>
      </c>
      <c r="M34" s="88" t="e">
        <f t="shared" si="6"/>
        <v>#REF!</v>
      </c>
      <c r="N34" s="88" t="e">
        <f t="shared" si="6"/>
        <v>#REF!</v>
      </c>
      <c r="O34" s="88"/>
      <c r="P34" s="88"/>
      <c r="Q34" s="88"/>
      <c r="R34" s="88"/>
      <c r="S34" s="88"/>
      <c r="T34" s="88"/>
      <c r="U34" s="88"/>
      <c r="V34" s="88"/>
      <c r="W34" s="88"/>
      <c r="X34" s="88"/>
      <c r="Y34" s="88"/>
      <c r="Z34" s="88"/>
      <c r="AA34" s="88"/>
      <c r="AB34" s="88"/>
    </row>
    <row r="35" spans="1:28" x14ac:dyDescent="0.3">
      <c r="A35" t="s">
        <v>724</v>
      </c>
      <c r="B35" t="s">
        <v>129</v>
      </c>
      <c r="D35" s="76">
        <f t="shared" ref="D35:N35" si="7">$C$18*D25</f>
        <v>1484.8009888882925</v>
      </c>
      <c r="E35" s="76">
        <f t="shared" si="7"/>
        <v>1550.7595718102798</v>
      </c>
      <c r="F35" s="76">
        <f t="shared" si="7"/>
        <v>1567.8599451604248</v>
      </c>
      <c r="G35" s="76">
        <f t="shared" si="7"/>
        <v>1635.2842743695674</v>
      </c>
      <c r="H35" s="76">
        <f t="shared" si="7"/>
        <v>1754.2540146770039</v>
      </c>
      <c r="I35" s="76">
        <f t="shared" si="7"/>
        <v>1824.4241752640839</v>
      </c>
      <c r="J35" s="76">
        <f t="shared" si="7"/>
        <v>1897.4011422746473</v>
      </c>
      <c r="K35" s="76">
        <f t="shared" si="7"/>
        <v>1973.2971879656334</v>
      </c>
      <c r="L35" s="76">
        <f t="shared" si="7"/>
        <v>2052.2290754842588</v>
      </c>
      <c r="M35" s="76">
        <f t="shared" si="7"/>
        <v>2134.3182385036293</v>
      </c>
      <c r="N35" s="76">
        <f t="shared" si="7"/>
        <v>2219.6909680437743</v>
      </c>
      <c r="O35" s="76"/>
      <c r="P35" s="76"/>
      <c r="Q35" s="76"/>
      <c r="R35" s="76"/>
      <c r="S35" s="76"/>
      <c r="T35" s="76"/>
      <c r="U35" s="76"/>
      <c r="V35" s="76"/>
      <c r="W35" s="76"/>
      <c r="X35" s="76"/>
      <c r="Y35" s="76"/>
      <c r="Z35" s="76"/>
      <c r="AA35" s="76"/>
      <c r="AB35" s="76"/>
    </row>
    <row r="37" spans="1:28" s="89" customFormat="1" ht="15.6" x14ac:dyDescent="0.3">
      <c r="A37" s="86" t="s">
        <v>725</v>
      </c>
      <c r="D37" s="90"/>
      <c r="E37" s="90"/>
      <c r="F37" s="90"/>
      <c r="G37" s="90"/>
      <c r="H37" s="90"/>
      <c r="I37" s="90"/>
      <c r="J37" s="90"/>
      <c r="K37" s="90"/>
      <c r="L37" s="90"/>
      <c r="M37" s="90"/>
      <c r="P37" s="91"/>
    </row>
    <row r="38" spans="1:28" s="102" customFormat="1" x14ac:dyDescent="0.3">
      <c r="A38" s="102" t="s">
        <v>726</v>
      </c>
      <c r="B38" s="102" t="s">
        <v>719</v>
      </c>
      <c r="D38" s="103">
        <f>G4</f>
        <v>25000</v>
      </c>
      <c r="E38" s="103">
        <f>D38*(1+$G$5)</f>
        <v>25000</v>
      </c>
      <c r="F38" s="103">
        <f t="shared" ref="F38:AB38" si="8">E38*(1+$G$5)</f>
        <v>25000</v>
      </c>
      <c r="G38" s="103">
        <f t="shared" si="8"/>
        <v>25000</v>
      </c>
      <c r="H38" s="103">
        <f t="shared" si="8"/>
        <v>25000</v>
      </c>
      <c r="I38" s="103">
        <f t="shared" si="8"/>
        <v>25000</v>
      </c>
      <c r="J38" s="103">
        <f t="shared" si="8"/>
        <v>25000</v>
      </c>
      <c r="K38" s="103">
        <f t="shared" si="8"/>
        <v>25000</v>
      </c>
      <c r="L38" s="103">
        <f t="shared" si="8"/>
        <v>25000</v>
      </c>
      <c r="M38" s="103">
        <f t="shared" si="8"/>
        <v>25000</v>
      </c>
      <c r="N38" s="103">
        <f t="shared" si="8"/>
        <v>25000</v>
      </c>
      <c r="O38" s="103">
        <f t="shared" si="8"/>
        <v>25000</v>
      </c>
      <c r="P38" s="103">
        <f t="shared" si="8"/>
        <v>25000</v>
      </c>
      <c r="Q38" s="103">
        <f t="shared" si="8"/>
        <v>25000</v>
      </c>
      <c r="R38" s="103">
        <f t="shared" si="8"/>
        <v>25000</v>
      </c>
      <c r="S38" s="103">
        <f t="shared" si="8"/>
        <v>25000</v>
      </c>
      <c r="T38" s="103">
        <f t="shared" si="8"/>
        <v>25000</v>
      </c>
      <c r="U38" s="103">
        <f t="shared" si="8"/>
        <v>25000</v>
      </c>
      <c r="V38" s="103">
        <f t="shared" si="8"/>
        <v>25000</v>
      </c>
      <c r="W38" s="103">
        <f t="shared" si="8"/>
        <v>25000</v>
      </c>
      <c r="X38" s="103">
        <f t="shared" si="8"/>
        <v>25000</v>
      </c>
      <c r="Y38" s="103">
        <f t="shared" si="8"/>
        <v>25000</v>
      </c>
      <c r="Z38" s="103">
        <f t="shared" si="8"/>
        <v>25000</v>
      </c>
      <c r="AA38" s="103">
        <f t="shared" si="8"/>
        <v>25000</v>
      </c>
      <c r="AB38" s="103">
        <f t="shared" si="8"/>
        <v>25000</v>
      </c>
    </row>
    <row r="39" spans="1:28" s="102" customFormat="1" x14ac:dyDescent="0.3">
      <c r="A39" s="102" t="s">
        <v>718</v>
      </c>
      <c r="B39" s="102" t="s">
        <v>719</v>
      </c>
      <c r="D39" s="103">
        <f>$G$7*D26+$G$9</f>
        <v>173.73333333333335</v>
      </c>
      <c r="E39" s="103">
        <f>$G$7*E26+$G$9*(1+'Core Assumptions'!$D$6)</f>
        <v>1090.5798998682478</v>
      </c>
      <c r="F39" s="103">
        <f>$G$7*F26+$G$9*(1+'Core Assumptions'!$D$6)</f>
        <v>1107.9634142446955</v>
      </c>
      <c r="G39" s="103">
        <f>$G$7*G26+$G$9*(1+'Core Assumptions'!$D$6)</f>
        <v>1122.7999062059439</v>
      </c>
      <c r="H39" s="103">
        <f>$G$7*H26+$G$9*(1+'Core Assumptions'!$D$6)</f>
        <v>1137.8737820385722</v>
      </c>
      <c r="I39" s="103">
        <f>$G$7*I26+$G$9*(1+'Core Assumptions'!$D$6)</f>
        <v>1153.1888398845228</v>
      </c>
      <c r="J39" s="103">
        <f>$G$7*J26+$G$9*(1+'Core Assumptions'!$D$6)</f>
        <v>1168.7489386560085</v>
      </c>
      <c r="K39" s="103">
        <f>$G$7*K26+$G$9*(1+'Core Assumptions'!$D$6)</f>
        <v>1184.5579990078379</v>
      </c>
      <c r="L39" s="103">
        <f>$G$7*L26+$G$9*(1+'Core Assumptions'!$D$6)</f>
        <v>1200.6200043252968</v>
      </c>
      <c r="M39" s="103">
        <f>$G$7*M26+$G$9*(1+'Core Assumptions'!$D$6)</f>
        <v>1216.9390017278349</v>
      </c>
      <c r="N39" s="103">
        <f>$G$7*N26+$G$9*(1+'Core Assumptions'!$D$6)</f>
        <v>1233.5191030888136</v>
      </c>
      <c r="O39" s="103">
        <f>$G$7*O26+$G$9*(1+'Core Assumptions'!$D$6)</f>
        <v>1250.3644860715681</v>
      </c>
      <c r="P39" s="103" t="e">
        <f>$G$7*P26+$G$9*(1+'Core Assumptions'!$D$6)</f>
        <v>#REF!</v>
      </c>
      <c r="Q39" s="103" t="e">
        <f>$G$7*Q26+$G$9*(1+'Core Assumptions'!$D$6)</f>
        <v>#REF!</v>
      </c>
      <c r="R39" s="103">
        <f>$G$7*R26+$G$9*(1+'Core Assumptions'!$D$6)</f>
        <v>1267.4793951820463</v>
      </c>
      <c r="S39" s="103">
        <f>$G$7*S26+$G$9*(1+'Core Assumptions'!$D$6)</f>
        <v>180.68266666666668</v>
      </c>
      <c r="T39" s="103">
        <f>$G$7*T26+$G$9*(1+'Core Assumptions'!$D$6)</f>
        <v>180.68266666666668</v>
      </c>
      <c r="U39" s="103">
        <f>$G$7*U26+$G$9*(1+'Core Assumptions'!$D$6)</f>
        <v>180.68266666666668</v>
      </c>
      <c r="V39" s="103">
        <f>$G$7*V26+$G$9*(1+'Core Assumptions'!$D$6)</f>
        <v>180.68266666666668</v>
      </c>
      <c r="W39" s="103">
        <f>$G$7*W26+$G$9*(1+'Core Assumptions'!$D$6)</f>
        <v>180.68266666666668</v>
      </c>
      <c r="X39" s="103">
        <f>$G$7*X26+$G$9*(1+'Core Assumptions'!$D$6)</f>
        <v>180.68266666666668</v>
      </c>
      <c r="Y39" s="103">
        <f>$G$7*Y26+$G$9*(1+'Core Assumptions'!$D$6)</f>
        <v>180.68266666666668</v>
      </c>
      <c r="Z39" s="103">
        <f>$G$7*Z26+$G$9*(1+'Core Assumptions'!$D$6)</f>
        <v>180.68266666666668</v>
      </c>
      <c r="AA39" s="103">
        <f>$G$7*AA26+$G$9*(1+'Core Assumptions'!$D$6)</f>
        <v>180.68266666666668</v>
      </c>
      <c r="AB39" s="103">
        <f>$G$7*AB26+$G$9*(1+'Core Assumptions'!$D$6)</f>
        <v>180.68266666666668</v>
      </c>
    </row>
    <row r="40" spans="1:28" s="102" customFormat="1" x14ac:dyDescent="0.3">
      <c r="A40" s="102" t="s">
        <v>727</v>
      </c>
      <c r="B40" s="102" t="s">
        <v>719</v>
      </c>
      <c r="D40" s="103">
        <f>H4</f>
        <v>35000</v>
      </c>
      <c r="E40" s="103">
        <f>D40*(1+$H$5)</f>
        <v>33950</v>
      </c>
      <c r="F40" s="103">
        <f t="shared" ref="F40:N40" si="9">E40*(1+$H$5)</f>
        <v>32931.5</v>
      </c>
      <c r="G40" s="103">
        <f t="shared" si="9"/>
        <v>31943.555</v>
      </c>
      <c r="H40" s="103">
        <f t="shared" si="9"/>
        <v>30985.248349999998</v>
      </c>
      <c r="I40" s="103">
        <f t="shared" si="9"/>
        <v>30055.690899499998</v>
      </c>
      <c r="J40" s="103">
        <f t="shared" si="9"/>
        <v>29154.020172514996</v>
      </c>
      <c r="K40" s="103">
        <f t="shared" si="9"/>
        <v>28279.399567339548</v>
      </c>
      <c r="L40" s="103">
        <f t="shared" si="9"/>
        <v>27431.01758031936</v>
      </c>
      <c r="M40" s="103">
        <f t="shared" si="9"/>
        <v>26608.087052909777</v>
      </c>
      <c r="N40" s="103">
        <f t="shared" si="9"/>
        <v>25809.844441322482</v>
      </c>
      <c r="P40" s="104"/>
    </row>
    <row r="41" spans="1:28" s="109" customFormat="1" x14ac:dyDescent="0.3">
      <c r="A41" s="108" t="s">
        <v>728</v>
      </c>
      <c r="B41" s="102" t="s">
        <v>719</v>
      </c>
      <c r="D41" s="109">
        <f t="shared" ref="D41:AB41" si="10">$H$10*D24</f>
        <v>601.16666666666674</v>
      </c>
      <c r="E41" s="109">
        <f t="shared" si="10"/>
        <v>614.39233333333345</v>
      </c>
      <c r="F41" s="109">
        <f t="shared" si="10"/>
        <v>627.90896466666686</v>
      </c>
      <c r="G41" s="109">
        <f t="shared" si="10"/>
        <v>641.72296188933353</v>
      </c>
      <c r="H41" s="109">
        <f t="shared" si="10"/>
        <v>655.84086705089885</v>
      </c>
      <c r="I41" s="109">
        <f t="shared" si="10"/>
        <v>670.26936612601867</v>
      </c>
      <c r="J41" s="109">
        <f t="shared" si="10"/>
        <v>685.01529218079111</v>
      </c>
      <c r="K41" s="109">
        <f t="shared" si="10"/>
        <v>700.0856286087685</v>
      </c>
      <c r="L41" s="109">
        <f t="shared" si="10"/>
        <v>715.4875124381615</v>
      </c>
      <c r="M41" s="109">
        <f t="shared" si="10"/>
        <v>731.22823771180106</v>
      </c>
      <c r="N41" s="109">
        <f t="shared" si="10"/>
        <v>747.31525894146068</v>
      </c>
      <c r="O41" s="109">
        <f t="shared" si="10"/>
        <v>763.75619463817281</v>
      </c>
      <c r="P41" s="109">
        <f t="shared" si="10"/>
        <v>780.55883092021259</v>
      </c>
      <c r="Q41" s="109">
        <f t="shared" si="10"/>
        <v>797.73112520045731</v>
      </c>
      <c r="R41" s="109">
        <f t="shared" si="10"/>
        <v>815.28120995486734</v>
      </c>
      <c r="S41" s="109">
        <f t="shared" si="10"/>
        <v>833.21739657387457</v>
      </c>
      <c r="T41" s="109">
        <f t="shared" si="10"/>
        <v>851.5481792984998</v>
      </c>
      <c r="U41" s="109">
        <f t="shared" si="10"/>
        <v>870.2822392430669</v>
      </c>
      <c r="V41" s="109">
        <f t="shared" si="10"/>
        <v>889.42844850641438</v>
      </c>
      <c r="W41" s="109">
        <f t="shared" si="10"/>
        <v>908.99587437355535</v>
      </c>
      <c r="X41" s="109">
        <f t="shared" si="10"/>
        <v>928.99378360977369</v>
      </c>
      <c r="Y41" s="109">
        <f t="shared" si="10"/>
        <v>949.43164684918872</v>
      </c>
      <c r="Z41" s="109">
        <f t="shared" si="10"/>
        <v>970.31914307987097</v>
      </c>
      <c r="AA41" s="109">
        <f t="shared" si="10"/>
        <v>991.66616422762809</v>
      </c>
      <c r="AB41" s="109">
        <f t="shared" si="10"/>
        <v>1013.4828198406359</v>
      </c>
    </row>
    <row r="42" spans="1:28" s="102" customFormat="1" x14ac:dyDescent="0.3">
      <c r="A42" s="102" t="s">
        <v>722</v>
      </c>
      <c r="B42" s="102" t="s">
        <v>719</v>
      </c>
      <c r="D42" s="103">
        <f>MAX(D40+NPV('Core Assumptions'!$D$7,'Tier III incentives'!D41:M41)-(D38+NPV('Core Assumptions'!$D$7,'Tier III incentives'!D39:M39)),0)</f>
        <v>7310.6285825736923</v>
      </c>
      <c r="E42" s="103">
        <f>MAX(E40+NPV('Core Assumptions'!$D$7,'Tier III incentives'!E41:N41)-(E38+NPV('Core Assumptions'!$D$7,'Tier III incentives'!E39:N39)),0)</f>
        <v>5400.3392771068538</v>
      </c>
      <c r="F42" s="103">
        <f>MAX(F40+NPV('Core Assumptions'!$D$7,'Tier III incentives'!F41:O41)-(F38+NPV('Core Assumptions'!$D$7,'Tier III incentives'!F39:O39)),0)</f>
        <v>4373.3276719281785</v>
      </c>
      <c r="G42" s="103" t="e">
        <f>MAX(G40+NPV('Core Assumptions'!$D$7,'Tier III incentives'!G41:P41)-(G38+NPV('Core Assumptions'!$D$7,'Tier III incentives'!G39:P39)),0)</f>
        <v>#REF!</v>
      </c>
      <c r="H42" s="103" t="e">
        <f>MAX(H40+NPV('Core Assumptions'!$D$7,'Tier III incentives'!H41:Q41)-(H38+NPV('Core Assumptions'!$D$7,'Tier III incentives'!H39:Q39)),0)</f>
        <v>#REF!</v>
      </c>
      <c r="I42" s="103" t="e">
        <f>MAX(I40+NPV('Core Assumptions'!$D$7,'Tier III incentives'!I41:R41)-(I38+NPV('Core Assumptions'!$D$7,'Tier III incentives'!I39:R39)),0)</f>
        <v>#REF!</v>
      </c>
      <c r="J42" s="103" t="e">
        <f>MAX(J40+NPV('Core Assumptions'!$D$7,'Tier III incentives'!J41:S41)-(J38+NPV('Core Assumptions'!$D$7,'Tier III incentives'!J39:S39)),0)</f>
        <v>#REF!</v>
      </c>
      <c r="K42" s="103" t="e">
        <f>MAX(K40+NPV('Core Assumptions'!$D$7,'Tier III incentives'!K41:T41)-(K38+NPV('Core Assumptions'!$D$7,'Tier III incentives'!K39:T39)),0)</f>
        <v>#REF!</v>
      </c>
      <c r="L42" s="103" t="e">
        <f>MAX(L40+NPV('Core Assumptions'!$D$7,'Tier III incentives'!L41:U41)-(L38+NPV('Core Assumptions'!$D$7,'Tier III incentives'!L39:U39)),0)</f>
        <v>#REF!</v>
      </c>
      <c r="M42" s="103" t="e">
        <f>MAX(M40+NPV('Core Assumptions'!$D$7,'Tier III incentives'!M41:V41)-(M38+NPV('Core Assumptions'!$D$7,'Tier III incentives'!M39:V39)),0)</f>
        <v>#REF!</v>
      </c>
      <c r="N42" s="103" t="e">
        <f>MAX(N40+NPV('Core Assumptions'!$D$7,'Tier III incentives'!N41:W41)-(N38+NPV('Core Assumptions'!$D$7,'Tier III incentives'!N39:W39)),0)</f>
        <v>#REF!</v>
      </c>
      <c r="O42" s="103"/>
      <c r="P42" s="103"/>
      <c r="Q42" s="103"/>
      <c r="R42" s="103"/>
      <c r="S42" s="103"/>
      <c r="T42" s="103"/>
      <c r="U42" s="103"/>
      <c r="V42" s="103"/>
      <c r="W42" s="103"/>
      <c r="X42" s="103"/>
      <c r="Y42" s="103"/>
      <c r="Z42" s="103"/>
      <c r="AA42" s="103"/>
      <c r="AB42" s="103"/>
    </row>
    <row r="43" spans="1:28" s="102" customFormat="1" x14ac:dyDescent="0.3">
      <c r="A43" s="102" t="s">
        <v>729</v>
      </c>
      <c r="B43" s="102" t="s">
        <v>719</v>
      </c>
      <c r="D43" s="103">
        <v>7500</v>
      </c>
      <c r="E43" s="103">
        <v>7500</v>
      </c>
      <c r="F43" s="103">
        <v>7500</v>
      </c>
      <c r="G43" s="103"/>
      <c r="H43" s="103"/>
      <c r="I43" s="103"/>
      <c r="J43" s="103"/>
      <c r="K43" s="103"/>
      <c r="L43" s="103"/>
      <c r="M43" s="103"/>
      <c r="N43" s="103"/>
      <c r="O43" s="103"/>
      <c r="P43" s="103"/>
      <c r="Q43" s="103"/>
      <c r="R43" s="103"/>
      <c r="S43" s="103"/>
      <c r="T43" s="103"/>
      <c r="U43" s="103"/>
      <c r="V43" s="103"/>
      <c r="W43" s="103"/>
      <c r="X43" s="103"/>
      <c r="Y43" s="103"/>
      <c r="Z43" s="103"/>
      <c r="AA43" s="103"/>
      <c r="AB43" s="103"/>
    </row>
    <row r="44" spans="1:28" s="102" customFormat="1" x14ac:dyDescent="0.3">
      <c r="A44" s="102" t="s">
        <v>730</v>
      </c>
      <c r="B44" s="102" t="s">
        <v>719</v>
      </c>
      <c r="D44" s="103">
        <f>MAX(D42-D43,0)</f>
        <v>0</v>
      </c>
      <c r="E44" s="103">
        <f t="shared" ref="E44:N44" si="11">MAX(E42-E43,0)</f>
        <v>0</v>
      </c>
      <c r="F44" s="103">
        <f t="shared" si="11"/>
        <v>0</v>
      </c>
      <c r="G44" s="103" t="e">
        <f t="shared" si="11"/>
        <v>#REF!</v>
      </c>
      <c r="H44" s="103" t="e">
        <f t="shared" si="11"/>
        <v>#REF!</v>
      </c>
      <c r="I44" s="103" t="e">
        <f t="shared" si="11"/>
        <v>#REF!</v>
      </c>
      <c r="J44" s="103" t="e">
        <f t="shared" si="11"/>
        <v>#REF!</v>
      </c>
      <c r="K44" s="103" t="e">
        <f t="shared" si="11"/>
        <v>#REF!</v>
      </c>
      <c r="L44" s="103" t="e">
        <f t="shared" si="11"/>
        <v>#REF!</v>
      </c>
      <c r="M44" s="103" t="e">
        <f t="shared" si="11"/>
        <v>#REF!</v>
      </c>
      <c r="N44" s="103" t="e">
        <f t="shared" si="11"/>
        <v>#REF!</v>
      </c>
      <c r="O44" s="103"/>
      <c r="P44" s="103"/>
      <c r="Q44" s="103"/>
      <c r="R44" s="103"/>
      <c r="S44" s="103"/>
      <c r="T44" s="103"/>
      <c r="U44" s="103"/>
      <c r="V44" s="103"/>
      <c r="W44" s="103"/>
      <c r="X44" s="103"/>
      <c r="Y44" s="103"/>
      <c r="Z44" s="103"/>
      <c r="AA44" s="103"/>
      <c r="AB44" s="103"/>
    </row>
    <row r="45" spans="1:28" s="102" customFormat="1" ht="12.75" customHeight="1" x14ac:dyDescent="0.3">
      <c r="A45" s="102" t="s">
        <v>723</v>
      </c>
      <c r="B45" s="102" t="s">
        <v>129</v>
      </c>
      <c r="D45" s="110">
        <f>D44/$H$11</f>
        <v>0</v>
      </c>
      <c r="E45" s="110">
        <f t="shared" ref="E45:N45" si="12">E44/$H$11</f>
        <v>0</v>
      </c>
      <c r="F45" s="110">
        <f t="shared" si="12"/>
        <v>0</v>
      </c>
      <c r="G45" s="110" t="e">
        <f t="shared" si="12"/>
        <v>#REF!</v>
      </c>
      <c r="H45" s="110" t="e">
        <f t="shared" si="12"/>
        <v>#REF!</v>
      </c>
      <c r="I45" s="110" t="e">
        <f t="shared" si="12"/>
        <v>#REF!</v>
      </c>
      <c r="J45" s="110" t="e">
        <f t="shared" si="12"/>
        <v>#REF!</v>
      </c>
      <c r="K45" s="110" t="e">
        <f t="shared" si="12"/>
        <v>#REF!</v>
      </c>
      <c r="L45" s="110" t="e">
        <f t="shared" si="12"/>
        <v>#REF!</v>
      </c>
      <c r="M45" s="110" t="e">
        <f t="shared" si="12"/>
        <v>#REF!</v>
      </c>
      <c r="N45" s="110" t="e">
        <f t="shared" si="12"/>
        <v>#REF!</v>
      </c>
      <c r="O45" s="110"/>
      <c r="P45" s="110"/>
      <c r="Q45" s="110"/>
      <c r="R45" s="110"/>
      <c r="S45" s="110"/>
      <c r="T45" s="110"/>
      <c r="U45" s="110"/>
      <c r="V45" s="110"/>
      <c r="W45" s="110"/>
      <c r="X45" s="110"/>
      <c r="Y45" s="110"/>
      <c r="Z45" s="110"/>
      <c r="AA45" s="110"/>
      <c r="AB45" s="110"/>
    </row>
    <row r="46" spans="1:28" s="102" customFormat="1" x14ac:dyDescent="0.3">
      <c r="A46" s="102" t="s">
        <v>724</v>
      </c>
      <c r="B46" s="102" t="s">
        <v>129</v>
      </c>
      <c r="D46" s="103">
        <f>$H$11*D25</f>
        <v>2248.86</v>
      </c>
      <c r="E46" s="103">
        <f t="shared" ref="E46:N46" si="13">$H$11*E25</f>
        <v>2348.7599999999998</v>
      </c>
      <c r="F46" s="103">
        <f t="shared" si="13"/>
        <v>2374.6600000000003</v>
      </c>
      <c r="G46" s="103">
        <f t="shared" si="13"/>
        <v>2476.7799999999997</v>
      </c>
      <c r="H46" s="103">
        <f t="shared" si="13"/>
        <v>2656.9700000000003</v>
      </c>
      <c r="I46" s="103">
        <f t="shared" si="13"/>
        <v>2763.2487999999998</v>
      </c>
      <c r="J46" s="103">
        <f t="shared" si="13"/>
        <v>2873.7787520000002</v>
      </c>
      <c r="K46" s="103">
        <f t="shared" si="13"/>
        <v>2988.7299020800006</v>
      </c>
      <c r="L46" s="103">
        <f t="shared" si="13"/>
        <v>3108.2790981632006</v>
      </c>
      <c r="M46" s="103">
        <f t="shared" si="13"/>
        <v>3232.6102620897286</v>
      </c>
      <c r="N46" s="103">
        <f t="shared" si="13"/>
        <v>3361.9146725733176</v>
      </c>
      <c r="O46" s="103"/>
      <c r="P46" s="103"/>
      <c r="Q46" s="103"/>
      <c r="R46" s="103"/>
      <c r="S46" s="103"/>
      <c r="T46" s="103"/>
      <c r="U46" s="103"/>
      <c r="V46" s="103"/>
      <c r="W46" s="103"/>
      <c r="X46" s="103"/>
      <c r="Y46" s="103"/>
      <c r="Z46" s="103"/>
      <c r="AA46" s="103"/>
      <c r="AB46" s="103"/>
    </row>
    <row r="47" spans="1:28" s="43" customFormat="1" x14ac:dyDescent="0.3"/>
    <row r="48" spans="1:28" s="43" customFormat="1" ht="15.6" x14ac:dyDescent="0.3">
      <c r="A48" s="92" t="s">
        <v>731</v>
      </c>
      <c r="D48" s="93"/>
      <c r="E48" s="93"/>
      <c r="F48" s="93"/>
      <c r="G48" s="93"/>
      <c r="H48" s="93"/>
      <c r="I48" s="93"/>
      <c r="J48" s="93"/>
      <c r="K48" s="93"/>
      <c r="L48" s="93"/>
      <c r="M48" s="93"/>
      <c r="P48" s="94"/>
    </row>
    <row r="49" spans="1:28" s="43" customFormat="1" x14ac:dyDescent="0.3">
      <c r="A49" s="43" t="s">
        <v>718</v>
      </c>
      <c r="D49" s="93">
        <f t="shared" ref="D49:AB49" si="14">(htg_load_baseline_space*D$26)+(UEC_window_clg*D41)</f>
        <v>0</v>
      </c>
      <c r="E49" s="93">
        <f t="shared" si="14"/>
        <v>1615</v>
      </c>
      <c r="F49" s="93">
        <f t="shared" si="14"/>
        <v>1645.8544467370014</v>
      </c>
      <c r="G49" s="93">
        <f t="shared" si="14"/>
        <v>1672.1881178847934</v>
      </c>
      <c r="H49" s="93">
        <f t="shared" si="14"/>
        <v>1698.94312777095</v>
      </c>
      <c r="I49" s="93">
        <f t="shared" si="14"/>
        <v>1726.1262178152851</v>
      </c>
      <c r="J49" s="93">
        <f t="shared" si="14"/>
        <v>1753.7442373003298</v>
      </c>
      <c r="K49" s="93">
        <f t="shared" si="14"/>
        <v>1781.8041450971352</v>
      </c>
      <c r="L49" s="93">
        <f t="shared" si="14"/>
        <v>1810.3130114186893</v>
      </c>
      <c r="M49" s="93">
        <f t="shared" si="14"/>
        <v>1839.2780196013885</v>
      </c>
      <c r="N49" s="93">
        <f t="shared" si="14"/>
        <v>1868.7064679150108</v>
      </c>
      <c r="O49" s="93">
        <f t="shared" si="14"/>
        <v>1898.6057714016511</v>
      </c>
      <c r="P49" s="93" t="e">
        <f t="shared" si="14"/>
        <v>#REF!</v>
      </c>
      <c r="Q49" s="93" t="e">
        <f t="shared" si="14"/>
        <v>#REF!</v>
      </c>
      <c r="R49" s="93">
        <f t="shared" si="14"/>
        <v>1928.9834637440774</v>
      </c>
      <c r="S49" s="93">
        <f t="shared" si="14"/>
        <v>0</v>
      </c>
      <c r="T49" s="93">
        <f t="shared" si="14"/>
        <v>0</v>
      </c>
      <c r="U49" s="93">
        <f t="shared" si="14"/>
        <v>0</v>
      </c>
      <c r="V49" s="93">
        <f t="shared" si="14"/>
        <v>0</v>
      </c>
      <c r="W49" s="93">
        <f t="shared" si="14"/>
        <v>0</v>
      </c>
      <c r="X49" s="93">
        <f t="shared" si="14"/>
        <v>0</v>
      </c>
      <c r="Y49" s="93">
        <f t="shared" si="14"/>
        <v>0</v>
      </c>
      <c r="Z49" s="93">
        <f t="shared" si="14"/>
        <v>0</v>
      </c>
      <c r="AA49" s="93">
        <f t="shared" si="14"/>
        <v>0</v>
      </c>
      <c r="AB49" s="93">
        <f t="shared" si="14"/>
        <v>0</v>
      </c>
    </row>
    <row r="50" spans="1:28" s="43" customFormat="1" x14ac:dyDescent="0.3">
      <c r="A50" s="43" t="s">
        <v>732</v>
      </c>
      <c r="B50" s="43" t="s">
        <v>719</v>
      </c>
      <c r="D50" s="93">
        <f>equip_cost_CCHP_space</f>
        <v>3000</v>
      </c>
      <c r="E50" s="93">
        <f t="shared" ref="E50:N50" si="15">D50*(1+equip_cost_trend_CCHP)</f>
        <v>3030</v>
      </c>
      <c r="F50" s="93">
        <f t="shared" si="15"/>
        <v>3060.3</v>
      </c>
      <c r="G50" s="93">
        <f t="shared" si="15"/>
        <v>3090.9030000000002</v>
      </c>
      <c r="H50" s="93">
        <f t="shared" si="15"/>
        <v>3121.8120300000005</v>
      </c>
      <c r="I50" s="93">
        <f t="shared" si="15"/>
        <v>3153.0301503000005</v>
      </c>
      <c r="J50" s="93">
        <f t="shared" si="15"/>
        <v>3184.5604518030004</v>
      </c>
      <c r="K50" s="93">
        <f t="shared" si="15"/>
        <v>3216.4060563210305</v>
      </c>
      <c r="L50" s="93">
        <f t="shared" si="15"/>
        <v>3248.5701168842406</v>
      </c>
      <c r="M50" s="93">
        <f t="shared" si="15"/>
        <v>3281.0558180530829</v>
      </c>
      <c r="N50" s="93">
        <f t="shared" si="15"/>
        <v>3313.8663762336137</v>
      </c>
      <c r="P50" s="94"/>
    </row>
    <row r="51" spans="1:28" s="96" customFormat="1" x14ac:dyDescent="0.3">
      <c r="A51" s="95" t="s">
        <v>733</v>
      </c>
      <c r="B51" s="43" t="s">
        <v>719</v>
      </c>
      <c r="D51" s="96">
        <f t="shared" ref="D51:AB51" si="16">($C$14*D41)+(htg_load_CCHP_backup*D$26)+($C$16*D41)</f>
        <v>1322.5666666666668</v>
      </c>
      <c r="E51" s="96">
        <f t="shared" si="16"/>
        <v>2159.1631333333335</v>
      </c>
      <c r="F51" s="96">
        <f t="shared" si="16"/>
        <v>2204.3269456351677</v>
      </c>
      <c r="G51" s="96">
        <f t="shared" si="16"/>
        <v>2247.8845750989308</v>
      </c>
      <c r="H51" s="96">
        <f t="shared" si="16"/>
        <v>2292.3214713974526</v>
      </c>
      <c r="I51" s="96">
        <f t="shared" si="16"/>
        <v>2337.6557143848836</v>
      </c>
      <c r="J51" s="96">
        <f t="shared" si="16"/>
        <v>2383.9057614479057</v>
      </c>
      <c r="K51" s="96">
        <f t="shared" si="16"/>
        <v>2431.090455487858</v>
      </c>
      <c r="L51" s="96">
        <f t="shared" si="16"/>
        <v>2479.2290330733003</v>
      </c>
      <c r="M51" s="96">
        <f t="shared" si="16"/>
        <v>2528.3411327666563</v>
      </c>
      <c r="N51" s="96">
        <f t="shared" si="16"/>
        <v>2578.4468036287185</v>
      </c>
      <c r="O51" s="96">
        <f t="shared" si="16"/>
        <v>2629.5665139048056</v>
      </c>
      <c r="P51" s="96" t="e">
        <f t="shared" si="16"/>
        <v>#REF!</v>
      </c>
      <c r="Q51" s="96" t="e">
        <f t="shared" si="16"/>
        <v>#REF!</v>
      </c>
      <c r="R51" s="96">
        <f t="shared" si="16"/>
        <v>2758.1103937727466</v>
      </c>
      <c r="S51" s="96">
        <f t="shared" si="16"/>
        <v>1833.0782724625242</v>
      </c>
      <c r="T51" s="96">
        <f t="shared" si="16"/>
        <v>1873.4059944566995</v>
      </c>
      <c r="U51" s="96">
        <f t="shared" si="16"/>
        <v>1914.6209263347473</v>
      </c>
      <c r="V51" s="96">
        <f t="shared" si="16"/>
        <v>1956.7425867141117</v>
      </c>
      <c r="W51" s="96">
        <f t="shared" si="16"/>
        <v>1999.7909236218218</v>
      </c>
      <c r="X51" s="96">
        <f t="shared" si="16"/>
        <v>2043.7863239415021</v>
      </c>
      <c r="Y51" s="96">
        <f t="shared" si="16"/>
        <v>2088.7496230682154</v>
      </c>
      <c r="Z51" s="96">
        <f t="shared" si="16"/>
        <v>2134.7021147757159</v>
      </c>
      <c r="AA51" s="96">
        <f t="shared" si="16"/>
        <v>2181.665561300782</v>
      </c>
      <c r="AB51" s="96">
        <f t="shared" si="16"/>
        <v>2229.6622036493991</v>
      </c>
    </row>
    <row r="52" spans="1:28" s="43" customFormat="1" x14ac:dyDescent="0.3">
      <c r="A52" s="43" t="s">
        <v>722</v>
      </c>
      <c r="B52" s="43" t="s">
        <v>719</v>
      </c>
      <c r="D52" s="93">
        <f>MAX(D50+NPV('Core Assumptions'!$D$7,'Tier III incentives'!D51:H51)-NPV('Core Assumptions'!$D$7,'Tier III incentives'!D49:H49),0)</f>
        <v>6100.3242656720431</v>
      </c>
      <c r="E52" s="93">
        <f>MAX(E50+NPV('Core Assumptions'!$D$7,'Tier III incentives'!E51:I51)-NPV('Core Assumptions'!$D$7,'Tier III incentives'!E49:I49),0)</f>
        <v>5450.7474692059986</v>
      </c>
      <c r="F52" s="93">
        <f>MAX(F50+NPV('Core Assumptions'!$D$7,'Tier III incentives'!F51:J51)-NPV('Core Assumptions'!$D$7,'Tier III incentives'!F49:J49),0)</f>
        <v>5553.0225331700331</v>
      </c>
      <c r="G52" s="93">
        <f>MAX(G50+NPV('Core Assumptions'!$D$7,'Tier III incentives'!G51:K51)-NPV('Core Assumptions'!$D$7,'Tier III incentives'!G49:K49),0)</f>
        <v>5659.9008882315848</v>
      </c>
      <c r="H52" s="93">
        <f>MAX(H50+NPV('Core Assumptions'!$D$7,'Tier III incentives'!H51:L51)-NPV('Core Assumptions'!$D$7,'Tier III incentives'!H49:L49),0)</f>
        <v>5769.1062984537984</v>
      </c>
      <c r="I52" s="93">
        <f>MAX(I50+NPV('Core Assumptions'!$D$7,'Tier III incentives'!I51:M51)-NPV('Core Assumptions'!$D$7,'Tier III incentives'!I49:M49),0)</f>
        <v>5880.6917741677998</v>
      </c>
      <c r="J52" s="93">
        <f>MAX(J50+NPV('Core Assumptions'!$D$7,'Tier III incentives'!J51:N51)-NPV('Core Assumptions'!$D$7,'Tier III incentives'!J49:N49),0)</f>
        <v>5994.7115430080348</v>
      </c>
      <c r="K52" s="93">
        <f>MAX(K50+NPV('Core Assumptions'!$D$7,'Tier III incentives'!K51:O51)-NPV('Core Assumptions'!$D$7,'Tier III incentives'!K49:O49),0)</f>
        <v>6111.2210777305154</v>
      </c>
      <c r="L52" s="93" t="e">
        <f>MAX(L50+NPV('Core Assumptions'!$D$7,'Tier III incentives'!L51:P51)-NPV('Core Assumptions'!$D$7,'Tier III incentives'!L49:P49),0)</f>
        <v>#REF!</v>
      </c>
      <c r="M52" s="93" t="e">
        <f>MAX(M50+NPV('Core Assumptions'!$D$7,'Tier III incentives'!M51:Q51)-NPV('Core Assumptions'!$D$7,'Tier III incentives'!M49:Q49),0)</f>
        <v>#REF!</v>
      </c>
      <c r="N52" s="93" t="e">
        <f>MAX(N50+NPV('Core Assumptions'!$D$7,'Tier III incentives'!N51:R51)-NPV('Core Assumptions'!$D$7,'Tier III incentives'!N49:R49),0)</f>
        <v>#REF!</v>
      </c>
      <c r="O52" s="93"/>
      <c r="P52" s="93"/>
      <c r="Q52" s="93"/>
      <c r="R52" s="93"/>
      <c r="S52" s="93"/>
      <c r="T52" s="93"/>
      <c r="U52" s="93"/>
      <c r="V52" s="93"/>
      <c r="W52" s="93"/>
      <c r="X52" s="93"/>
      <c r="Y52" s="93"/>
      <c r="Z52" s="93"/>
      <c r="AA52" s="93"/>
      <c r="AB52" s="93"/>
    </row>
    <row r="53" spans="1:28" s="43" customFormat="1" ht="12.75" customHeight="1" x14ac:dyDescent="0.3">
      <c r="A53" s="43" t="s">
        <v>723</v>
      </c>
      <c r="B53" s="43" t="s">
        <v>129</v>
      </c>
      <c r="D53" s="97">
        <f t="shared" ref="D53:N53" si="17">D52/$C$18</f>
        <v>249.71542425032817</v>
      </c>
      <c r="E53" s="97">
        <f t="shared" si="17"/>
        <v>223.12514179182389</v>
      </c>
      <c r="F53" s="97">
        <f t="shared" si="17"/>
        <v>227.31174890904322</v>
      </c>
      <c r="G53" s="97">
        <f t="shared" si="17"/>
        <v>231.68679072896069</v>
      </c>
      <c r="H53" s="97">
        <f t="shared" si="17"/>
        <v>236.1570900370692</v>
      </c>
      <c r="I53" s="97">
        <f t="shared" si="17"/>
        <v>240.72481679954595</v>
      </c>
      <c r="J53" s="97">
        <f t="shared" si="17"/>
        <v>245.39219081261029</v>
      </c>
      <c r="K53" s="97">
        <f t="shared" si="17"/>
        <v>250.16148284125748</v>
      </c>
      <c r="L53" s="97" t="e">
        <f t="shared" si="17"/>
        <v>#REF!</v>
      </c>
      <c r="M53" s="97" t="e">
        <f t="shared" si="17"/>
        <v>#REF!</v>
      </c>
      <c r="N53" s="97" t="e">
        <f t="shared" si="17"/>
        <v>#REF!</v>
      </c>
      <c r="O53" s="97"/>
      <c r="P53" s="97"/>
      <c r="Q53" s="97"/>
      <c r="R53" s="97"/>
      <c r="S53" s="97"/>
      <c r="T53" s="97"/>
      <c r="U53" s="97"/>
      <c r="V53" s="97"/>
      <c r="W53" s="97"/>
      <c r="X53" s="97"/>
      <c r="Y53" s="97"/>
      <c r="Z53" s="97"/>
      <c r="AA53" s="97"/>
      <c r="AB53" s="97"/>
    </row>
    <row r="54" spans="1:28" s="43" customFormat="1" x14ac:dyDescent="0.3">
      <c r="A54" s="43" t="s">
        <v>724</v>
      </c>
      <c r="B54" s="43" t="s">
        <v>129</v>
      </c>
      <c r="D54" s="93">
        <f t="shared" ref="D54:N54" si="18">$C$18*D42</f>
        <v>178592.11169464354</v>
      </c>
      <c r="E54" s="93">
        <f t="shared" si="18"/>
        <v>131925.45407996947</v>
      </c>
      <c r="F54" s="93">
        <f t="shared" si="18"/>
        <v>106836.47996070243</v>
      </c>
      <c r="G54" s="93" t="e">
        <f t="shared" si="18"/>
        <v>#REF!</v>
      </c>
      <c r="H54" s="93" t="e">
        <f t="shared" si="18"/>
        <v>#REF!</v>
      </c>
      <c r="I54" s="93" t="e">
        <f t="shared" si="18"/>
        <v>#REF!</v>
      </c>
      <c r="J54" s="93" t="e">
        <f t="shared" si="18"/>
        <v>#REF!</v>
      </c>
      <c r="K54" s="93" t="e">
        <f t="shared" si="18"/>
        <v>#REF!</v>
      </c>
      <c r="L54" s="93" t="e">
        <f t="shared" si="18"/>
        <v>#REF!</v>
      </c>
      <c r="M54" s="93" t="e">
        <f t="shared" si="18"/>
        <v>#REF!</v>
      </c>
      <c r="N54" s="93" t="e">
        <f t="shared" si="18"/>
        <v>#REF!</v>
      </c>
      <c r="O54" s="93"/>
      <c r="P54" s="93"/>
      <c r="Q54" s="93"/>
      <c r="R54" s="93"/>
      <c r="S54" s="93"/>
      <c r="T54" s="93"/>
      <c r="U54" s="93"/>
      <c r="V54" s="93"/>
      <c r="W54" s="93"/>
      <c r="X54" s="93"/>
      <c r="Y54" s="93"/>
      <c r="Z54" s="93"/>
      <c r="AA54" s="93"/>
      <c r="AB54" s="93"/>
    </row>
    <row r="55" spans="1:28" s="43" customFormat="1" x14ac:dyDescent="0.3"/>
    <row r="56" spans="1:28" s="43" customFormat="1" ht="15.6" x14ac:dyDescent="0.3">
      <c r="A56" s="92" t="s">
        <v>734</v>
      </c>
      <c r="D56" s="93"/>
      <c r="E56" s="93"/>
      <c r="F56" s="93"/>
      <c r="G56" s="93"/>
      <c r="H56" s="93"/>
      <c r="I56" s="93"/>
      <c r="J56" s="93"/>
      <c r="K56" s="93"/>
      <c r="L56" s="93"/>
      <c r="M56" s="93"/>
      <c r="P56" s="94"/>
    </row>
    <row r="57" spans="1:28" s="43" customFormat="1" x14ac:dyDescent="0.3">
      <c r="A57" s="43" t="s">
        <v>718</v>
      </c>
      <c r="D57" s="93">
        <f t="shared" ref="D57:AB57" si="19">(htg_load_baseline_space*D$26)+(UEC_window_clg*D50)</f>
        <v>0</v>
      </c>
      <c r="E57" s="93">
        <f t="shared" si="19"/>
        <v>1615</v>
      </c>
      <c r="F57" s="93">
        <f t="shared" si="19"/>
        <v>1645.8544467370014</v>
      </c>
      <c r="G57" s="93">
        <f t="shared" si="19"/>
        <v>1672.1881178847934</v>
      </c>
      <c r="H57" s="93">
        <f t="shared" si="19"/>
        <v>1698.94312777095</v>
      </c>
      <c r="I57" s="93">
        <f t="shared" si="19"/>
        <v>1726.1262178152851</v>
      </c>
      <c r="J57" s="93">
        <f t="shared" si="19"/>
        <v>1753.7442373003298</v>
      </c>
      <c r="K57" s="93">
        <f t="shared" si="19"/>
        <v>1781.8041450971352</v>
      </c>
      <c r="L57" s="93">
        <f t="shared" si="19"/>
        <v>1810.3130114186893</v>
      </c>
      <c r="M57" s="93">
        <f t="shared" si="19"/>
        <v>1839.2780196013885</v>
      </c>
      <c r="N57" s="93">
        <f t="shared" si="19"/>
        <v>1868.7064679150108</v>
      </c>
      <c r="O57" s="93">
        <f t="shared" si="19"/>
        <v>1898.6057714016511</v>
      </c>
      <c r="P57" s="93" t="e">
        <f t="shared" si="19"/>
        <v>#REF!</v>
      </c>
      <c r="Q57" s="93" t="e">
        <f t="shared" si="19"/>
        <v>#REF!</v>
      </c>
      <c r="R57" s="93">
        <f t="shared" si="19"/>
        <v>1928.9834637440774</v>
      </c>
      <c r="S57" s="93">
        <f t="shared" si="19"/>
        <v>0</v>
      </c>
      <c r="T57" s="93">
        <f t="shared" si="19"/>
        <v>0</v>
      </c>
      <c r="U57" s="93">
        <f t="shared" si="19"/>
        <v>0</v>
      </c>
      <c r="V57" s="93">
        <f t="shared" si="19"/>
        <v>0</v>
      </c>
      <c r="W57" s="93">
        <f t="shared" si="19"/>
        <v>0</v>
      </c>
      <c r="X57" s="93">
        <f t="shared" si="19"/>
        <v>0</v>
      </c>
      <c r="Y57" s="93">
        <f t="shared" si="19"/>
        <v>0</v>
      </c>
      <c r="Z57" s="93">
        <f t="shared" si="19"/>
        <v>0</v>
      </c>
      <c r="AA57" s="93">
        <f t="shared" si="19"/>
        <v>0</v>
      </c>
      <c r="AB57" s="93">
        <f t="shared" si="19"/>
        <v>0</v>
      </c>
    </row>
    <row r="58" spans="1:28" s="43" customFormat="1" x14ac:dyDescent="0.3">
      <c r="A58" s="43" t="s">
        <v>735</v>
      </c>
      <c r="B58" s="43" t="s">
        <v>719</v>
      </c>
      <c r="D58" s="93">
        <f>equip_cost_CCHP_space</f>
        <v>3000</v>
      </c>
      <c r="E58" s="93">
        <f t="shared" ref="E58:N58" si="20">D58*(1+equip_cost_trend_CCHP)</f>
        <v>3030</v>
      </c>
      <c r="F58" s="93">
        <f t="shared" si="20"/>
        <v>3060.3</v>
      </c>
      <c r="G58" s="93">
        <f t="shared" si="20"/>
        <v>3090.9030000000002</v>
      </c>
      <c r="H58" s="93">
        <f t="shared" si="20"/>
        <v>3121.8120300000005</v>
      </c>
      <c r="I58" s="93">
        <f t="shared" si="20"/>
        <v>3153.0301503000005</v>
      </c>
      <c r="J58" s="93">
        <f t="shared" si="20"/>
        <v>3184.5604518030004</v>
      </c>
      <c r="K58" s="93">
        <f t="shared" si="20"/>
        <v>3216.4060563210305</v>
      </c>
      <c r="L58" s="93">
        <f t="shared" si="20"/>
        <v>3248.5701168842406</v>
      </c>
      <c r="M58" s="93">
        <f t="shared" si="20"/>
        <v>3281.0558180530829</v>
      </c>
      <c r="N58" s="93">
        <f t="shared" si="20"/>
        <v>3313.8663762336137</v>
      </c>
      <c r="P58" s="94"/>
    </row>
    <row r="59" spans="1:28" s="96" customFormat="1" x14ac:dyDescent="0.3">
      <c r="A59" s="95" t="s">
        <v>736</v>
      </c>
      <c r="B59" s="43" t="s">
        <v>719</v>
      </c>
      <c r="D59" s="96">
        <f t="shared" ref="D59:AB59" si="21">($C$14*D50)+(htg_load_CCHP_backup*D$26)+($C$16*D50)</f>
        <v>6600</v>
      </c>
      <c r="E59" s="96">
        <f t="shared" si="21"/>
        <v>7473.5</v>
      </c>
      <c r="F59" s="96">
        <f t="shared" si="21"/>
        <v>7555.5872233685013</v>
      </c>
      <c r="G59" s="96">
        <f t="shared" si="21"/>
        <v>7636.0806589423973</v>
      </c>
      <c r="H59" s="96">
        <f t="shared" si="21"/>
        <v>7717.4580298854762</v>
      </c>
      <c r="I59" s="96">
        <f t="shared" si="21"/>
        <v>7799.7294395676436</v>
      </c>
      <c r="J59" s="96">
        <f t="shared" si="21"/>
        <v>7882.905112616766</v>
      </c>
      <c r="K59" s="96">
        <f t="shared" si="21"/>
        <v>7966.9953964548349</v>
      </c>
      <c r="L59" s="96">
        <f t="shared" si="21"/>
        <v>8052.0107628546739</v>
      </c>
      <c r="M59" s="96">
        <f t="shared" si="21"/>
        <v>8137.9618095174765</v>
      </c>
      <c r="N59" s="96">
        <f t="shared" si="21"/>
        <v>8224.8592616714559</v>
      </c>
      <c r="O59" s="96">
        <f t="shared" si="21"/>
        <v>949.30288570082553</v>
      </c>
      <c r="P59" s="96" t="e">
        <f t="shared" si="21"/>
        <v>#REF!</v>
      </c>
      <c r="Q59" s="96" t="e">
        <f t="shared" si="21"/>
        <v>#REF!</v>
      </c>
      <c r="R59" s="96">
        <f t="shared" si="21"/>
        <v>964.49173187203871</v>
      </c>
      <c r="S59" s="96">
        <f t="shared" si="21"/>
        <v>0</v>
      </c>
      <c r="T59" s="96">
        <f t="shared" si="21"/>
        <v>0</v>
      </c>
      <c r="U59" s="96">
        <f t="shared" si="21"/>
        <v>0</v>
      </c>
      <c r="V59" s="96">
        <f t="shared" si="21"/>
        <v>0</v>
      </c>
      <c r="W59" s="96">
        <f t="shared" si="21"/>
        <v>0</v>
      </c>
      <c r="X59" s="96">
        <f t="shared" si="21"/>
        <v>0</v>
      </c>
      <c r="Y59" s="96">
        <f t="shared" si="21"/>
        <v>0</v>
      </c>
      <c r="Z59" s="96">
        <f t="shared" si="21"/>
        <v>0</v>
      </c>
      <c r="AA59" s="96">
        <f t="shared" si="21"/>
        <v>0</v>
      </c>
      <c r="AB59" s="96">
        <f t="shared" si="21"/>
        <v>0</v>
      </c>
    </row>
    <row r="60" spans="1:28" s="43" customFormat="1" x14ac:dyDescent="0.3">
      <c r="A60" s="43" t="s">
        <v>722</v>
      </c>
      <c r="B60" s="43" t="s">
        <v>719</v>
      </c>
      <c r="D60" s="93">
        <f>MAX(D58+NPV('Core Assumptions'!$D$7,'Tier III incentives'!D59:H59)-NPV('Core Assumptions'!$D$7,'Tier III incentives'!D57:H57),0)</f>
        <v>28623.730774116335</v>
      </c>
      <c r="E60" s="93">
        <f>MAX(E58+NPV('Core Assumptions'!$D$7,'Tier III incentives'!E59:I59)-NPV('Core Assumptions'!$D$7,'Tier III incentives'!E57:I57),0)</f>
        <v>28129.704266763383</v>
      </c>
      <c r="F60" s="93">
        <f>MAX(F58+NPV('Core Assumptions'!$D$7,'Tier III incentives'!F59:J59)-NPV('Core Assumptions'!$D$7,'Tier III incentives'!F57:J57),0)</f>
        <v>28387.55207966028</v>
      </c>
      <c r="G60" s="93">
        <f>MAX(G58+NPV('Core Assumptions'!$D$7,'Tier III incentives'!G59:K59)-NPV('Core Assumptions'!$D$7,'Tier III incentives'!G57:K57),0)</f>
        <v>28649.992141125069</v>
      </c>
      <c r="H60" s="93">
        <f>MAX(H58+NPV('Core Assumptions'!$D$7,'Tier III incentives'!H59:L59)-NPV('Core Assumptions'!$D$7,'Tier III incentives'!H57:L57),0)</f>
        <v>28914.713635855198</v>
      </c>
      <c r="I60" s="93">
        <f>MAX(I58+NPV('Core Assumptions'!$D$7,'Tier III incentives'!I59:M59)-NPV('Core Assumptions'!$D$7,'Tier III incentives'!I57:M57),0)</f>
        <v>29181.733890705735</v>
      </c>
      <c r="J60" s="93">
        <f>MAX(J58+NPV('Core Assumptions'!$D$7,'Tier III incentives'!J59:N59)-NPV('Core Assumptions'!$D$7,'Tier III incentives'!J57:N57),0)</f>
        <v>29451.070318000642</v>
      </c>
      <c r="K60" s="93">
        <f>MAX(K58+NPV('Core Assumptions'!$D$7,'Tier III incentives'!K59:O59)-NPV('Core Assumptions'!$D$7,'Tier III incentives'!K57:O57),0)</f>
        <v>24220.371299308823</v>
      </c>
      <c r="L60" s="93" t="e">
        <f>MAX(L58+NPV('Core Assumptions'!$D$7,'Tier III incentives'!L59:P59)-NPV('Core Assumptions'!$D$7,'Tier III incentives'!L57:P57),0)</f>
        <v>#REF!</v>
      </c>
      <c r="M60" s="93" t="e">
        <f>MAX(M58+NPV('Core Assumptions'!$D$7,'Tier III incentives'!M59:Q59)-NPV('Core Assumptions'!$D$7,'Tier III incentives'!M57:Q57),0)</f>
        <v>#REF!</v>
      </c>
      <c r="N60" s="93" t="e">
        <f>MAX(N58+NPV('Core Assumptions'!$D$7,'Tier III incentives'!N59:R59)-NPV('Core Assumptions'!$D$7,'Tier III incentives'!N57:R57),0)</f>
        <v>#REF!</v>
      </c>
      <c r="O60" s="93"/>
      <c r="P60" s="93"/>
      <c r="Q60" s="93"/>
      <c r="R60" s="93"/>
      <c r="S60" s="93"/>
      <c r="T60" s="93"/>
      <c r="U60" s="93"/>
      <c r="V60" s="93"/>
      <c r="W60" s="93"/>
      <c r="X60" s="93"/>
      <c r="Y60" s="93"/>
      <c r="Z60" s="93"/>
      <c r="AA60" s="93"/>
      <c r="AB60" s="93"/>
    </row>
    <row r="61" spans="1:28" s="43" customFormat="1" ht="12.75" customHeight="1" x14ac:dyDescent="0.3">
      <c r="A61" s="43" t="s">
        <v>723</v>
      </c>
      <c r="B61" s="43" t="s">
        <v>129</v>
      </c>
      <c r="D61" s="97">
        <f t="shared" ref="D61:N61" si="22">D60/$C$18</f>
        <v>1171.7060868563842</v>
      </c>
      <c r="E61" s="97">
        <f t="shared" si="22"/>
        <v>1151.4832210705833</v>
      </c>
      <c r="F61" s="97">
        <f t="shared" si="22"/>
        <v>1162.0381642482596</v>
      </c>
      <c r="G61" s="97">
        <f t="shared" si="22"/>
        <v>1172.7810901051266</v>
      </c>
      <c r="H61" s="97">
        <f t="shared" si="22"/>
        <v>1183.6174059279926</v>
      </c>
      <c r="I61" s="97">
        <f t="shared" si="22"/>
        <v>1194.5478209878365</v>
      </c>
      <c r="J61" s="97">
        <f t="shared" si="22"/>
        <v>1205.5730480542875</v>
      </c>
      <c r="K61" s="97">
        <f t="shared" si="22"/>
        <v>991.45554090329563</v>
      </c>
      <c r="L61" s="97" t="e">
        <f t="shared" si="22"/>
        <v>#REF!</v>
      </c>
      <c r="M61" s="97" t="e">
        <f t="shared" si="22"/>
        <v>#REF!</v>
      </c>
      <c r="N61" s="97" t="e">
        <f t="shared" si="22"/>
        <v>#REF!</v>
      </c>
      <c r="O61" s="97"/>
      <c r="P61" s="97"/>
      <c r="Q61" s="97"/>
      <c r="R61" s="97"/>
      <c r="S61" s="97"/>
      <c r="T61" s="97"/>
      <c r="U61" s="97"/>
      <c r="V61" s="97"/>
      <c r="W61" s="97"/>
      <c r="X61" s="97"/>
      <c r="Y61" s="97"/>
      <c r="Z61" s="97"/>
      <c r="AA61" s="97"/>
      <c r="AB61" s="97"/>
    </row>
    <row r="62" spans="1:28" s="43" customFormat="1" x14ac:dyDescent="0.3">
      <c r="A62" s="43" t="s">
        <v>724</v>
      </c>
      <c r="B62" s="43" t="s">
        <v>129</v>
      </c>
      <c r="D62" s="93">
        <f t="shared" ref="D62:N62" si="23">$C$18*D51</f>
        <v>32309.119686366561</v>
      </c>
      <c r="E62" s="93">
        <f t="shared" si="23"/>
        <v>52746.422434098022</v>
      </c>
      <c r="F62" s="93">
        <f t="shared" si="23"/>
        <v>53849.733937351208</v>
      </c>
      <c r="G62" s="93">
        <f t="shared" si="23"/>
        <v>54913.807831747807</v>
      </c>
      <c r="H62" s="93">
        <f t="shared" si="23"/>
        <v>55999.361427785509</v>
      </c>
      <c r="I62" s="93">
        <f t="shared" si="23"/>
        <v>57106.836400115877</v>
      </c>
      <c r="J62" s="93">
        <f t="shared" si="23"/>
        <v>58236.683646172234</v>
      </c>
      <c r="K62" s="93">
        <f t="shared" si="23"/>
        <v>59389.363481165863</v>
      </c>
      <c r="L62" s="93">
        <f t="shared" si="23"/>
        <v>60565.345837245834</v>
      </c>
      <c r="M62" s="93">
        <f t="shared" si="23"/>
        <v>61765.110466911436</v>
      </c>
      <c r="N62" s="93">
        <f t="shared" si="23"/>
        <v>62989.147150769633</v>
      </c>
      <c r="O62" s="93"/>
      <c r="P62" s="93"/>
      <c r="Q62" s="93"/>
      <c r="R62" s="93"/>
      <c r="S62" s="93"/>
      <c r="T62" s="93"/>
      <c r="U62" s="93"/>
      <c r="V62" s="93"/>
      <c r="W62" s="93"/>
      <c r="X62" s="93"/>
      <c r="Y62" s="93"/>
      <c r="Z62" s="93"/>
      <c r="AA62" s="93"/>
      <c r="AB62" s="93"/>
    </row>
    <row r="63" spans="1:28" s="43" customFormat="1" x14ac:dyDescent="0.3"/>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0"/>
  <sheetViews>
    <sheetView zoomScaleNormal="100" workbookViewId="0">
      <pane ySplit="1" topLeftCell="A2" activePane="bottomLeft" state="frozen"/>
      <selection activeCell="C39" sqref="C39"/>
      <selection pane="bottomLeft"/>
    </sheetView>
  </sheetViews>
  <sheetFormatPr defaultRowHeight="14.4" x14ac:dyDescent="0.3"/>
  <cols>
    <col min="1" max="1" width="52.44140625" style="19" bestFit="1" customWidth="1"/>
    <col min="2" max="2" width="9" customWidth="1"/>
    <col min="3" max="4" width="23.44140625" bestFit="1" customWidth="1"/>
    <col min="5" max="5" width="23.44140625" style="10" bestFit="1" customWidth="1"/>
    <col min="6" max="6" width="23.44140625" bestFit="1" customWidth="1"/>
    <col min="8" max="8" width="12.6640625" bestFit="1" customWidth="1"/>
    <col min="9" max="12" width="10.44140625" bestFit="1" customWidth="1"/>
  </cols>
  <sheetData>
    <row r="1" spans="1:12" ht="69.45" customHeight="1" x14ac:dyDescent="0.3">
      <c r="A1" s="167" t="s">
        <v>979</v>
      </c>
      <c r="C1" s="164" t="s">
        <v>737</v>
      </c>
      <c r="D1" s="165" t="s">
        <v>738</v>
      </c>
      <c r="E1" s="166" t="s">
        <v>739</v>
      </c>
      <c r="F1" t="s">
        <v>740</v>
      </c>
    </row>
    <row r="2" spans="1:12" ht="28.8" x14ac:dyDescent="0.3">
      <c r="A2" s="19" t="s">
        <v>741</v>
      </c>
      <c r="C2" s="47">
        <f>AVERAGEIF('Savings Calculator 2022'!$A:$A,'Tier III PT'!$A2,'Savings Calculator 2022'!$D:$D)</f>
        <v>82.8</v>
      </c>
      <c r="D2" s="47">
        <f>AVERAGEIF('Savings Calculator 2022'!$A:$A,'Tier III PT'!$A2,'Savings Calculator 2022'!$E:$E)</f>
        <v>20.710808797885711</v>
      </c>
      <c r="E2" s="10">
        <f>AVERAGEIF('Savings Calculator 2022'!$A:$A,'Tier III PT'!$A2,'Savings Calculator 2022'!$I:$I)</f>
        <v>2408.2335811495018</v>
      </c>
      <c r="F2" s="10">
        <f>AVERAGEIF('Savings Calculator 2022'!$A:$A,'Tier III PT'!$A2,'Savings Calculator 2022'!$N:$N)</f>
        <v>34.78511269248736</v>
      </c>
      <c r="H2" s="391">
        <v>0</v>
      </c>
      <c r="I2" s="47"/>
      <c r="J2" s="47"/>
      <c r="K2" s="47"/>
      <c r="L2" s="20"/>
    </row>
    <row r="3" spans="1:12" ht="28.8" x14ac:dyDescent="0.3">
      <c r="A3" s="19" t="s">
        <v>742</v>
      </c>
      <c r="C3" s="47">
        <f>AVERAGEIF('Savings Calculator 2022'!$A:$A,'Tier III PT'!$A3,'Savings Calculator 2022'!$D:$D)</f>
        <v>82.8</v>
      </c>
      <c r="D3" s="47">
        <f>AVERAGEIF('Savings Calculator 2022'!$A:$A,'Tier III PT'!$A3,'Savings Calculator 2022'!$E:$E)</f>
        <v>15.936967369973054</v>
      </c>
      <c r="E3" s="10">
        <f>AVERAGEIF('Savings Calculator 2022'!$A:$A,'Tier III PT'!$A3,'Savings Calculator 2022'!$I:$I)</f>
        <v>1853.1357406945415</v>
      </c>
      <c r="F3" s="10">
        <f>AVERAGEIF('Savings Calculator 2022'!$A:$A,'Tier III PT'!$A3,'Savings Calculator 2022'!$N:$N)</f>
        <v>26.767144216869024</v>
      </c>
      <c r="H3" s="391">
        <v>6</v>
      </c>
      <c r="I3" s="47"/>
      <c r="J3" s="47"/>
      <c r="K3" s="47"/>
      <c r="L3" s="20"/>
    </row>
    <row r="4" spans="1:12" ht="28.8" x14ac:dyDescent="0.3">
      <c r="A4" s="19" t="s">
        <v>743</v>
      </c>
      <c r="C4" s="47">
        <f>AVERAGEIF('Savings Calculator 2022'!$A:$A,'Tier III PT'!$A4,'Savings Calculator 2022'!$D:$D)</f>
        <v>82.8</v>
      </c>
      <c r="D4" s="47">
        <f>AVERAGEIF('Savings Calculator 2022'!$A:$A,'Tier III PT'!$A4,'Savings Calculator 2022'!$E:$E)</f>
        <v>16.775755126287429</v>
      </c>
      <c r="E4" s="10">
        <f>AVERAGEIF('Savings Calculator 2022'!$A:$A,'Tier III PT'!$A4,'Savings Calculator 2022'!$I:$I)</f>
        <v>1950.6692007310967</v>
      </c>
      <c r="F4" s="10">
        <f>AVERAGEIF('Savings Calculator 2022'!$A:$A,'Tier III PT'!$A4,'Savings Calculator 2022'!$N:$N)</f>
        <v>28.175941280914767</v>
      </c>
      <c r="H4" s="391">
        <v>12</v>
      </c>
      <c r="L4" s="20"/>
    </row>
    <row r="5" spans="1:12" ht="28.8" x14ac:dyDescent="0.3">
      <c r="A5" s="19" t="s">
        <v>744</v>
      </c>
      <c r="C5" s="47">
        <f>AVERAGEIF('Savings Calculator 2022'!$A:$A,'Tier III PT'!$A5,'Savings Calculator 2022'!$D:$D)</f>
        <v>82.8</v>
      </c>
      <c r="D5" s="47">
        <f>AVERAGEIF('Savings Calculator 2022'!$A:$A,'Tier III PT'!$A5,'Savings Calculator 2022'!$E:$E)</f>
        <v>19.675268357991424</v>
      </c>
      <c r="E5" s="10">
        <f>AVERAGEIF('Savings Calculator 2022'!$A:$A,'Tier III PT'!$A5,'Savings Calculator 2022'!$I:$I)</f>
        <v>2287.8219020920264</v>
      </c>
      <c r="F5" s="10">
        <f>AVERAGEIF('Savings Calculator 2022'!$A:$A,'Tier III PT'!$A5,'Savings Calculator 2022'!$N:$N)</f>
        <v>33.045857057862989</v>
      </c>
      <c r="H5" s="391">
        <v>18</v>
      </c>
      <c r="L5" s="20"/>
    </row>
    <row r="6" spans="1:12" ht="28.8" x14ac:dyDescent="0.3">
      <c r="A6" s="19" t="s">
        <v>745</v>
      </c>
      <c r="C6" s="47">
        <f>AVERAGEIF('Savings Calculator 2022'!$A:$A,'Tier III PT'!$A6,'Savings Calculator 2022'!$D:$D)</f>
        <v>82.8</v>
      </c>
      <c r="D6" s="47">
        <f>AVERAGEIF('Savings Calculator 2022'!$A:$A,'Tier III PT'!$A6,'Savings Calculator 2022'!$E:$E)</f>
        <v>13.14452911254762</v>
      </c>
      <c r="E6" s="10">
        <f>AVERAGEIF('Savings Calculator 2022'!$A:$A,'Tier III PT'!$A6,'Savings Calculator 2022'!$I:$I)</f>
        <v>1493.7708695646511</v>
      </c>
      <c r="F6" s="10">
        <f>AVERAGEIF('Savings Calculator 2022'!$A:$A,'Tier III PT'!$A6,'Savings Calculator 2022'!$N:$N)</f>
        <v>22.078523463816783</v>
      </c>
      <c r="H6" s="391">
        <v>24</v>
      </c>
      <c r="L6" s="20"/>
    </row>
    <row r="7" spans="1:12" ht="28.8" x14ac:dyDescent="0.3">
      <c r="A7" s="19" t="s">
        <v>746</v>
      </c>
      <c r="C7" s="47">
        <f>AVERAGEIF('Savings Calculator 2022'!$A:$A,'Tier III PT'!$A7,'Savings Calculator 2022'!$D:$D)</f>
        <v>82.8</v>
      </c>
      <c r="D7" s="47">
        <f>AVERAGEIF('Savings Calculator 2022'!$A:$A,'Tier III PT'!$A7,'Savings Calculator 2022'!$E:$E)</f>
        <v>10.114715152105394</v>
      </c>
      <c r="E7" s="10">
        <f>AVERAGEIF('Savings Calculator 2022'!$A:$A,'Tier III PT'!$A7,'Savings Calculator 2022'!$I:$I)</f>
        <v>1149.4566841299991</v>
      </c>
      <c r="F7" s="10">
        <f>AVERAGEIF('Savings Calculator 2022'!$A:$A,'Tier III PT'!$A7,'Savings Calculator 2022'!$N:$N)</f>
        <v>16.989423805407011</v>
      </c>
      <c r="H7" s="391">
        <v>30</v>
      </c>
      <c r="L7" s="20"/>
    </row>
    <row r="8" spans="1:12" ht="28.8" x14ac:dyDescent="0.3">
      <c r="A8" s="19" t="s">
        <v>747</v>
      </c>
      <c r="C8" s="47">
        <f>AVERAGEIF('Savings Calculator 2022'!$A:$A,'Tier III PT'!$A8,'Savings Calculator 2022'!$D:$D)</f>
        <v>82.8</v>
      </c>
      <c r="D8" s="47">
        <f>AVERAGEIF('Savings Calculator 2022'!$A:$A,'Tier III PT'!$A8,'Savings Calculator 2022'!$E:$E)</f>
        <v>10.647068581163573</v>
      </c>
      <c r="E8" s="10">
        <f>AVERAGEIF('Savings Calculator 2022'!$A:$A,'Tier III PT'!$A8,'Savings Calculator 2022'!$I:$I)</f>
        <v>1209.9544043473675</v>
      </c>
      <c r="F8" s="10">
        <f>AVERAGEIF('Savings Calculator 2022'!$A:$A,'Tier III PT'!$A8,'Savings Calculator 2022'!$N:$N)</f>
        <v>17.883604005691595</v>
      </c>
      <c r="H8" s="391">
        <v>36</v>
      </c>
      <c r="I8" s="47"/>
      <c r="J8" s="47"/>
      <c r="K8" s="47"/>
      <c r="L8" s="20"/>
    </row>
    <row r="9" spans="1:12" ht="28.8" x14ac:dyDescent="0.3">
      <c r="A9" s="19" t="s">
        <v>748</v>
      </c>
      <c r="C9" s="47">
        <f>AVERAGEIF('Savings Calculator 2022'!$A:$A,'Tier III PT'!$A9,'Savings Calculator 2022'!$D:$D)</f>
        <v>82.8</v>
      </c>
      <c r="D9" s="47">
        <f>AVERAGEIF('Savings Calculator 2022'!$A:$A,'Tier III PT'!$A9,'Savings Calculator 2022'!$E:$E)</f>
        <v>12.487302656920239</v>
      </c>
      <c r="E9" s="10">
        <f>AVERAGEIF('Savings Calculator 2022'!$A:$A,'Tier III PT'!$A9,'Savings Calculator 2022'!$I:$I)</f>
        <v>1419.0823260864186</v>
      </c>
      <c r="F9" s="10">
        <f>AVERAGEIF('Savings Calculator 2022'!$A:$A,'Tier III PT'!$A9,'Savings Calculator 2022'!$N:$N)</f>
        <v>20.97459729062594</v>
      </c>
      <c r="H9" s="391">
        <v>42</v>
      </c>
      <c r="I9" s="47"/>
      <c r="J9" s="47"/>
      <c r="K9" s="186" t="s">
        <v>749</v>
      </c>
      <c r="L9" s="20"/>
    </row>
    <row r="10" spans="1:12" s="22" customFormat="1" x14ac:dyDescent="0.3">
      <c r="A10" s="54" t="s">
        <v>750</v>
      </c>
      <c r="C10" s="770">
        <f>AVERAGE(C2:C9)</f>
        <v>82.8</v>
      </c>
      <c r="D10" s="770">
        <f>AVERAGE(D2:D9)</f>
        <v>14.936551894359305</v>
      </c>
      <c r="E10" s="769">
        <f>AVERAGE(E2:E9)</f>
        <v>1721.51558859945</v>
      </c>
      <c r="F10" s="769">
        <f>AVERAGE(F2:F9)</f>
        <v>25.087525476709434</v>
      </c>
      <c r="H10" s="162"/>
      <c r="I10" s="162"/>
      <c r="J10" s="162"/>
      <c r="K10" s="186"/>
      <c r="L10" s="163"/>
    </row>
    <row r="11" spans="1:12" x14ac:dyDescent="0.3">
      <c r="C11" s="47"/>
      <c r="D11" s="47"/>
      <c r="F11" s="10"/>
      <c r="H11" s="47"/>
      <c r="I11" s="47"/>
      <c r="J11" s="47"/>
      <c r="K11" s="47"/>
      <c r="L11" s="20"/>
    </row>
    <row r="12" spans="1:12" x14ac:dyDescent="0.3">
      <c r="A12" s="19" t="s">
        <v>751</v>
      </c>
      <c r="C12" s="47">
        <f>AVERAGEIF('Savings Calculator 2022'!$A:$A,'Tier III PT'!$A12,'Savings Calculator 2022'!$D:$D)</f>
        <v>14.693476388342223</v>
      </c>
      <c r="D12" s="47">
        <f>AVERAGEIF('Savings Calculator 2022'!$A:$A,'Tier III PT'!$A12,'Savings Calculator 2022'!$E:$E)</f>
        <v>14.693476388342223</v>
      </c>
      <c r="E12" s="10">
        <f>AVERAGEIF('Savings Calculator 2022'!$A:$A,'Tier III PT'!$A12,'Savings Calculator 2022'!$I:$I)</f>
        <v>1154.7398137480388</v>
      </c>
      <c r="F12" s="10">
        <f>AVERAGEIF('Savings Calculator 2022'!$A:$A,'Tier III PT'!$A12,'Savings Calculator 2022'!$N:$N)</f>
        <v>19.755536697002618</v>
      </c>
    </row>
    <row r="13" spans="1:12" x14ac:dyDescent="0.3">
      <c r="F13" s="10"/>
    </row>
    <row r="14" spans="1:12" x14ac:dyDescent="0.3">
      <c r="A14" s="19" t="s">
        <v>752</v>
      </c>
      <c r="C14" s="47">
        <f>AVERAGEIF('Savings Calculator 2022'!$A:$A,'Tier III PT'!$A14,'Savings Calculator 2022'!$D:$D)</f>
        <v>0.13847999999999999</v>
      </c>
      <c r="D14" s="47">
        <f>AVERAGEIF('Savings Calculator 2022'!$A:$A,'Tier III PT'!$A14,'Savings Calculator 2022'!$E:$E)</f>
        <v>4.15E-3</v>
      </c>
      <c r="E14" s="10">
        <f>AVERAGEIF('Savings Calculator 2022'!$A:$A,'Tier III PT'!$A14,'Savings Calculator 2022'!$I:$I)</f>
        <v>0</v>
      </c>
      <c r="F14" s="10">
        <f>AVERAGEIF('Savings Calculator 2022'!$A:$A,'Tier III PT'!$A14,'Savings Calculator 2022'!$N:$N)</f>
        <v>4.6603032004491861E-4</v>
      </c>
    </row>
    <row r="15" spans="1:12" x14ac:dyDescent="0.3">
      <c r="A15" s="19" t="s">
        <v>753</v>
      </c>
      <c r="C15" s="47">
        <f>AVERAGEIF('Savings Calculator 2022'!$A:$A,'Tier III PT'!$A15,'Savings Calculator 2022'!$D:$D)</f>
        <v>109.74666666666667</v>
      </c>
      <c r="D15" s="47">
        <f>AVERAGEIF('Savings Calculator 2022'!$A:$A,'Tier III PT'!$A15,'Savings Calculator 2022'!$E:$E)</f>
        <v>98.772000000000006</v>
      </c>
      <c r="E15" s="10">
        <f>AVERAGEIF('Savings Calculator 2022'!$A:$A,'Tier III PT'!$A15,'Savings Calculator 2022'!$I:$I)</f>
        <v>0</v>
      </c>
      <c r="F15" s="10">
        <f>AVERAGEIF('Savings Calculator 2022'!$A:$A,'Tier III PT'!$A15,'Savings Calculator 2022'!$N:$N)</f>
        <v>221.83492419988772</v>
      </c>
    </row>
    <row r="16" spans="1:12" x14ac:dyDescent="0.3">
      <c r="F16" s="10"/>
    </row>
    <row r="17" spans="1:11" x14ac:dyDescent="0.3">
      <c r="A17" s="19" t="s">
        <v>168</v>
      </c>
      <c r="C17" s="47">
        <f>AVERAGEIF('Savings Calculator 2022'!$A:$A,'Tier III PT'!$A17,'Savings Calculator 2022'!$D:$D)</f>
        <v>43.5</v>
      </c>
      <c r="D17" s="47">
        <f>AVERAGEIF('Savings Calculator 2022'!$A:$A,'Tier III PT'!$A17,'Savings Calculator 2022'!$E:$E)</f>
        <v>43.498209301364632</v>
      </c>
      <c r="E17" s="35">
        <f>AVERAGEIF('Savings Calculator 2022'!$A:$A,'Tier III PT'!$A17,'Savings Calculator 2022'!$I:$I)</f>
        <v>2757.84</v>
      </c>
      <c r="F17" s="35">
        <f>AVERAGEIF('Savings Calculator 2022'!$A:$A,'Tier III PT'!$A17,'Savings Calculator 2022'!$N:$N)</f>
        <v>38.961731013196754</v>
      </c>
    </row>
    <row r="18" spans="1:11" x14ac:dyDescent="0.3">
      <c r="A18" s="19" t="s">
        <v>754</v>
      </c>
      <c r="C18" s="47" t="e">
        <f>AVERAGEIF('Savings Calculator 2022'!$A:$A,'Tier III PT'!$A18,'Savings Calculator 2022'!$D:$D)</f>
        <v>#DIV/0!</v>
      </c>
      <c r="D18" s="47">
        <f>AVERAGEIF('Savings Calculator 2022'!$A:$A,'Tier III PT'!$A18,'Savings Calculator 2022'!$E:$E)</f>
        <v>19.670000000000002</v>
      </c>
      <c r="E18" s="35">
        <f>AVERAGEIF('Savings Calculator 2022'!$A:$A,'Tier III PT'!$A18,'Savings Calculator 2022'!$I:$I)</f>
        <v>1545</v>
      </c>
      <c r="F18" s="35">
        <f>AVERAGEIF('Savings Calculator 2022'!$A:$A,'Tier III PT'!$A18,'Savings Calculator 2022'!$N:$N)</f>
        <v>22.023824205502528</v>
      </c>
    </row>
    <row r="19" spans="1:11" s="22" customFormat="1" x14ac:dyDescent="0.3">
      <c r="A19" s="54" t="s">
        <v>755</v>
      </c>
      <c r="C19" s="47">
        <f>AVERAGEIF('Savings Calculator 2022'!$A:$A,'Tier III PT'!$A19,'Savings Calculator 2022'!$D:$D)</f>
        <v>82.8</v>
      </c>
      <c r="D19" s="47">
        <f>AVERAGEIF('Savings Calculator 2022'!$A:$A,'Tier III PT'!$A19,'Savings Calculator 2022'!$E:$E)</f>
        <v>5.1065820000000004</v>
      </c>
      <c r="E19" s="35">
        <f>AVERAGEIF('Savings Calculator 2022'!$A:$A,'Tier III PT'!$A19,'Savings Calculator 2022'!$I:$I)</f>
        <v>0</v>
      </c>
      <c r="F19" s="35">
        <f>AVERAGEIF('Savings Calculator 2022'!$A:$A,'Tier III PT'!$A19,'Savings Calculator 2022'!$N:$N)</f>
        <v>5.7345109489051103</v>
      </c>
    </row>
    <row r="20" spans="1:11" x14ac:dyDescent="0.3">
      <c r="A20" s="19" t="s">
        <v>756</v>
      </c>
      <c r="C20" s="47">
        <f>AVERAGEIF('Savings Calculator 2022'!$A:$A,'Tier III PT'!$A20,'Savings Calculator 2022'!$D:$D)</f>
        <v>38.299999999999997</v>
      </c>
      <c r="D20" s="47">
        <f>AVERAGEIF('Savings Calculator 2022'!$A:$A,'Tier III PT'!$A20,'Savings Calculator 2022'!$E:$E)</f>
        <v>6.1589999999999998</v>
      </c>
      <c r="E20" s="35">
        <f>AVERAGEIF('Savings Calculator 2022'!$A:$A,'Tier III PT'!$A20,'Savings Calculator 2022'!$I:$I)</f>
        <v>30</v>
      </c>
      <c r="F20" s="35">
        <f>AVERAGEIF('Savings Calculator 2022'!$A:$A,'Tier III PT'!$A20,'Savings Calculator 2022'!$N:$N)</f>
        <v>5.5318113082537899</v>
      </c>
    </row>
    <row r="21" spans="1:11" x14ac:dyDescent="0.3">
      <c r="A21" s="19" t="s">
        <v>757</v>
      </c>
      <c r="C21" s="47" t="e">
        <f>AVERAGEIF('Savings Calculator 2022'!$A:$A,'Tier III PT'!$A21,'Savings Calculator 2022'!$D:$D)</f>
        <v>#DIV/0!</v>
      </c>
      <c r="D21" s="47" t="e">
        <f>AVERAGEIF('Savings Calculator 2022'!$A:$A,'Tier III PT'!$A21,'Savings Calculator 2022'!$E:$E)</f>
        <v>#DIV/0!</v>
      </c>
      <c r="E21" s="35" t="e">
        <f>AVERAGEIF('Savings Calculator 2022'!$A:$A,'Tier III PT'!$A21,'Savings Calculator 2022'!$I:$I)</f>
        <v>#DIV/0!</v>
      </c>
      <c r="F21" s="35" t="e">
        <f>AVERAGEIF('Savings Calculator 2022'!$A:$A,'Tier III PT'!$A21,'Savings Calculator 2022'!$N:$N)</f>
        <v>#VALUE!</v>
      </c>
    </row>
    <row r="22" spans="1:11" x14ac:dyDescent="0.3">
      <c r="A22" s="19" t="s">
        <v>758</v>
      </c>
      <c r="C22" s="47" t="e">
        <f>AVERAGEIF('Savings Calculator 2022'!$A:$A,'Tier III PT'!$A22,'Savings Calculator 2022'!$D:$D)</f>
        <v>#DIV/0!</v>
      </c>
      <c r="D22" s="47" t="e">
        <f>AVERAGEIF('Savings Calculator 2022'!$A:$A,'Tier III PT'!$A22,'Savings Calculator 2022'!$E:$E)</f>
        <v>#DIV/0!</v>
      </c>
      <c r="E22" s="35" t="e">
        <f>AVERAGEIF('Savings Calculator 2022'!$A:$A,'Tier III PT'!$A22,'Savings Calculator 2022'!$I:$I)</f>
        <v>#DIV/0!</v>
      </c>
      <c r="F22" s="35" t="e">
        <f>AVERAGEIF('Savings Calculator 2022'!$A:$A,'Tier III PT'!$A22,'Savings Calculator 2022'!$N:$N)</f>
        <v>#VALUE!</v>
      </c>
    </row>
    <row r="23" spans="1:11" x14ac:dyDescent="0.3">
      <c r="A23" s="19" t="s">
        <v>759</v>
      </c>
      <c r="C23" s="47" t="e">
        <f>AVERAGEIF('Savings Calculator 2022'!$A:$A,'Tier III PT'!$A23,'Savings Calculator 2022'!$D:$D)</f>
        <v>#DIV/0!</v>
      </c>
      <c r="D23" s="47" t="e">
        <f>AVERAGEIF('Savings Calculator 2022'!$A:$A,'Tier III PT'!$A23,'Savings Calculator 2022'!$E:$E)</f>
        <v>#DIV/0!</v>
      </c>
      <c r="E23" s="35" t="e">
        <f>AVERAGEIF('Savings Calculator 2022'!$A:$A,'Tier III PT'!$A23,'Savings Calculator 2022'!$I:$I)</f>
        <v>#DIV/0!</v>
      </c>
      <c r="F23" s="35" t="e">
        <f>AVERAGEIF('Savings Calculator 2022'!$A:$A,'Tier III PT'!$A23,'Savings Calculator 2022'!$N:$N)</f>
        <v>#VALUE!</v>
      </c>
    </row>
    <row r="24" spans="1:11" x14ac:dyDescent="0.3">
      <c r="A24" s="19" t="s">
        <v>760</v>
      </c>
      <c r="C24" s="47">
        <f>AVERAGEIF('Savings Calculator 2022'!$A:$A,'Tier III PT'!$A24,'Savings Calculator 2022'!$D:$D)</f>
        <v>12.1</v>
      </c>
      <c r="D24" s="47">
        <f>AVERAGEIF('Savings Calculator 2022'!$A:$A,'Tier III PT'!$A24,'Savings Calculator 2022'!$E:$E)</f>
        <v>0.1386</v>
      </c>
      <c r="E24" s="35">
        <f>AVERAGEIF('Savings Calculator 2022'!$A:$A,'Tier III PT'!$A24,'Savings Calculator 2022'!$I:$I)</f>
        <v>0</v>
      </c>
      <c r="F24" s="35">
        <f>AVERAGEIF('Savings Calculator 2022'!$A:$A,'Tier III PT'!$A24,'Savings Calculator 2022'!$N:$N)</f>
        <v>0.15564289724873667</v>
      </c>
      <c r="K24" s="47"/>
    </row>
    <row r="25" spans="1:11" x14ac:dyDescent="0.3">
      <c r="A25" s="19" t="s">
        <v>761</v>
      </c>
      <c r="C25" s="47">
        <f>AVERAGEIF('Savings Calculator 2022'!$A:$A,'Tier III PT'!$A25,'Savings Calculator 2022'!$D:$D)</f>
        <v>12.1</v>
      </c>
      <c r="D25" s="47">
        <f>AVERAGEIF('Savings Calculator 2022'!$A:$A,'Tier III PT'!$A25,'Savings Calculator 2022'!$E:$E)</f>
        <v>1.6</v>
      </c>
      <c r="E25" s="35">
        <f>AVERAGEIF('Savings Calculator 2022'!$A:$A,'Tier III PT'!$A25,'Savings Calculator 2022'!$I:$I)</f>
        <v>0</v>
      </c>
      <c r="F25" s="35">
        <f>AVERAGEIF('Savings Calculator 2022'!$A:$A,'Tier III PT'!$A25,'Savings Calculator 2022'!$N:$N)</f>
        <v>1.7967434025828188</v>
      </c>
      <c r="H25" s="47"/>
      <c r="I25" s="47"/>
      <c r="J25" s="47"/>
      <c r="K25" s="47"/>
    </row>
    <row r="26" spans="1:11" x14ac:dyDescent="0.3">
      <c r="A26" s="19" t="s">
        <v>762</v>
      </c>
      <c r="C26" s="47">
        <f>AVERAGEIF('Savings Calculator 2022'!$A:$A,'Tier III PT'!$A26,'Savings Calculator 2022'!$D:$D)</f>
        <v>15.02</v>
      </c>
      <c r="D26" s="47">
        <f>AVERAGEIF('Savings Calculator 2022'!$A:$A,'Tier III PT'!$A26,'Savings Calculator 2022'!$E:$E)</f>
        <v>7.69</v>
      </c>
      <c r="E26" s="35">
        <f>AVERAGEIF('Savings Calculator 2022'!$A:$A,'Tier III PT'!$A26,'Savings Calculator 2022'!$I:$I)</f>
        <v>0</v>
      </c>
      <c r="F26" s="35">
        <f>AVERAGEIF('Savings Calculator 2022'!$A:$A,'Tier III PT'!$A26,'Savings Calculator 2022'!$N:$N)</f>
        <v>17.271195957327347</v>
      </c>
      <c r="H26" s="47"/>
      <c r="I26" s="47"/>
      <c r="J26" s="47"/>
      <c r="K26" s="47"/>
    </row>
    <row r="27" spans="1:11" x14ac:dyDescent="0.3">
      <c r="A27" s="19" t="s">
        <v>763</v>
      </c>
      <c r="C27" s="47">
        <f>AVERAGEIF('Savings Calculator 2022'!$A:$A,'Tier III PT'!$A27,'Savings Calculator 2022'!$D:$D)</f>
        <v>137.4</v>
      </c>
      <c r="D27" s="47">
        <f>AVERAGEIF('Savings Calculator 2022'!$A:$A,'Tier III PT'!$A27,'Savings Calculator 2022'!$E:$E)</f>
        <v>137.4</v>
      </c>
      <c r="E27" s="35">
        <f>AVERAGEIF('Savings Calculator 2022'!$A:$A,'Tier III PT'!$A27,'Savings Calculator 2022'!$I:$I)</f>
        <v>13885.505186780467</v>
      </c>
      <c r="F27" s="35">
        <f>AVERAGEIF('Savings Calculator 2022'!$A:$A,'Tier III PT'!$A27,'Savings Calculator 2022'!$N:$N)</f>
        <v>122.85308053959488</v>
      </c>
    </row>
    <row r="28" spans="1:11" x14ac:dyDescent="0.3">
      <c r="A28" s="19" t="s">
        <v>764</v>
      </c>
      <c r="C28" s="47">
        <f>AVERAGEIF('Savings Calculator 2022'!$A:$A,'Tier III PT'!$A28,'Savings Calculator 2022'!$D:$D)</f>
        <v>7.8324999999999996</v>
      </c>
      <c r="D28" s="47">
        <f>AVERAGEIF('Savings Calculator 2022'!$A:$A,'Tier III PT'!$A28,'Savings Calculator 2022'!$E:$E)</f>
        <v>7.8324999999999996</v>
      </c>
      <c r="E28" s="35">
        <f>AVERAGEIF('Savings Calculator 2022'!$A:$A,'Tier III PT'!$A28,'Savings Calculator 2022'!$I:$I)</f>
        <v>757.50812185089751</v>
      </c>
      <c r="F28" s="35">
        <f>AVERAGEIF('Savings Calculator 2022'!$A:$A,'Tier III PT'!$A28,'Savings Calculator 2022'!$N:$N)</f>
        <v>4.3659948778603646</v>
      </c>
    </row>
    <row r="29" spans="1:11" x14ac:dyDescent="0.3">
      <c r="A29" s="19" t="s">
        <v>765</v>
      </c>
      <c r="C29" s="47">
        <f>AVERAGEIF('Savings Calculator 2022'!$A:$A,'Tier III PT'!$A29,'Savings Calculator 2022'!$D:$D)</f>
        <v>82.8</v>
      </c>
      <c r="D29" s="47">
        <f>AVERAGEIF('Savings Calculator 2022'!$A:$A,'Tier III PT'!$A29,'Savings Calculator 2022'!$E:$E)</f>
        <v>48.316750616466237</v>
      </c>
      <c r="E29" s="35">
        <f>AVERAGEIF('Savings Calculator 2022'!$A:$A,'Tier III PT'!$A29,'Savings Calculator 2022'!$I:$I)</f>
        <v>4473.0651941800925</v>
      </c>
      <c r="F29" s="35">
        <f>AVERAGEIF('Savings Calculator 2022'!$A:$A,'Tier III PT'!$A29,'Savings Calculator 2022'!$N:$N)</f>
        <v>97.47653452926636</v>
      </c>
    </row>
    <row r="30" spans="1:11" x14ac:dyDescent="0.3">
      <c r="A30" s="19" t="s">
        <v>766</v>
      </c>
      <c r="C30" s="47" t="e">
        <f>AVERAGEIF('Savings Calculator 2022'!$A:$A,'Tier III PT'!$A30,'Savings Calculator 2022'!$D:$D)</f>
        <v>#DIV/0!</v>
      </c>
      <c r="D30" s="47" t="e">
        <f>AVERAGEIF('Savings Calculator 2022'!$A:$A,'Tier III PT'!$A30,'Savings Calculator 2022'!$E:$E)</f>
        <v>#DIV/0!</v>
      </c>
      <c r="E30" s="35" t="e">
        <f>AVERAGEIF('Savings Calculator 2022'!$A:$A,'Tier III PT'!$A30,'Savings Calculator 2022'!$I:$I)</f>
        <v>#DIV/0!</v>
      </c>
      <c r="F30" s="35" t="e">
        <f>AVERAGEIF('Savings Calculator 2022'!$A:$A,'Tier III PT'!$A30,'Savings Calculator 2022'!$N:$N)</f>
        <v>#DIV/0!</v>
      </c>
    </row>
    <row r="31" spans="1:11" x14ac:dyDescent="0.3">
      <c r="A31" s="19" t="s">
        <v>767</v>
      </c>
      <c r="C31" s="47">
        <f>AVERAGEIF('Savings Calculator 2022'!$A:$A,'Tier III PT'!$A31,'Savings Calculator 2022'!$D:$D)</f>
        <v>13.832890000000001</v>
      </c>
      <c r="D31" s="47">
        <f>AVERAGEIF('Savings Calculator 2022'!$A:$A,'Tier III PT'!$A31,'Savings Calculator 2022'!$E:$E)</f>
        <v>13.832890000000001</v>
      </c>
      <c r="E31" s="35">
        <f>AVERAGEIF('Savings Calculator 2022'!$A:$A,'Tier III PT'!$A31,'Savings Calculator 2022'!$I:$I)</f>
        <v>121.401</v>
      </c>
      <c r="F31" s="35">
        <f>AVERAGEIF('Savings Calculator 2022'!$A:$A,'Tier III PT'!$A31,'Savings Calculator 2022'!$N:$N)</f>
        <v>3.102155992769231</v>
      </c>
    </row>
    <row r="32" spans="1:11" x14ac:dyDescent="0.3">
      <c r="A32" s="19" t="s">
        <v>768</v>
      </c>
      <c r="C32" s="47">
        <f>AVERAGEIF('Savings Calculator 2022'!$A:$A,'Tier III PT'!$A32,'Savings Calculator 2022'!$D:$D)</f>
        <v>82.8</v>
      </c>
      <c r="D32" s="47">
        <f>AVERAGEIF('Savings Calculator 2022'!$A:$A,'Tier III PT'!$A32,'Savings Calculator 2022'!$E:$E)</f>
        <v>14.115226927082663</v>
      </c>
      <c r="E32" s="35">
        <f>AVERAGEIF('Savings Calculator 2022'!$A:$A,'Tier III PT'!$A32,'Savings Calculator 2022'!$I:$I)</f>
        <v>1584.480935551343</v>
      </c>
      <c r="F32" s="35">
        <f>AVERAGEIF('Savings Calculator 2022'!$A:$A,'Tier III PT'!$A32,'Savings Calculator 2022'!$N:$N)</f>
        <v>28.46507276505136</v>
      </c>
    </row>
    <row r="33" spans="1:6" x14ac:dyDescent="0.3">
      <c r="A33" s="19" t="s">
        <v>769</v>
      </c>
      <c r="C33" s="47">
        <f>AVERAGEIF('Savings Calculator 2022'!$A:$A,'Tier III PT'!$A33,'Savings Calculator 2022'!$D:$D)</f>
        <v>2.1190000000000002</v>
      </c>
      <c r="D33" s="47">
        <f>AVERAGEIF('Savings Calculator 2022'!$A:$A,'Tier III PT'!$A33,'Savings Calculator 2022'!$E:$E)</f>
        <v>2.1190000000000002</v>
      </c>
      <c r="E33" s="35">
        <f>AVERAGEIF('Savings Calculator 2022'!$A:$A,'Tier III PT'!$A33,'Savings Calculator 2022'!$I:$I)</f>
        <v>258.18</v>
      </c>
      <c r="F33" s="35">
        <f>AVERAGEIF('Savings Calculator 2022'!$A:$A,'Tier III PT'!$A33,'Savings Calculator 2022'!$N:$N)</f>
        <v>3.5584995056934314</v>
      </c>
    </row>
    <row r="34" spans="1:6" x14ac:dyDescent="0.3">
      <c r="A34" s="19" t="s">
        <v>770</v>
      </c>
      <c r="C34" s="47">
        <f>AVERAGEIF('Savings Calculator 2022'!$A:$A,'Tier III PT'!$A34,'Savings Calculator 2022'!$D:$D)</f>
        <v>2.06</v>
      </c>
      <c r="D34" s="47">
        <f>AVERAGEIF('Savings Calculator 2022'!$A:$A,'Tier III PT'!$A34,'Savings Calculator 2022'!$E:$E)</f>
        <v>2.06</v>
      </c>
      <c r="E34" s="35">
        <f>AVERAGEIF('Savings Calculator 2022'!$A:$A,'Tier III PT'!$A34,'Savings Calculator 2022'!$I:$I)</f>
        <v>90.12370967741937</v>
      </c>
      <c r="F34" s="35">
        <f>AVERAGEIF('Savings Calculator 2022'!$A:$A,'Tier III PT'!$A34,'Savings Calculator 2022'!$N:$N)</f>
        <v>2.3095219350189273</v>
      </c>
    </row>
    <row r="35" spans="1:6" x14ac:dyDescent="0.3">
      <c r="A35" s="19" t="s">
        <v>771</v>
      </c>
      <c r="C35" s="47" t="e">
        <f>AVERAGEIF('Savings Calculator 2022'!$A:$A,'Tier III PT'!$A35,'Savings Calculator 2022'!$D:$D)</f>
        <v>#DIV/0!</v>
      </c>
      <c r="D35" s="47" t="e">
        <f>AVERAGEIF('Savings Calculator 2022'!$A:$A,'Tier III PT'!$A35,'Savings Calculator 2022'!$E:$E)</f>
        <v>#DIV/0!</v>
      </c>
      <c r="E35" s="35" t="e">
        <f>AVERAGEIF('Savings Calculator 2022'!$A:$A,'Tier III PT'!$A35,'Savings Calculator 2022'!$I:$I)</f>
        <v>#DIV/0!</v>
      </c>
      <c r="F35" s="35" t="e">
        <f>AVERAGEIF('Savings Calculator 2022'!$A:$A,'Tier III PT'!$A35,'Savings Calculator 2022'!$N:$N)</f>
        <v>#DIV/0!</v>
      </c>
    </row>
    <row r="38" spans="1:6" ht="15" thickBot="1" x14ac:dyDescent="0.35"/>
    <row r="39" spans="1:6" x14ac:dyDescent="0.3">
      <c r="C39" s="138"/>
      <c r="D39" s="191" t="s">
        <v>772</v>
      </c>
      <c r="E39" s="191" t="s">
        <v>773</v>
      </c>
      <c r="F39" s="192" t="s">
        <v>774</v>
      </c>
    </row>
    <row r="40" spans="1:6" x14ac:dyDescent="0.3">
      <c r="C40" s="193" t="s">
        <v>39</v>
      </c>
      <c r="D40" s="187">
        <f>D10</f>
        <v>14.936551894359305</v>
      </c>
      <c r="E40" s="187">
        <f>AVERAGE(139,161.3)</f>
        <v>150.15</v>
      </c>
      <c r="F40" s="188">
        <f>E40*D40</f>
        <v>2242.7232669380496</v>
      </c>
    </row>
    <row r="41" spans="1:6" x14ac:dyDescent="0.3">
      <c r="C41" s="194" t="s">
        <v>40</v>
      </c>
      <c r="D41" s="187">
        <f>D17</f>
        <v>43.498209301364632</v>
      </c>
      <c r="E41" s="189">
        <v>157.19999999999999</v>
      </c>
      <c r="F41" s="188">
        <f>E41*D41</f>
        <v>6837.9185021745197</v>
      </c>
    </row>
    <row r="42" spans="1:6" ht="15" thickBot="1" x14ac:dyDescent="0.35">
      <c r="C42" s="120" t="s">
        <v>775</v>
      </c>
      <c r="D42" s="187">
        <f>D12</f>
        <v>14.693476388342223</v>
      </c>
      <c r="E42" s="187">
        <f>AVERAGE(139,161.3)</f>
        <v>150.15</v>
      </c>
      <c r="F42" s="188">
        <f t="shared" ref="F42:F49" si="0">E42*D42</f>
        <v>2206.2254797095848</v>
      </c>
    </row>
    <row r="43" spans="1:6" x14ac:dyDescent="0.3">
      <c r="A43" s="264" t="s">
        <v>731</v>
      </c>
      <c r="B43" s="259"/>
      <c r="C43" s="120" t="s">
        <v>776</v>
      </c>
      <c r="D43" s="187" t="e">
        <f>AVERAGE(D21:D23)</f>
        <v>#DIV/0!</v>
      </c>
      <c r="E43" s="189">
        <v>157.19999999999999</v>
      </c>
      <c r="F43" s="188" t="e">
        <f t="shared" si="0"/>
        <v>#DIV/0!</v>
      </c>
    </row>
    <row r="44" spans="1:6" x14ac:dyDescent="0.3">
      <c r="A44" s="260" t="s">
        <v>777</v>
      </c>
      <c r="B44" s="261">
        <v>1</v>
      </c>
      <c r="C44" s="120" t="s">
        <v>778</v>
      </c>
      <c r="D44" s="187">
        <f>D25</f>
        <v>1.6</v>
      </c>
      <c r="E44" s="187">
        <f>AVERAGE(139,161.3,117)</f>
        <v>139.1</v>
      </c>
      <c r="F44" s="188">
        <f t="shared" si="0"/>
        <v>222.56</v>
      </c>
    </row>
    <row r="45" spans="1:6" x14ac:dyDescent="0.3">
      <c r="A45" s="260" t="s">
        <v>779</v>
      </c>
      <c r="B45" s="261">
        <v>25</v>
      </c>
      <c r="C45" s="120" t="s">
        <v>780</v>
      </c>
      <c r="D45" s="187"/>
      <c r="E45" s="209"/>
      <c r="F45" s="188">
        <f t="shared" si="0"/>
        <v>0</v>
      </c>
    </row>
    <row r="46" spans="1:6" x14ac:dyDescent="0.3">
      <c r="A46" s="260" t="s">
        <v>781</v>
      </c>
      <c r="B46" s="203">
        <v>9232</v>
      </c>
      <c r="C46" s="246" t="s">
        <v>42</v>
      </c>
      <c r="D46" s="393"/>
      <c r="E46" s="244"/>
      <c r="F46" s="245">
        <f t="shared" si="0"/>
        <v>0</v>
      </c>
    </row>
    <row r="47" spans="1:6" x14ac:dyDescent="0.3">
      <c r="A47" s="260" t="s">
        <v>782</v>
      </c>
      <c r="B47" s="392">
        <f>B44*B46/(B45*1000)</f>
        <v>0.36928</v>
      </c>
      <c r="C47" s="246" t="s">
        <v>41</v>
      </c>
      <c r="D47" s="393">
        <f>B50</f>
        <v>5.8223146666666672</v>
      </c>
      <c r="E47" s="244">
        <f>AVERAGE(139,161.3)</f>
        <v>150.15</v>
      </c>
      <c r="F47" s="245">
        <f>E47*D47</f>
        <v>874.22054720000006</v>
      </c>
    </row>
    <row r="48" spans="1:6" x14ac:dyDescent="0.3">
      <c r="A48" s="262"/>
      <c r="B48" s="261"/>
      <c r="C48" s="120" t="s">
        <v>783</v>
      </c>
      <c r="D48" s="187">
        <f>D15</f>
        <v>98.772000000000006</v>
      </c>
      <c r="E48" s="187">
        <f>AVERAGE(139,161.3)</f>
        <v>150.15</v>
      </c>
      <c r="F48" s="188">
        <f>E48*D48</f>
        <v>14830.615800000001</v>
      </c>
    </row>
    <row r="49" spans="1:6" ht="15" thickBot="1" x14ac:dyDescent="0.35">
      <c r="A49" s="260" t="s">
        <v>784</v>
      </c>
      <c r="B49" s="455">
        <f>(90+383)/(20+10)</f>
        <v>15.766666666666667</v>
      </c>
      <c r="C49" s="133" t="s">
        <v>43</v>
      </c>
      <c r="D49" s="135"/>
      <c r="E49" s="190"/>
      <c r="F49" s="243">
        <f t="shared" si="0"/>
        <v>0</v>
      </c>
    </row>
    <row r="50" spans="1:6" ht="15" thickBot="1" x14ac:dyDescent="0.35">
      <c r="A50" s="263" t="s">
        <v>785</v>
      </c>
      <c r="B50" s="456">
        <f>B49*B47</f>
        <v>5.8223146666666672</v>
      </c>
    </row>
  </sheetData>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EA1A6-C08E-42E5-8BF2-E5FE46777017}">
  <dimension ref="A1:W184"/>
  <sheetViews>
    <sheetView zoomScale="80" zoomScaleNormal="80" workbookViewId="0">
      <selection activeCell="F32" sqref="F32"/>
    </sheetView>
  </sheetViews>
  <sheetFormatPr defaultColWidth="19" defaultRowHeight="14.4" x14ac:dyDescent="0.3"/>
  <cols>
    <col min="1" max="1" width="35.5546875" style="19" customWidth="1"/>
    <col min="2" max="2" width="6.6640625" customWidth="1"/>
    <col min="3" max="3" width="26.6640625" customWidth="1"/>
    <col min="7" max="7" width="21.6640625" customWidth="1"/>
    <col min="18" max="18" width="21.6640625" bestFit="1" customWidth="1"/>
    <col min="19" max="20" width="19" style="400"/>
  </cols>
  <sheetData>
    <row r="1" spans="1:22" ht="13.2" customHeight="1" x14ac:dyDescent="0.3">
      <c r="D1" s="164" t="s">
        <v>786</v>
      </c>
      <c r="E1" s="1077" t="s">
        <v>787</v>
      </c>
      <c r="F1" s="1077"/>
      <c r="G1" s="1077"/>
      <c r="H1" s="1077"/>
      <c r="I1" s="1078" t="s">
        <v>788</v>
      </c>
      <c r="J1" s="1079"/>
      <c r="K1" s="1080" t="s">
        <v>789</v>
      </c>
      <c r="L1" s="1081"/>
      <c r="M1" s="1081"/>
      <c r="N1" s="1081"/>
      <c r="O1" s="1081"/>
      <c r="P1" s="1081"/>
      <c r="Q1" s="1082"/>
      <c r="R1" s="399"/>
    </row>
    <row r="2" spans="1:22" ht="57.75" customHeight="1" x14ac:dyDescent="0.3">
      <c r="A2" s="401" t="s">
        <v>790</v>
      </c>
      <c r="B2" s="402" t="s">
        <v>791</v>
      </c>
      <c r="C2" s="402" t="s">
        <v>792</v>
      </c>
      <c r="D2" s="164" t="s">
        <v>737</v>
      </c>
      <c r="E2" s="165" t="s">
        <v>793</v>
      </c>
      <c r="F2" s="165" t="s">
        <v>794</v>
      </c>
      <c r="G2" s="165" t="s">
        <v>795</v>
      </c>
      <c r="H2" s="165" t="s">
        <v>796</v>
      </c>
      <c r="I2" s="403" t="s">
        <v>797</v>
      </c>
      <c r="J2" s="403" t="s">
        <v>798</v>
      </c>
      <c r="K2" s="404" t="s">
        <v>799</v>
      </c>
      <c r="L2" s="405" t="s">
        <v>800</v>
      </c>
      <c r="M2" s="406" t="s">
        <v>801</v>
      </c>
      <c r="N2" s="406" t="s">
        <v>740</v>
      </c>
      <c r="O2" s="407" t="s">
        <v>802</v>
      </c>
      <c r="P2" s="408" t="s">
        <v>803</v>
      </c>
      <c r="Q2" s="408" t="s">
        <v>804</v>
      </c>
      <c r="R2" s="407" t="s">
        <v>805</v>
      </c>
      <c r="S2" s="409" t="s">
        <v>806</v>
      </c>
      <c r="T2" s="409" t="s">
        <v>807</v>
      </c>
    </row>
    <row r="3" spans="1:22" x14ac:dyDescent="0.3">
      <c r="A3" s="1065" t="s">
        <v>741</v>
      </c>
      <c r="B3" s="1075" t="s">
        <v>808</v>
      </c>
      <c r="C3" s="410" t="s">
        <v>948</v>
      </c>
      <c r="D3" s="411">
        <v>82.8</v>
      </c>
      <c r="E3" s="412">
        <v>20.710808797885711</v>
      </c>
      <c r="F3" s="332">
        <v>3494.932571428571</v>
      </c>
      <c r="G3" s="413">
        <f t="shared" ref="G3:G66" si="0">E3/$G$156</f>
        <v>2.274913092913633</v>
      </c>
      <c r="H3" s="334">
        <f t="shared" ref="H3:H31" si="1">E3/D3</f>
        <v>0.25013054103726706</v>
      </c>
      <c r="I3" s="335">
        <v>2408.2335811495018</v>
      </c>
      <c r="J3" s="414">
        <f>I3*'[5]%Non-FF'!$AF$3/1000</f>
        <v>1.9265868649196299E-2</v>
      </c>
      <c r="K3" s="414">
        <f t="shared" ref="K3:K66" si="2">G3-J3</f>
        <v>2.2556472242644365</v>
      </c>
      <c r="L3" s="414">
        <f>K3*'[5]FR SO Table'!$D$2</f>
        <v>1.9849695573527044</v>
      </c>
      <c r="M3" s="410">
        <v>15</v>
      </c>
      <c r="N3" s="414">
        <f t="shared" ref="N3:N66" si="3">K3*M3</f>
        <v>33.834708363966548</v>
      </c>
      <c r="O3" s="414">
        <f>N3*'[5]FR SO Table'!$D$2</f>
        <v>29.774543360290565</v>
      </c>
      <c r="P3" s="415">
        <f>N3*F156</f>
        <v>2056.4735743618867</v>
      </c>
      <c r="Q3" s="416">
        <f>G3*M3*'[5]FR SO Table'!$D$2*F156</f>
        <v>1825.1536747922362</v>
      </c>
      <c r="R3" s="341" t="s">
        <v>810</v>
      </c>
      <c r="S3" s="400">
        <f>E3*VLOOKUP(R3,'[5]FR SO Table'!$A$35:$B$42,2,FALSE)</f>
        <v>3110.245711222487</v>
      </c>
      <c r="T3" s="400">
        <f>S3*M3*(1-J3)</f>
        <v>45754.861888250227</v>
      </c>
    </row>
    <row r="4" spans="1:22" x14ac:dyDescent="0.3">
      <c r="A4" s="1066"/>
      <c r="B4" s="1074"/>
      <c r="C4" s="410" t="s">
        <v>949</v>
      </c>
      <c r="D4" s="411">
        <v>82.8</v>
      </c>
      <c r="E4" s="412">
        <v>28.282237204235166</v>
      </c>
      <c r="F4" s="332">
        <v>3991.6851800554014</v>
      </c>
      <c r="G4" s="413">
        <f t="shared" si="0"/>
        <v>3.106572627881719</v>
      </c>
      <c r="H4" s="334">
        <f t="shared" si="1"/>
        <v>0.34157291309462762</v>
      </c>
      <c r="I4" s="335">
        <v>3288.6322330506009</v>
      </c>
      <c r="J4" s="414">
        <f>I4*'[5]%Non-FF'!$AF$3/1000</f>
        <v>2.6309057864405197E-2</v>
      </c>
      <c r="K4" s="414">
        <f t="shared" si="2"/>
        <v>3.0802635700173138</v>
      </c>
      <c r="L4" s="414">
        <f>K4*'[5]FR SO Table'!$D$2</f>
        <v>2.7106319416152367</v>
      </c>
      <c r="M4" s="410">
        <v>15</v>
      </c>
      <c r="N4" s="414">
        <f t="shared" si="3"/>
        <v>46.203953550259705</v>
      </c>
      <c r="O4" s="414">
        <f>N4*'[5]FR SO Table'!$D$2</f>
        <v>40.659479124228547</v>
      </c>
      <c r="P4" s="415">
        <f>N4*F156</f>
        <v>2808.2762967847848</v>
      </c>
      <c r="Q4" s="416">
        <f>G4*M4*'[5]FR SO Table'!$D$2*F156</f>
        <v>2492.3907930589917</v>
      </c>
      <c r="R4" s="341" t="s">
        <v>810</v>
      </c>
      <c r="S4" s="400">
        <f>E4*VLOOKUP(R4,'[5]FR SO Table'!$A$35:$B$42,2,FALSE)</f>
        <v>4247.2849721460161</v>
      </c>
      <c r="T4" s="400">
        <f t="shared" ref="T4:T67" si="4">S4*M4*(1-J4)</f>
        <v>62033.143590708118</v>
      </c>
      <c r="U4" s="47"/>
      <c r="V4" s="47"/>
    </row>
    <row r="5" spans="1:22" x14ac:dyDescent="0.3">
      <c r="A5" s="1066"/>
      <c r="B5" s="1074"/>
      <c r="C5" s="410" t="s">
        <v>950</v>
      </c>
      <c r="D5" s="411">
        <v>82.8</v>
      </c>
      <c r="E5" s="412">
        <v>35.123496813461543</v>
      </c>
      <c r="F5" s="332">
        <v>3754.1466666666665</v>
      </c>
      <c r="G5" s="413">
        <f t="shared" si="0"/>
        <v>3.8580290875946339</v>
      </c>
      <c r="H5" s="334">
        <f t="shared" si="1"/>
        <v>0.4241968214186177</v>
      </c>
      <c r="I5" s="335">
        <v>4084.1275364490166</v>
      </c>
      <c r="J5" s="414">
        <f>I5*'[5]%Non-FF'!$AF$3/1000</f>
        <v>3.2673020291592615E-2</v>
      </c>
      <c r="K5" s="414">
        <f t="shared" si="2"/>
        <v>3.8253560673030411</v>
      </c>
      <c r="L5" s="414">
        <f>K5*'[5]FR SO Table'!$D$2</f>
        <v>3.3663133392266764</v>
      </c>
      <c r="M5" s="410">
        <v>15</v>
      </c>
      <c r="N5" s="414">
        <f t="shared" si="3"/>
        <v>57.380341009545617</v>
      </c>
      <c r="O5" s="414">
        <f>N5*'[5]FR SO Table'!$D$2</f>
        <v>50.494700088400151</v>
      </c>
      <c r="P5" s="415">
        <f>N5*F156</f>
        <v>3487.5771265601825</v>
      </c>
      <c r="Q5" s="416">
        <f>G5*M5*'[5]FR SO Table'!$D$2*F156</f>
        <v>3095.281304860825</v>
      </c>
      <c r="R5" s="341" t="s">
        <v>810</v>
      </c>
      <c r="S5" s="400">
        <f>E5*VLOOKUP(R5,'[5]FR SO Table'!$A$35:$B$42,2,FALSE)</f>
        <v>5274.6711339615877</v>
      </c>
      <c r="T5" s="400">
        <f t="shared" si="4"/>
        <v>76534.975454552754</v>
      </c>
      <c r="U5" s="47"/>
      <c r="V5" s="47"/>
    </row>
    <row r="6" spans="1:22" x14ac:dyDescent="0.3">
      <c r="A6" s="1066"/>
      <c r="B6" s="1074"/>
      <c r="C6" s="410" t="s">
        <v>951</v>
      </c>
      <c r="D6" s="411">
        <v>82.8</v>
      </c>
      <c r="E6" s="412">
        <v>49.55582941120322</v>
      </c>
      <c r="F6" s="332">
        <v>4342.6274193548397</v>
      </c>
      <c r="G6" s="413">
        <f t="shared" si="0"/>
        <v>5.4433028790864704</v>
      </c>
      <c r="H6" s="334">
        <f t="shared" si="1"/>
        <v>0.59850035520776834</v>
      </c>
      <c r="I6" s="335">
        <v>5762.3057454887476</v>
      </c>
      <c r="J6" s="414">
        <f>I6*'[5]%Non-FF'!$AF$3/1000</f>
        <v>4.6098445963910661E-2</v>
      </c>
      <c r="K6" s="414">
        <f t="shared" si="2"/>
        <v>5.3972044331225595</v>
      </c>
      <c r="L6" s="414">
        <f>K6*'[5]FR SO Table'!$D$2</f>
        <v>4.7495399011478527</v>
      </c>
      <c r="M6" s="410">
        <v>15</v>
      </c>
      <c r="N6" s="414">
        <f t="shared" si="3"/>
        <v>80.958066496838399</v>
      </c>
      <c r="O6" s="414">
        <f>N6*'[5]FR SO Table'!$D$2</f>
        <v>71.243098517217803</v>
      </c>
      <c r="P6" s="415">
        <f>N6*F156</f>
        <v>4920.6312816778382</v>
      </c>
      <c r="Q6" s="416">
        <f>G6*M6*'[5]FR SO Table'!$D$2*F156</f>
        <v>4367.1401266795592</v>
      </c>
      <c r="R6" s="341" t="s">
        <v>810</v>
      </c>
      <c r="S6" s="400">
        <f>E6*VLOOKUP(R6,'[5]FR SO Table'!$A$35:$B$42,2,FALSE)</f>
        <v>7442.0466818274444</v>
      </c>
      <c r="T6" s="400">
        <f t="shared" si="4"/>
        <v>106484.69842506482</v>
      </c>
      <c r="U6" s="47"/>
      <c r="V6" s="47"/>
    </row>
    <row r="7" spans="1:22" x14ac:dyDescent="0.3">
      <c r="A7" s="1066"/>
      <c r="B7" s="1074"/>
      <c r="C7" s="410" t="s">
        <v>952</v>
      </c>
      <c r="D7" s="411">
        <v>82.8</v>
      </c>
      <c r="E7" s="412">
        <v>65.030340962812474</v>
      </c>
      <c r="F7" s="332">
        <v>5036.2559999999994</v>
      </c>
      <c r="G7" s="413">
        <f t="shared" si="0"/>
        <v>7.1430515117324784</v>
      </c>
      <c r="H7" s="334">
        <f t="shared" si="1"/>
        <v>0.7853905913383149</v>
      </c>
      <c r="I7" s="335">
        <v>7561.6675538154041</v>
      </c>
      <c r="J7" s="414">
        <f>I7*'[5]%Non-FF'!$AF$3/1000</f>
        <v>6.049334043052413E-2</v>
      </c>
      <c r="K7" s="414">
        <f t="shared" si="2"/>
        <v>7.0825581713019545</v>
      </c>
      <c r="L7" s="414">
        <f>K7*'[5]FR SO Table'!$D$2</f>
        <v>6.2326511907457212</v>
      </c>
      <c r="M7" s="410">
        <v>15</v>
      </c>
      <c r="N7" s="414">
        <f t="shared" si="3"/>
        <v>106.23837256952932</v>
      </c>
      <c r="O7" s="414">
        <f>N7*'[5]FR SO Table'!$D$2</f>
        <v>93.489767861185811</v>
      </c>
      <c r="P7" s="415">
        <f>N7*F156</f>
        <v>6457.1682847759921</v>
      </c>
      <c r="Q7" s="416">
        <f>G7*M7*'[5]FR SO Table'!$D$2*F156</f>
        <v>5730.8416556569209</v>
      </c>
      <c r="R7" s="341" t="s">
        <v>810</v>
      </c>
      <c r="S7" s="400">
        <f>E7*VLOOKUP(R7,'[5]FR SO Table'!$A$35:$B$42,2,FALSE)</f>
        <v>9765.9314540903633</v>
      </c>
      <c r="T7" s="400">
        <f t="shared" si="4"/>
        <v>137627.36457025367</v>
      </c>
      <c r="U7" s="47"/>
      <c r="V7" s="47"/>
    </row>
    <row r="8" spans="1:22" x14ac:dyDescent="0.3">
      <c r="A8" s="1066"/>
      <c r="B8" s="1074"/>
      <c r="C8" s="410" t="s">
        <v>953</v>
      </c>
      <c r="D8" s="411">
        <v>82.8</v>
      </c>
      <c r="E8" s="412">
        <v>45.961548274237771</v>
      </c>
      <c r="F8" s="332">
        <v>5481.4246666666677</v>
      </c>
      <c r="G8" s="413">
        <f t="shared" si="0"/>
        <v>5.0485004694900892</v>
      </c>
      <c r="H8" s="334">
        <f t="shared" si="1"/>
        <v>0.55509116273234027</v>
      </c>
      <c r="I8" s="335">
        <v>5344.3660783997411</v>
      </c>
      <c r="J8" s="414">
        <f>I8*'[5]%Non-FF'!$AF$3/1000</f>
        <v>4.2754928627198562E-2</v>
      </c>
      <c r="K8" s="414">
        <f t="shared" si="2"/>
        <v>5.0057455408628906</v>
      </c>
      <c r="L8" s="414">
        <f>K8*'[5]FR SO Table'!$D$2</f>
        <v>4.4050560759593447</v>
      </c>
      <c r="M8" s="410">
        <v>15</v>
      </c>
      <c r="N8" s="414">
        <f t="shared" si="3"/>
        <v>75.08618311294336</v>
      </c>
      <c r="O8" s="414">
        <f>N8*'[5]FR SO Table'!$D$2</f>
        <v>66.075841139390164</v>
      </c>
      <c r="P8" s="415">
        <f>O8*F156</f>
        <v>4016.0896244521341</v>
      </c>
      <c r="Q8" s="416">
        <f>G8*M8*'[5]FR SO Table'!$D$2*F156</f>
        <v>4050.3917326700207</v>
      </c>
      <c r="R8" s="341" t="s">
        <v>810</v>
      </c>
      <c r="S8" s="400">
        <f>E8*VLOOKUP(R8,'[5]FR SO Table'!$A$35:$B$42,2,FALSE)</f>
        <v>6902.2755120836573</v>
      </c>
      <c r="T8" s="400">
        <f t="shared" si="4"/>
        <v>99107.538227988916</v>
      </c>
    </row>
    <row r="9" spans="1:22" x14ac:dyDescent="0.3">
      <c r="A9" s="1065" t="s">
        <v>742</v>
      </c>
      <c r="B9" s="1075" t="s">
        <v>808</v>
      </c>
      <c r="C9" s="410" t="s">
        <v>948</v>
      </c>
      <c r="D9" s="411">
        <v>82.8</v>
      </c>
      <c r="E9" s="412">
        <v>15.936967369973054</v>
      </c>
      <c r="F9" s="332">
        <v>3494.932571428571</v>
      </c>
      <c r="G9" s="413">
        <f t="shared" si="0"/>
        <v>1.7505456249970404</v>
      </c>
      <c r="H9" s="334">
        <f t="shared" si="1"/>
        <v>0.19247545132817698</v>
      </c>
      <c r="I9" s="335">
        <v>1853.1357406945415</v>
      </c>
      <c r="J9" s="414">
        <f>I9*'[5]%Non-FF'!$AF$3/1000</f>
        <v>1.482508592555655E-2</v>
      </c>
      <c r="K9" s="414">
        <f t="shared" si="2"/>
        <v>1.7357205390714838</v>
      </c>
      <c r="L9" s="414">
        <f>K9*'[5]FR SO Table'!$D$2</f>
        <v>1.527434074382906</v>
      </c>
      <c r="M9" s="410">
        <v>15</v>
      </c>
      <c r="N9" s="414">
        <f t="shared" si="3"/>
        <v>26.035808086072258</v>
      </c>
      <c r="O9" s="414">
        <f>N9*'[5]FR SO Table'!$D$2</f>
        <v>22.91151111574359</v>
      </c>
      <c r="P9" s="415">
        <f>O9*F156</f>
        <v>1392.5616456148955</v>
      </c>
      <c r="Q9" s="416">
        <f>G9*M9*'[5]FR SO Table'!$D$2*F156</f>
        <v>1404.4557527526256</v>
      </c>
      <c r="R9" s="341" t="s">
        <v>810</v>
      </c>
      <c r="S9" s="400">
        <f>E9*VLOOKUP(R9,'[5]FR SO Table'!$A$35:$B$42,2,FALSE)</f>
        <v>2393.3340747857037</v>
      </c>
      <c r="T9" s="400">
        <f t="shared" si="4"/>
        <v>35367.790372176656</v>
      </c>
    </row>
    <row r="10" spans="1:22" x14ac:dyDescent="0.3">
      <c r="A10" s="1066"/>
      <c r="B10" s="1074"/>
      <c r="C10" s="410" t="s">
        <v>949</v>
      </c>
      <c r="D10" s="411">
        <v>82.8</v>
      </c>
      <c r="E10" s="412">
        <v>21.763181528658961</v>
      </c>
      <c r="F10" s="332">
        <v>3991.6851800554014</v>
      </c>
      <c r="G10" s="413">
        <f t="shared" si="0"/>
        <v>2.3905076371549829</v>
      </c>
      <c r="H10" s="334">
        <f t="shared" si="1"/>
        <v>0.26284035662631594</v>
      </c>
      <c r="I10" s="335">
        <v>2530.6025033324377</v>
      </c>
      <c r="J10" s="414">
        <f>I10*'[5]%Non-FF'!$AF$3/1000</f>
        <v>2.02448200266598E-2</v>
      </c>
      <c r="K10" s="414">
        <f t="shared" si="2"/>
        <v>2.3702628171283231</v>
      </c>
      <c r="L10" s="414">
        <f>K10*'[5]FR SO Table'!$D$2</f>
        <v>2.0858312790729245</v>
      </c>
      <c r="M10" s="410">
        <v>15</v>
      </c>
      <c r="N10" s="414">
        <f t="shared" si="3"/>
        <v>35.553942256924849</v>
      </c>
      <c r="O10" s="414">
        <f>N10*'[5]FR SO Table'!$D$2</f>
        <v>31.287469186093873</v>
      </c>
      <c r="P10" s="415">
        <f>O10*F156</f>
        <v>1901.6523771307857</v>
      </c>
      <c r="Q10" s="416">
        <f>G10*M10*'[5]FR SO Table'!$D$2*F156</f>
        <v>1917.8947152588946</v>
      </c>
      <c r="R10" s="341" t="s">
        <v>810</v>
      </c>
      <c r="S10" s="400">
        <f>E10*VLOOKUP(R10,'[5]FR SO Table'!$A$35:$B$42,2,FALSE)</f>
        <v>3268.2857860663598</v>
      </c>
      <c r="T10" s="400">
        <f t="shared" si="4"/>
        <v>48031.798927976342</v>
      </c>
    </row>
    <row r="11" spans="1:22" x14ac:dyDescent="0.3">
      <c r="A11" s="1066"/>
      <c r="B11" s="1074"/>
      <c r="C11" s="410" t="s">
        <v>950</v>
      </c>
      <c r="D11" s="411">
        <v>82.8</v>
      </c>
      <c r="E11" s="412">
        <v>27.027530797958661</v>
      </c>
      <c r="F11" s="332">
        <v>3754.1466666666665</v>
      </c>
      <c r="G11" s="413">
        <f t="shared" si="0"/>
        <v>2.9687533829040711</v>
      </c>
      <c r="H11" s="334">
        <f t="shared" si="1"/>
        <v>0.32641945408162637</v>
      </c>
      <c r="I11" s="335">
        <v>3142.7361392975181</v>
      </c>
      <c r="J11" s="414">
        <f>I11*'[5]%Non-FF'!$AF$3/1000</f>
        <v>2.5141889114380516E-2</v>
      </c>
      <c r="K11" s="414">
        <f t="shared" si="2"/>
        <v>2.9436114937896907</v>
      </c>
      <c r="L11" s="414">
        <f>K11*'[5]FR SO Table'!$D$2</f>
        <v>2.5903781145349281</v>
      </c>
      <c r="M11" s="410">
        <v>15</v>
      </c>
      <c r="N11" s="414">
        <f t="shared" si="3"/>
        <v>44.154172406845362</v>
      </c>
      <c r="O11" s="414">
        <f>N11*'[5]FR SO Table'!$D$2</f>
        <v>38.85567171802392</v>
      </c>
      <c r="P11" s="415">
        <f>O11*F156</f>
        <v>2361.6477270214941</v>
      </c>
      <c r="Q11" s="416">
        <f>G11*M11*'[5]FR SO Table'!$D$2*F156</f>
        <v>2381.8189640904052</v>
      </c>
      <c r="R11" s="341" t="s">
        <v>810</v>
      </c>
      <c r="S11" s="400">
        <f>E11*VLOOKUP(R11,'[5]FR SO Table'!$A$35:$B$42,2,FALSE)</f>
        <v>4058.8594375834423</v>
      </c>
      <c r="T11" s="400">
        <f t="shared" si="4"/>
        <v>59352.180655092932</v>
      </c>
    </row>
    <row r="12" spans="1:22" x14ac:dyDescent="0.3">
      <c r="A12" s="1066"/>
      <c r="B12" s="1074"/>
      <c r="C12" s="410" t="s">
        <v>951</v>
      </c>
      <c r="D12" s="411">
        <v>82.8</v>
      </c>
      <c r="E12" s="412">
        <v>38.133210731920876</v>
      </c>
      <c r="F12" s="332">
        <v>4342.6274193548397</v>
      </c>
      <c r="G12" s="413">
        <f t="shared" si="0"/>
        <v>4.1886215654570389</v>
      </c>
      <c r="H12" s="334">
        <f t="shared" si="1"/>
        <v>0.46054602333237776</v>
      </c>
      <c r="I12" s="335">
        <v>4434.0942711535909</v>
      </c>
      <c r="J12" s="414">
        <f>I12*'[5]%Non-FF'!$AF$3/1000</f>
        <v>3.5472754169229251E-2</v>
      </c>
      <c r="K12" s="414">
        <f t="shared" si="2"/>
        <v>4.1531488112878092</v>
      </c>
      <c r="L12" s="414">
        <f>K12*'[5]FR SO Table'!$D$2</f>
        <v>3.6547709539332724</v>
      </c>
      <c r="M12" s="410">
        <v>15</v>
      </c>
      <c r="N12" s="414">
        <f t="shared" si="3"/>
        <v>62.297232169317141</v>
      </c>
      <c r="O12" s="414">
        <f>N12*'[5]FR SO Table'!$D$2</f>
        <v>54.821564308999093</v>
      </c>
      <c r="P12" s="415">
        <f>O12*F156</f>
        <v>3332.0546787009648</v>
      </c>
      <c r="Q12" s="416">
        <f>G12*M12*'[5]FR SO Table'!$D$2*F156</f>
        <v>3360.5143274799211</v>
      </c>
      <c r="R12" s="341" t="s">
        <v>810</v>
      </c>
      <c r="S12" s="400">
        <f>E12*VLOOKUP(R12,'[5]FR SO Table'!$A$35:$B$42,2,FALSE)</f>
        <v>5726.6549216662179</v>
      </c>
      <c r="T12" s="400">
        <f t="shared" si="4"/>
        <v>82852.720491269181</v>
      </c>
    </row>
    <row r="13" spans="1:22" x14ac:dyDescent="0.3">
      <c r="A13" s="1066"/>
      <c r="B13" s="1074"/>
      <c r="C13" s="410" t="s">
        <v>952</v>
      </c>
      <c r="D13" s="411">
        <v>82.8</v>
      </c>
      <c r="E13" s="412">
        <v>50.040847370884201</v>
      </c>
      <c r="F13" s="332">
        <v>5036.2559999999994</v>
      </c>
      <c r="G13" s="413">
        <f t="shared" si="0"/>
        <v>5.4965781382781422</v>
      </c>
      <c r="H13" s="334">
        <f t="shared" si="1"/>
        <v>0.60435806003483339</v>
      </c>
      <c r="I13" s="335">
        <v>5818.7031826609536</v>
      </c>
      <c r="J13" s="414">
        <f>I13*'[5]%Non-FF'!$AF$3/1000</f>
        <v>4.6549625461288317E-2</v>
      </c>
      <c r="K13" s="414">
        <f t="shared" si="2"/>
        <v>5.4500285128168535</v>
      </c>
      <c r="L13" s="414">
        <f>K13*'[5]FR SO Table'!$D$2</f>
        <v>4.7960250912788318</v>
      </c>
      <c r="M13" s="410">
        <v>15</v>
      </c>
      <c r="N13" s="414">
        <f t="shared" si="3"/>
        <v>81.750427692252799</v>
      </c>
      <c r="O13" s="414">
        <f>N13*'[5]FR SO Table'!$D$2</f>
        <v>71.940376369182474</v>
      </c>
      <c r="P13" s="415">
        <f>O13*F156</f>
        <v>4372.536075718911</v>
      </c>
      <c r="Q13" s="416">
        <f>G13*M13*'[5]FR SO Table'!$D$2*F156</f>
        <v>4409.8826540280015</v>
      </c>
      <c r="R13" s="341" t="s">
        <v>810</v>
      </c>
      <c r="S13" s="400">
        <f>E13*VLOOKUP(R13,'[5]FR SO Table'!$A$35:$B$42,2,FALSE)</f>
        <v>7514.8842539225352</v>
      </c>
      <c r="T13" s="400">
        <f t="shared" si="4"/>
        <v>107476.03809776263</v>
      </c>
    </row>
    <row r="14" spans="1:22" x14ac:dyDescent="0.3">
      <c r="A14" s="1067"/>
      <c r="B14" s="1076"/>
      <c r="C14" s="410" t="s">
        <v>953</v>
      </c>
      <c r="D14" s="411">
        <v>82.8</v>
      </c>
      <c r="E14" s="412">
        <v>35.367411397025968</v>
      </c>
      <c r="F14" s="332">
        <v>5481.4246666666677</v>
      </c>
      <c r="G14" s="413">
        <f t="shared" si="0"/>
        <v>3.8848211112726241</v>
      </c>
      <c r="H14" s="334">
        <f t="shared" si="1"/>
        <v>0.42714264972253585</v>
      </c>
      <c r="I14" s="335">
        <v>4112.4896973286013</v>
      </c>
      <c r="J14" s="414">
        <f>I14*'[5]%Non-FF'!$AF$3/1000</f>
        <v>3.2899917578629298E-2</v>
      </c>
      <c r="K14" s="414">
        <f t="shared" si="2"/>
        <v>3.851921193693995</v>
      </c>
      <c r="L14" s="414">
        <f>K14*'[5]FR SO Table'!$D$2</f>
        <v>3.3896906504507158</v>
      </c>
      <c r="M14" s="410">
        <v>15</v>
      </c>
      <c r="N14" s="414">
        <f t="shared" si="3"/>
        <v>57.778817905409923</v>
      </c>
      <c r="O14" s="414">
        <f>N14*'[5]FR SO Table'!$D$2</f>
        <v>50.845359756760736</v>
      </c>
      <c r="P14" s="415">
        <f>O14*F156</f>
        <v>3090.3809660159177</v>
      </c>
      <c r="Q14" s="416">
        <f>G14*M14*'[5]FR SO Table'!$D$2*F156</f>
        <v>3116.7764382895816</v>
      </c>
      <c r="R14" s="341" t="s">
        <v>810</v>
      </c>
      <c r="S14" s="400">
        <f>E14*VLOOKUP(R14,'[5]FR SO Table'!$A$35:$B$42,2,FALSE)</f>
        <v>5311.301006548375</v>
      </c>
      <c r="T14" s="400">
        <f t="shared" si="4"/>
        <v>77048.394617964645</v>
      </c>
    </row>
    <row r="15" spans="1:22" x14ac:dyDescent="0.3">
      <c r="A15" s="1065" t="s">
        <v>743</v>
      </c>
      <c r="B15" s="1075" t="s">
        <v>808</v>
      </c>
      <c r="C15" s="410" t="s">
        <v>948</v>
      </c>
      <c r="D15" s="411">
        <v>82.8</v>
      </c>
      <c r="E15" s="412">
        <v>16.775755126287429</v>
      </c>
      <c r="F15" s="332">
        <v>3494.932571428571</v>
      </c>
      <c r="G15" s="413">
        <f t="shared" si="0"/>
        <v>1.8426796052600429</v>
      </c>
      <c r="H15" s="334">
        <f t="shared" si="1"/>
        <v>0.20260573824018635</v>
      </c>
      <c r="I15" s="335">
        <v>1950.6692007310967</v>
      </c>
      <c r="J15" s="414">
        <f>I15*'[5]%Non-FF'!$AF$3/1000</f>
        <v>1.5605353605849004E-2</v>
      </c>
      <c r="K15" s="414">
        <f t="shared" si="2"/>
        <v>1.827074251654194</v>
      </c>
      <c r="L15" s="414">
        <f>K15*'[5]FR SO Table'!$D$2</f>
        <v>1.6078253414556909</v>
      </c>
      <c r="M15" s="410">
        <v>15</v>
      </c>
      <c r="N15" s="414">
        <f t="shared" si="3"/>
        <v>27.406113774812908</v>
      </c>
      <c r="O15" s="414">
        <f>N15*'[5]FR SO Table'!$D$2</f>
        <v>24.117380121835364</v>
      </c>
      <c r="P15" s="415">
        <f>O15*F156</f>
        <v>1465.8543638051535</v>
      </c>
      <c r="Q15" s="416">
        <f>G15*M15*'[5]FR SO Table'!$D$2*F156</f>
        <v>1478.3744765817116</v>
      </c>
      <c r="R15" s="341" t="s">
        <v>810</v>
      </c>
      <c r="S15" s="400">
        <f>E15*VLOOKUP(R15,'[5]FR SO Table'!$A$35:$B$42,2,FALSE)</f>
        <v>2519.2990260902147</v>
      </c>
      <c r="T15" s="400">
        <f t="shared" si="4"/>
        <v>37199.767109238084</v>
      </c>
    </row>
    <row r="16" spans="1:22" x14ac:dyDescent="0.3">
      <c r="A16" s="1066"/>
      <c r="B16" s="1074"/>
      <c r="C16" s="410" t="s">
        <v>949</v>
      </c>
      <c r="D16" s="411">
        <v>82.8</v>
      </c>
      <c r="E16" s="412">
        <v>22.908612135430484</v>
      </c>
      <c r="F16" s="332">
        <v>3991.6851800554014</v>
      </c>
      <c r="G16" s="413">
        <f t="shared" si="0"/>
        <v>2.5163238285841922</v>
      </c>
      <c r="H16" s="334">
        <f t="shared" si="1"/>
        <v>0.27667405960664837</v>
      </c>
      <c r="I16" s="335">
        <v>2663.7921087709869</v>
      </c>
      <c r="J16" s="414">
        <f>I16*'[5]%Non-FF'!$AF$3/1000</f>
        <v>2.1310336870168211E-2</v>
      </c>
      <c r="K16" s="414">
        <f t="shared" si="2"/>
        <v>2.4950134917140239</v>
      </c>
      <c r="L16" s="414">
        <f>K16*'[5]FR SO Table'!$D$2</f>
        <v>2.1956118727083411</v>
      </c>
      <c r="M16" s="410">
        <v>15</v>
      </c>
      <c r="N16" s="414">
        <f t="shared" si="3"/>
        <v>37.425202375710356</v>
      </c>
      <c r="O16" s="414">
        <f>N16*'[5]FR SO Table'!$D$2</f>
        <v>32.934178090625117</v>
      </c>
      <c r="P16" s="415">
        <f>O16*F156</f>
        <v>2001.7393443481947</v>
      </c>
      <c r="Q16" s="416">
        <f>G16*M16*'[5]FR SO Table'!$D$2*F156</f>
        <v>2018.8365423777836</v>
      </c>
      <c r="R16" s="341" t="s">
        <v>810</v>
      </c>
      <c r="S16" s="400">
        <f>E16*VLOOKUP(R16,'[5]FR SO Table'!$A$35:$B$42,2,FALSE)</f>
        <v>3440.3008274382732</v>
      </c>
      <c r="T16" s="400">
        <f t="shared" si="4"/>
        <v>50504.802868062674</v>
      </c>
      <c r="U16" s="47"/>
      <c r="V16" s="47"/>
    </row>
    <row r="17" spans="1:23" x14ac:dyDescent="0.3">
      <c r="A17" s="1066"/>
      <c r="B17" s="1074"/>
      <c r="C17" s="410" t="s">
        <v>950</v>
      </c>
      <c r="D17" s="411">
        <v>82.8</v>
      </c>
      <c r="E17" s="412">
        <v>28.450032418903852</v>
      </c>
      <c r="F17" s="332">
        <v>3754.1466666666665</v>
      </c>
      <c r="G17" s="413">
        <f t="shared" si="0"/>
        <v>3.1250035609516535</v>
      </c>
      <c r="H17" s="334">
        <f t="shared" si="1"/>
        <v>0.34359942534908033</v>
      </c>
      <c r="I17" s="335">
        <v>3308.1433045237036</v>
      </c>
      <c r="J17" s="414">
        <f>I17*'[5]%Non-FF'!$AF$3/1000</f>
        <v>2.6465146436190017E-2</v>
      </c>
      <c r="K17" s="414">
        <f t="shared" si="2"/>
        <v>3.0985384145154637</v>
      </c>
      <c r="L17" s="414">
        <f>K17*'[5]FR SO Table'!$D$2</f>
        <v>2.7267138047736084</v>
      </c>
      <c r="M17" s="410">
        <v>15</v>
      </c>
      <c r="N17" s="414">
        <f t="shared" si="3"/>
        <v>46.478076217731953</v>
      </c>
      <c r="O17" s="414">
        <f>N17*'[5]FR SO Table'!$D$2</f>
        <v>40.900707071604124</v>
      </c>
      <c r="P17" s="415">
        <f>O17*F156</f>
        <v>2485.9449758120986</v>
      </c>
      <c r="Q17" s="416">
        <f>G17*M17*'[5]FR SO Table'!$D$2*F156</f>
        <v>2507.1778569372682</v>
      </c>
      <c r="R17" s="341" t="s">
        <v>810</v>
      </c>
      <c r="S17" s="400">
        <f>E17*VLOOKUP(R17,'[5]FR SO Table'!$A$35:$B$42,2,FALSE)</f>
        <v>4272.4836185088861</v>
      </c>
      <c r="T17" s="400">
        <f t="shared" si="4"/>
        <v>62391.175708482384</v>
      </c>
      <c r="U17" s="47"/>
      <c r="V17" s="47"/>
    </row>
    <row r="18" spans="1:23" x14ac:dyDescent="0.3">
      <c r="A18" s="1066"/>
      <c r="B18" s="1074"/>
      <c r="C18" s="410" t="s">
        <v>951</v>
      </c>
      <c r="D18" s="411">
        <v>82.8</v>
      </c>
      <c r="E18" s="412">
        <v>40.140221823074612</v>
      </c>
      <c r="F18" s="332">
        <v>4342.6274193548397</v>
      </c>
      <c r="G18" s="413">
        <f t="shared" si="0"/>
        <v>4.4090753320600413</v>
      </c>
      <c r="H18" s="334">
        <f t="shared" si="1"/>
        <v>0.48478528771829243</v>
      </c>
      <c r="I18" s="335">
        <v>4667.4676538458862</v>
      </c>
      <c r="J18" s="414">
        <f>I18*'[5]%Non-FF'!$AF$3/1000</f>
        <v>3.7339741230767644E-2</v>
      </c>
      <c r="K18" s="414">
        <f t="shared" si="2"/>
        <v>4.3717355908292737</v>
      </c>
      <c r="L18" s="414">
        <f>K18*'[5]FR SO Table'!$D$2</f>
        <v>3.8471273199297613</v>
      </c>
      <c r="M18" s="410">
        <v>15</v>
      </c>
      <c r="N18" s="414">
        <f t="shared" si="3"/>
        <v>65.576033862439104</v>
      </c>
      <c r="O18" s="414">
        <f>N18*'[5]FR SO Table'!$D$2</f>
        <v>57.70690979894642</v>
      </c>
      <c r="P18" s="415">
        <f>O18*F156</f>
        <v>3507.4259775799633</v>
      </c>
      <c r="Q18" s="416">
        <f>G18*M18*'[5]FR SO Table'!$D$2*F156</f>
        <v>3537.3835026104434</v>
      </c>
      <c r="R18" s="341" t="s">
        <v>810</v>
      </c>
      <c r="S18" s="400">
        <f>E18*VLOOKUP(R18,'[5]FR SO Table'!$A$35:$B$42,2,FALSE)</f>
        <v>6028.0578122802299</v>
      </c>
      <c r="T18" s="400">
        <f t="shared" si="4"/>
        <v>87044.575401683687</v>
      </c>
      <c r="U18" s="47"/>
      <c r="V18" s="47"/>
    </row>
    <row r="19" spans="1:23" x14ac:dyDescent="0.3">
      <c r="A19" s="1066"/>
      <c r="B19" s="1074"/>
      <c r="C19" s="410" t="s">
        <v>952</v>
      </c>
      <c r="D19" s="411">
        <v>82.8</v>
      </c>
      <c r="E19" s="412">
        <v>52.674576179878109</v>
      </c>
      <c r="F19" s="332">
        <v>5036.2559999999994</v>
      </c>
      <c r="G19" s="413">
        <f t="shared" si="0"/>
        <v>5.7858717245033073</v>
      </c>
      <c r="H19" s="334">
        <f t="shared" si="1"/>
        <v>0.63616637898403516</v>
      </c>
      <c r="I19" s="335">
        <v>6124.9507185904777</v>
      </c>
      <c r="J19" s="414">
        <f>I19*'[5]%Non-FF'!$AF$3/1000</f>
        <v>4.8999605748724549E-2</v>
      </c>
      <c r="K19" s="414">
        <f t="shared" si="2"/>
        <v>5.736872118754583</v>
      </c>
      <c r="L19" s="414">
        <f>K19*'[5]FR SO Table'!$D$2</f>
        <v>5.0484474645040338</v>
      </c>
      <c r="M19" s="410">
        <v>15</v>
      </c>
      <c r="N19" s="414">
        <f t="shared" si="3"/>
        <v>86.053081781318753</v>
      </c>
      <c r="O19" s="414">
        <f>N19*'[5]FR SO Table'!$D$2</f>
        <v>75.726711967560519</v>
      </c>
      <c r="P19" s="415">
        <f>O19*F156</f>
        <v>4602.6695533883285</v>
      </c>
      <c r="Q19" s="416">
        <f>G19*M19*'[5]FR SO Table'!$D$2*F156</f>
        <v>4641.9817410821061</v>
      </c>
      <c r="R19" s="341" t="s">
        <v>810</v>
      </c>
      <c r="S19" s="400">
        <f>E19*VLOOKUP(R19,'[5]FR SO Table'!$A$35:$B$42,2,FALSE)</f>
        <v>7910.4044778131956</v>
      </c>
      <c r="T19" s="400">
        <f t="shared" si="4"/>
        <v>112841.96665631107</v>
      </c>
      <c r="U19" s="47"/>
      <c r="V19" s="47"/>
    </row>
    <row r="20" spans="1:23" x14ac:dyDescent="0.3">
      <c r="A20" s="1066"/>
      <c r="B20" s="1074"/>
      <c r="C20" s="410" t="s">
        <v>953</v>
      </c>
      <c r="D20" s="411">
        <v>82.8</v>
      </c>
      <c r="E20" s="412">
        <v>37.228854102132594</v>
      </c>
      <c r="F20" s="332">
        <v>5481.4246666666677</v>
      </c>
      <c r="G20" s="413">
        <f t="shared" si="0"/>
        <v>4.0892853802869729</v>
      </c>
      <c r="H20" s="334">
        <f t="shared" si="1"/>
        <v>0.44962384181319559</v>
      </c>
      <c r="I20" s="335">
        <v>4328.9365235037903</v>
      </c>
      <c r="J20" s="414">
        <f>I20*'[5]%Non-FF'!$AF$3/1000</f>
        <v>3.4631492188030834E-2</v>
      </c>
      <c r="K20" s="414">
        <f t="shared" si="2"/>
        <v>4.054653888098942</v>
      </c>
      <c r="L20" s="414">
        <f>K20*'[5]FR SO Table'!$D$2</f>
        <v>3.5680954215270693</v>
      </c>
      <c r="M20" s="410">
        <v>15</v>
      </c>
      <c r="N20" s="414">
        <f t="shared" si="3"/>
        <v>60.819808321484132</v>
      </c>
      <c r="O20" s="414">
        <f>N20*'[5]FR SO Table'!$D$2</f>
        <v>53.521431322906047</v>
      </c>
      <c r="P20" s="415">
        <f>O20*F156</f>
        <v>3253.0325958062294</v>
      </c>
      <c r="Q20" s="416">
        <f>G20*M20*'[5]FR SO Table'!$D$2*F156</f>
        <v>3280.8173034627175</v>
      </c>
      <c r="R20" s="341" t="s">
        <v>810</v>
      </c>
      <c r="S20" s="400">
        <f>E20*VLOOKUP(R20,'[5]FR SO Table'!$A$35:$B$42,2,FALSE)</f>
        <v>5590.8431647877624</v>
      </c>
      <c r="T20" s="400">
        <f t="shared" si="4"/>
        <v>80958.358851028635</v>
      </c>
    </row>
    <row r="21" spans="1:23" x14ac:dyDescent="0.3">
      <c r="A21" s="1065" t="s">
        <v>744</v>
      </c>
      <c r="B21" s="1075" t="s">
        <v>808</v>
      </c>
      <c r="C21" s="410" t="s">
        <v>948</v>
      </c>
      <c r="D21" s="411">
        <v>82.8</v>
      </c>
      <c r="E21" s="412">
        <v>19.675268357991424</v>
      </c>
      <c r="F21" s="332">
        <v>3494.932571428571</v>
      </c>
      <c r="G21" s="413">
        <f t="shared" si="0"/>
        <v>2.1611674382679511</v>
      </c>
      <c r="H21" s="334">
        <f t="shared" si="1"/>
        <v>0.23762401398540367</v>
      </c>
      <c r="I21" s="335">
        <v>2287.8219020920264</v>
      </c>
      <c r="J21" s="414">
        <f>I21*'[5]%Non-FF'!$AF$3/1000</f>
        <v>1.8302575216736481E-2</v>
      </c>
      <c r="K21" s="414">
        <f t="shared" si="2"/>
        <v>2.1428648630512148</v>
      </c>
      <c r="L21" s="414">
        <f>K21*'[5]FR SO Table'!$D$2</f>
        <v>1.8857210794850694</v>
      </c>
      <c r="M21" s="410">
        <v>15</v>
      </c>
      <c r="N21" s="414">
        <f t="shared" si="3"/>
        <v>32.142972945768221</v>
      </c>
      <c r="O21" s="414">
        <f>N21*'[5]FR SO Table'!$D$2</f>
        <v>28.285816192276037</v>
      </c>
      <c r="P21" s="415">
        <f>O21*F156</f>
        <v>1719.2119081665376</v>
      </c>
      <c r="Q21" s="416">
        <f>G21*M21*'[5]FR SO Table'!$D$2*F156</f>
        <v>1733.8959910526244</v>
      </c>
      <c r="R21" s="341" t="s">
        <v>810</v>
      </c>
      <c r="S21" s="400">
        <f>E21*VLOOKUP(R21,'[5]FR SO Table'!$A$35:$B$42,2,FALSE)</f>
        <v>2954.7334256613622</v>
      </c>
      <c r="T21" s="400">
        <f t="shared" si="4"/>
        <v>43509.812923391844</v>
      </c>
    </row>
    <row r="22" spans="1:23" x14ac:dyDescent="0.3">
      <c r="A22" s="1066"/>
      <c r="B22" s="1074"/>
      <c r="C22" s="410" t="s">
        <v>949</v>
      </c>
      <c r="D22" s="411">
        <v>82.8</v>
      </c>
      <c r="E22" s="412">
        <v>26.868125344023408</v>
      </c>
      <c r="F22" s="332">
        <v>3991.6851800554014</v>
      </c>
      <c r="G22" s="413">
        <f t="shared" si="0"/>
        <v>2.9512439964876331</v>
      </c>
      <c r="H22" s="334">
        <f t="shared" si="1"/>
        <v>0.32449426743989623</v>
      </c>
      <c r="I22" s="335">
        <v>3124.2006213980708</v>
      </c>
      <c r="J22" s="414">
        <f>I22*'[5]%Non-FF'!$AF$3/1000</f>
        <v>2.4993604971184937E-2</v>
      </c>
      <c r="K22" s="414">
        <f t="shared" si="2"/>
        <v>2.9262503915164482</v>
      </c>
      <c r="L22" s="414">
        <f>K22*'[5]FR SO Table'!$D$2</f>
        <v>2.5751003445344747</v>
      </c>
      <c r="M22" s="410">
        <v>15</v>
      </c>
      <c r="N22" s="414">
        <f t="shared" si="3"/>
        <v>43.893755872746723</v>
      </c>
      <c r="O22" s="414">
        <f>N22*'[5]FR SO Table'!$D$2</f>
        <v>38.626505168017118</v>
      </c>
      <c r="P22" s="415">
        <f>O22*F156</f>
        <v>2347.7189841120803</v>
      </c>
      <c r="Q22" s="416">
        <f>G22*M22*'[5]FR SO Table'!$D$2*F156</f>
        <v>2367.7712534060424</v>
      </c>
      <c r="R22" s="341" t="s">
        <v>810</v>
      </c>
      <c r="S22" s="400">
        <f>E22*VLOOKUP(R22,'[5]FR SO Table'!$A$35:$B$42,2,FALSE)</f>
        <v>4034.9207235387157</v>
      </c>
      <c r="T22" s="400">
        <f t="shared" si="4"/>
        <v>59011.102633268121</v>
      </c>
    </row>
    <row r="23" spans="1:23" x14ac:dyDescent="0.3">
      <c r="A23" s="1066"/>
      <c r="B23" s="1074"/>
      <c r="C23" s="410" t="s">
        <v>950</v>
      </c>
      <c r="D23" s="411">
        <v>82.8</v>
      </c>
      <c r="E23" s="412">
        <v>33.367321972788467</v>
      </c>
      <c r="F23" s="332">
        <v>3754.1466666666665</v>
      </c>
      <c r="G23" s="413">
        <f t="shared" si="0"/>
        <v>3.6651276332149023</v>
      </c>
      <c r="H23" s="334">
        <f t="shared" si="1"/>
        <v>0.40298698034768682</v>
      </c>
      <c r="I23" s="335">
        <v>3879.9211596265654</v>
      </c>
      <c r="J23" s="414">
        <f>I23*'[5]%Non-FF'!$AF$3/1000</f>
        <v>3.1039369277012979E-2</v>
      </c>
      <c r="K23" s="414">
        <f t="shared" si="2"/>
        <v>3.6340882639378895</v>
      </c>
      <c r="L23" s="414">
        <f>K23*'[5]FR SO Table'!$D$2</f>
        <v>3.1979976722653434</v>
      </c>
      <c r="M23" s="410">
        <v>15</v>
      </c>
      <c r="N23" s="414">
        <f t="shared" si="3"/>
        <v>54.511323959068342</v>
      </c>
      <c r="O23" s="414">
        <f>N23*'[5]FR SO Table'!$D$2</f>
        <v>47.969965083980149</v>
      </c>
      <c r="P23" s="415">
        <f>O23*F156</f>
        <v>2915.6144778043135</v>
      </c>
      <c r="Q23" s="416">
        <f>G23*M23*'[5]FR SO Table'!$D$2*F156</f>
        <v>2940.5172396177836</v>
      </c>
      <c r="R23" s="341" t="s">
        <v>810</v>
      </c>
      <c r="S23" s="400">
        <f>E23*VLOOKUP(R23,'[5]FR SO Table'!$A$35:$B$42,2,FALSE)</f>
        <v>5010.9375772635085</v>
      </c>
      <c r="T23" s="400">
        <f t="shared" si="4"/>
        <v>72831.018530681482</v>
      </c>
    </row>
    <row r="24" spans="1:23" x14ac:dyDescent="0.3">
      <c r="A24" s="1066"/>
      <c r="B24" s="1074"/>
      <c r="C24" s="410" t="s">
        <v>951</v>
      </c>
      <c r="D24" s="411">
        <v>82.8</v>
      </c>
      <c r="E24" s="412">
        <v>47.078037940643057</v>
      </c>
      <c r="F24" s="332">
        <v>4342.6274193548397</v>
      </c>
      <c r="G24" s="413">
        <f t="shared" si="0"/>
        <v>5.1711377351321461</v>
      </c>
      <c r="H24" s="334">
        <f t="shared" si="1"/>
        <v>0.56857533744737998</v>
      </c>
      <c r="I24" s="335">
        <v>5474.1904582143097</v>
      </c>
      <c r="J24" s="414">
        <f>I24*'[5]%Non-FF'!$AF$3/1000</f>
        <v>4.379352366571513E-2</v>
      </c>
      <c r="K24" s="414">
        <f t="shared" si="2"/>
        <v>5.1273442114664309</v>
      </c>
      <c r="L24" s="414">
        <f>K24*'[5]FR SO Table'!$D$2</f>
        <v>4.5120629060904598</v>
      </c>
      <c r="M24" s="410">
        <v>15</v>
      </c>
      <c r="N24" s="414">
        <f t="shared" si="3"/>
        <v>76.910163171996459</v>
      </c>
      <c r="O24" s="414">
        <f>N24*'[5]FR SO Table'!$D$2</f>
        <v>67.680943591356893</v>
      </c>
      <c r="P24" s="415">
        <f>O24*F156</f>
        <v>4113.647751482672</v>
      </c>
      <c r="Q24" s="416">
        <f>G24*M24*'[5]FR SO Table'!$D$2*F156</f>
        <v>4148.7831203455808</v>
      </c>
      <c r="R24" s="341" t="s">
        <v>810</v>
      </c>
      <c r="S24" s="400">
        <f>E24*VLOOKUP(R24,'[5]FR SO Table'!$A$35:$B$42,2,FALSE)</f>
        <v>7069.9443477360719</v>
      </c>
      <c r="T24" s="400">
        <f t="shared" si="4"/>
        <v>101404.89858942304</v>
      </c>
    </row>
    <row r="25" spans="1:23" x14ac:dyDescent="0.3">
      <c r="A25" s="1066"/>
      <c r="B25" s="1074"/>
      <c r="C25" s="410" t="s">
        <v>952</v>
      </c>
      <c r="D25" s="411">
        <v>82.8</v>
      </c>
      <c r="E25" s="412">
        <v>61.778823914671847</v>
      </c>
      <c r="F25" s="332">
        <v>5036.2559999999994</v>
      </c>
      <c r="G25" s="413">
        <f t="shared" si="0"/>
        <v>6.7858989361458537</v>
      </c>
      <c r="H25" s="334">
        <f t="shared" si="1"/>
        <v>0.74612106177139914</v>
      </c>
      <c r="I25" s="335">
        <v>7183.5841761246338</v>
      </c>
      <c r="J25" s="414">
        <f>I25*'[5]%Non-FF'!$AF$3/1000</f>
        <v>5.7468673408997924E-2</v>
      </c>
      <c r="K25" s="414">
        <f t="shared" si="2"/>
        <v>6.7284302627368557</v>
      </c>
      <c r="L25" s="414">
        <f>K25*'[5]FR SO Table'!$D$2</f>
        <v>5.9210186312084341</v>
      </c>
      <c r="M25" s="410">
        <v>15</v>
      </c>
      <c r="N25" s="414">
        <f t="shared" si="3"/>
        <v>100.92645394105284</v>
      </c>
      <c r="O25" s="414">
        <f>N25*'[5]FR SO Table'!$D$2</f>
        <v>88.815279468126505</v>
      </c>
      <c r="P25" s="415">
        <f>O25*F156</f>
        <v>5398.192686072729</v>
      </c>
      <c r="Q25" s="416">
        <f>G25*M25*'[5]FR SO Table'!$D$2*F156</f>
        <v>5444.2995728740743</v>
      </c>
      <c r="R25" s="341" t="s">
        <v>810</v>
      </c>
      <c r="S25" s="400">
        <f>E25*VLOOKUP(R25,'[5]FR SO Table'!$A$35:$B$42,2,FALSE)</f>
        <v>9277.6348813858458</v>
      </c>
      <c r="T25" s="400">
        <f t="shared" si="4"/>
        <v>131166.92268569334</v>
      </c>
    </row>
    <row r="26" spans="1:23" x14ac:dyDescent="0.3">
      <c r="A26" s="1067"/>
      <c r="B26" s="1076"/>
      <c r="C26" s="410" t="s">
        <v>953</v>
      </c>
      <c r="D26" s="411">
        <v>82.8</v>
      </c>
      <c r="E26" s="412">
        <v>43.663470860525884</v>
      </c>
      <c r="F26" s="332">
        <v>5481.4246666666677</v>
      </c>
      <c r="G26" s="413">
        <f t="shared" si="0"/>
        <v>4.7960754460155854</v>
      </c>
      <c r="H26" s="334">
        <f t="shared" si="1"/>
        <v>0.52733660459572329</v>
      </c>
      <c r="I26" s="335">
        <v>5077.1477744797539</v>
      </c>
      <c r="J26" s="414">
        <f>I26*'[5]%Non-FF'!$AF$3/1000</f>
        <v>4.0617182195838632E-2</v>
      </c>
      <c r="K26" s="414">
        <f t="shared" si="2"/>
        <v>4.7554582638197465</v>
      </c>
      <c r="L26" s="414">
        <f>K26*'[5]FR SO Table'!$D$2</f>
        <v>4.1848032721613775</v>
      </c>
      <c r="M26" s="410">
        <v>15</v>
      </c>
      <c r="N26" s="414">
        <f t="shared" si="3"/>
        <v>71.331873957296196</v>
      </c>
      <c r="O26" s="414">
        <f>N26*'[5]FR SO Table'!$D$2</f>
        <v>62.772049082420658</v>
      </c>
      <c r="P26" s="415">
        <f>O26*F156</f>
        <v>3815.2851432295279</v>
      </c>
      <c r="Q26" s="416">
        <f>G26*M26*'[5]FR SO Table'!$D$2*F156</f>
        <v>3847.8721460365214</v>
      </c>
      <c r="R26" s="341" t="s">
        <v>810</v>
      </c>
      <c r="S26" s="400">
        <f>E26*VLOOKUP(R26,'[5]FR SO Table'!$A$35:$B$42,2,FALSE)</f>
        <v>6557.1617364794747</v>
      </c>
      <c r="T26" s="400">
        <f t="shared" si="4"/>
        <v>94362.424553119592</v>
      </c>
    </row>
    <row r="27" spans="1:23" x14ac:dyDescent="0.3">
      <c r="A27" s="1066" t="s">
        <v>745</v>
      </c>
      <c r="B27" s="1074" t="s">
        <v>808</v>
      </c>
      <c r="C27" s="410" t="s">
        <v>954</v>
      </c>
      <c r="D27" s="411">
        <v>82.8</v>
      </c>
      <c r="E27" s="412">
        <v>11.78674929950976</v>
      </c>
      <c r="F27" s="332">
        <v>2759.8</v>
      </c>
      <c r="G27" s="413">
        <f t="shared" si="0"/>
        <v>1.2946780865015115</v>
      </c>
      <c r="H27" s="334">
        <f t="shared" si="1"/>
        <v>0.14235204468006957</v>
      </c>
      <c r="I27" s="335">
        <v>1370.552244129042</v>
      </c>
      <c r="J27" s="414">
        <f>I27*'[5]%Non-FF'!$AF$3/1000</f>
        <v>1.0964417953032499E-2</v>
      </c>
      <c r="K27" s="414">
        <f t="shared" si="2"/>
        <v>1.2837136685484789</v>
      </c>
      <c r="L27" s="414">
        <f>K27*'[5]FR SO Table'!$D$3</f>
        <v>1.1296680283226617</v>
      </c>
      <c r="M27" s="410">
        <v>15</v>
      </c>
      <c r="N27" s="414">
        <f t="shared" si="3"/>
        <v>19.255705028227183</v>
      </c>
      <c r="O27" s="414">
        <f>N27*'[5]FR SO Table'!$D$3</f>
        <v>16.945020424839925</v>
      </c>
      <c r="P27" s="415">
        <f>O27*F156</f>
        <v>1029.9183414217707</v>
      </c>
      <c r="Q27" s="417">
        <f>G27*M27*'[5]FR SO Table'!$D$3*F156</f>
        <v>1038.7150500878167</v>
      </c>
      <c r="R27" s="341" t="s">
        <v>810</v>
      </c>
      <c r="S27" s="400">
        <f>E27*VLOOKUP(R27,'[5]FR SO Table'!$A$35:$B$42,2,FALSE)</f>
        <v>1770.0750760538783</v>
      </c>
      <c r="T27" s="400">
        <f t="shared" si="4"/>
        <v>26260.008496676666</v>
      </c>
    </row>
    <row r="28" spans="1:23" x14ac:dyDescent="0.3">
      <c r="A28" s="1066"/>
      <c r="B28" s="1074"/>
      <c r="C28" s="410" t="s">
        <v>955</v>
      </c>
      <c r="D28" s="411">
        <v>82.8</v>
      </c>
      <c r="E28" s="412">
        <v>14.02565136094344</v>
      </c>
      <c r="F28" s="332">
        <v>2763.7148469387757</v>
      </c>
      <c r="G28" s="413">
        <f t="shared" si="0"/>
        <v>1.5406031811229615</v>
      </c>
      <c r="H28" s="334">
        <f t="shared" si="1"/>
        <v>0.16939192464907538</v>
      </c>
      <c r="I28" s="335">
        <v>1630.8896931329584</v>
      </c>
      <c r="J28" s="414">
        <f>I28*'[5]%Non-FF'!$AF$3/1000</f>
        <v>1.3047117545063861E-2</v>
      </c>
      <c r="K28" s="414">
        <f t="shared" si="2"/>
        <v>1.5275560635778975</v>
      </c>
      <c r="L28" s="414">
        <f>K28*'[5]FR SO Table'!$D$3</f>
        <v>1.3442493359485499</v>
      </c>
      <c r="M28" s="410">
        <v>15</v>
      </c>
      <c r="N28" s="414">
        <f t="shared" si="3"/>
        <v>22.913340953668463</v>
      </c>
      <c r="O28" s="414">
        <f>N28*'[5]FR SO Table'!$D$3</f>
        <v>20.163740039228252</v>
      </c>
      <c r="P28" s="415">
        <f>O28*F156</f>
        <v>1225.5521195842932</v>
      </c>
      <c r="Q28" s="417">
        <f>G28*M28*'[5]FR SO Table'!$D$3*F156</f>
        <v>1236.0197698022278</v>
      </c>
      <c r="R28" s="341" t="s">
        <v>810</v>
      </c>
      <c r="S28" s="400">
        <f>E28*VLOOKUP(R28,'[5]FR SO Table'!$A$35:$B$42,2,FALSE)</f>
        <v>2106.3021931296812</v>
      </c>
      <c r="T28" s="400">
        <f t="shared" si="4"/>
        <v>31182.315312457387</v>
      </c>
    </row>
    <row r="29" spans="1:23" x14ac:dyDescent="0.3">
      <c r="A29" s="1066"/>
      <c r="B29" s="1074"/>
      <c r="C29" s="410" t="s">
        <v>956</v>
      </c>
      <c r="D29" s="411">
        <v>82.8</v>
      </c>
      <c r="E29" s="412">
        <v>15.704198164785319</v>
      </c>
      <c r="F29" s="332">
        <v>2761.0533464566915</v>
      </c>
      <c r="G29" s="413">
        <f t="shared" si="0"/>
        <v>1.7249778300511116</v>
      </c>
      <c r="H29" s="334">
        <f t="shared" si="1"/>
        <v>0.18966422904330096</v>
      </c>
      <c r="I29" s="335">
        <v>1826.0695540448048</v>
      </c>
      <c r="J29" s="414">
        <f>I29*'[5]%Non-FF'!$AF$3/1000</f>
        <v>1.4608556432358654E-2</v>
      </c>
      <c r="K29" s="414">
        <f t="shared" si="2"/>
        <v>1.710369273618753</v>
      </c>
      <c r="L29" s="414">
        <f>K29*'[5]FR SO Table'!$D$3</f>
        <v>1.5051249607845028</v>
      </c>
      <c r="M29" s="410">
        <v>15</v>
      </c>
      <c r="N29" s="414">
        <f t="shared" si="3"/>
        <v>25.655539104281296</v>
      </c>
      <c r="O29" s="414">
        <f>N29*'[5]FR SO Table'!$D$3</f>
        <v>22.576874411767545</v>
      </c>
      <c r="P29" s="415">
        <f>O29*F156</f>
        <v>1372.2224267472313</v>
      </c>
      <c r="Q29" s="417">
        <f>G29*M29*'[5]FR SO Table'!$D$3*F156</f>
        <v>1383.9428131386869</v>
      </c>
      <c r="R29" s="341" t="s">
        <v>810</v>
      </c>
      <c r="S29" s="400">
        <f>E29*VLOOKUP(R29,'[5]FR SO Table'!$A$35:$B$42,2,FALSE)</f>
        <v>2358.3779593966356</v>
      </c>
      <c r="T29" s="400">
        <f t="shared" si="4"/>
        <v>34858.881928319388</v>
      </c>
    </row>
    <row r="30" spans="1:23" x14ac:dyDescent="0.3">
      <c r="A30" s="1066"/>
      <c r="B30" s="1074"/>
      <c r="C30" s="410" t="s">
        <v>957</v>
      </c>
      <c r="D30" s="411">
        <v>82.8</v>
      </c>
      <c r="E30" s="412">
        <v>22.383672633038064</v>
      </c>
      <c r="F30" s="332">
        <v>2894.4784401114207</v>
      </c>
      <c r="G30" s="413">
        <f t="shared" si="0"/>
        <v>2.4586635141737769</v>
      </c>
      <c r="H30" s="334">
        <f t="shared" si="1"/>
        <v>0.27033421054393797</v>
      </c>
      <c r="I30" s="335">
        <v>2602.7526317486117</v>
      </c>
      <c r="J30" s="414">
        <f>I30*'[5]%Non-FF'!$AF$3/1000</f>
        <v>2.0822021053989202E-2</v>
      </c>
      <c r="K30" s="414">
        <f t="shared" si="2"/>
        <v>2.4378414931197878</v>
      </c>
      <c r="L30" s="414">
        <f>K30*'[5]FR SO Table'!$D$3</f>
        <v>2.1453005139454135</v>
      </c>
      <c r="M30" s="410">
        <v>15</v>
      </c>
      <c r="N30" s="414">
        <f t="shared" si="3"/>
        <v>36.567622396796814</v>
      </c>
      <c r="O30" s="414">
        <f>N30*'[5]FR SO Table'!$D$3</f>
        <v>32.179507709181202</v>
      </c>
      <c r="P30" s="415">
        <f>O30*F156</f>
        <v>1955.8704785640334</v>
      </c>
      <c r="Q30" s="417">
        <f>G30*M30*'[5]FR SO Table'!$D$3*F156</f>
        <v>1972.5759027675645</v>
      </c>
      <c r="R30" s="341" t="s">
        <v>810</v>
      </c>
      <c r="S30" s="400">
        <f>E30*VLOOKUP(R30,'[5]FR SO Table'!$A$35:$B$42,2,FALSE)</f>
        <v>3361.4680376664915</v>
      </c>
      <c r="T30" s="400">
        <f t="shared" si="4"/>
        <v>49372.132191208322</v>
      </c>
      <c r="U30" s="72"/>
      <c r="V30" s="72"/>
      <c r="W30" s="72"/>
    </row>
    <row r="31" spans="1:23" x14ac:dyDescent="0.3">
      <c r="A31" s="1066"/>
      <c r="B31" s="1074"/>
      <c r="C31" s="410" t="s">
        <v>948</v>
      </c>
      <c r="D31" s="411">
        <v>82.8</v>
      </c>
      <c r="E31" s="412">
        <v>22.832077841585114</v>
      </c>
      <c r="F31" s="332">
        <v>3132.3553684210528</v>
      </c>
      <c r="G31" s="413">
        <f t="shared" si="0"/>
        <v>2.5079171618612826</v>
      </c>
      <c r="H31" s="334">
        <f t="shared" si="1"/>
        <v>0.27574973238629369</v>
      </c>
      <c r="I31" s="335">
        <v>2654.8927722773392</v>
      </c>
      <c r="J31" s="414">
        <f>I31*'[5]%Non-FF'!$AF$3/1000</f>
        <v>2.1239142178219025E-2</v>
      </c>
      <c r="K31" s="414">
        <f t="shared" si="2"/>
        <v>2.4866780196830636</v>
      </c>
      <c r="L31" s="414">
        <f>K31*'[5]FR SO Table'!$D$3</f>
        <v>2.1882766573210963</v>
      </c>
      <c r="M31" s="410">
        <v>15</v>
      </c>
      <c r="N31" s="414">
        <f t="shared" si="3"/>
        <v>37.300170295245955</v>
      </c>
      <c r="O31" s="414">
        <f>N31*'[5]FR SO Table'!$D$3</f>
        <v>32.824149859816444</v>
      </c>
      <c r="P31" s="415">
        <f>O31*F156</f>
        <v>1995.0518284796435</v>
      </c>
      <c r="Q31" s="417">
        <f>G31*M31*'[5]FR SO Table'!$D$3*F156</f>
        <v>2012.0919072926599</v>
      </c>
      <c r="R31" s="341" t="s">
        <v>810</v>
      </c>
      <c r="S31" s="400">
        <f>E31*VLOOKUP(R31,'[5]FR SO Table'!$A$35:$B$42,2,FALSE)</f>
        <v>3428.8072898600449</v>
      </c>
      <c r="T31" s="400">
        <f t="shared" si="4"/>
        <v>50339.735464934907</v>
      </c>
      <c r="U31" s="47"/>
      <c r="V31" s="47"/>
      <c r="W31" s="47"/>
    </row>
    <row r="32" spans="1:23" x14ac:dyDescent="0.3">
      <c r="A32" s="1066"/>
      <c r="B32" s="1074"/>
      <c r="C32" s="410" t="s">
        <v>949</v>
      </c>
      <c r="D32" s="411">
        <v>82.8</v>
      </c>
      <c r="E32" s="412">
        <v>28.473280505259833</v>
      </c>
      <c r="F32" s="332">
        <v>3426.4881818181802</v>
      </c>
      <c r="G32" s="413">
        <f t="shared" si="0"/>
        <v>3.127557173249103</v>
      </c>
      <c r="H32" s="334">
        <f>E32/D32</f>
        <v>0.34388019933888686</v>
      </c>
      <c r="I32" s="335">
        <v>3310.8465703790507</v>
      </c>
      <c r="J32" s="414">
        <f>I32*'[5]%Non-FF'!$AF$3/1000</f>
        <v>2.6486772563032796E-2</v>
      </c>
      <c r="K32" s="414">
        <f t="shared" si="2"/>
        <v>3.1010704006860701</v>
      </c>
      <c r="L32" s="414">
        <f>K32*'[5]FR SO Table'!$D$3</f>
        <v>2.7289419526037419</v>
      </c>
      <c r="M32" s="410">
        <v>15</v>
      </c>
      <c r="N32" s="414">
        <f t="shared" si="3"/>
        <v>46.516056010291052</v>
      </c>
      <c r="O32" s="414">
        <f>N32*'[5]FR SO Table'!$D$3</f>
        <v>40.934129289056131</v>
      </c>
      <c r="P32" s="415">
        <f>O32*F156</f>
        <v>2487.9763781888319</v>
      </c>
      <c r="Q32" s="417">
        <f>G32*M32*'[5]FR SO Table'!$D$3*F156</f>
        <v>2509.2266098690629</v>
      </c>
      <c r="R32" s="341" t="s">
        <v>810</v>
      </c>
      <c r="S32" s="400">
        <f>E32*VLOOKUP(R32,'[5]FR SO Table'!$A$35:$B$42,2,FALSE)</f>
        <v>4275.9748998773957</v>
      </c>
      <c r="T32" s="400">
        <f t="shared" si="4"/>
        <v>62440.7718782866</v>
      </c>
      <c r="U32" s="47"/>
      <c r="V32" s="47"/>
      <c r="W32" s="47"/>
    </row>
    <row r="33" spans="1:23" x14ac:dyDescent="0.3">
      <c r="A33" s="1066" t="s">
        <v>746</v>
      </c>
      <c r="B33" s="1074" t="s">
        <v>808</v>
      </c>
      <c r="C33" s="410" t="s">
        <v>954</v>
      </c>
      <c r="D33" s="411">
        <v>82.8</v>
      </c>
      <c r="E33" s="412">
        <v>9.0699035859727601</v>
      </c>
      <c r="F33" s="332">
        <v>2759.8</v>
      </c>
      <c r="G33" s="413">
        <f t="shared" si="0"/>
        <v>0.99625478756291308</v>
      </c>
      <c r="H33" s="334">
        <f t="shared" ref="H33:H38" si="5">E33/D33</f>
        <v>0.10953989838131353</v>
      </c>
      <c r="I33" s="335">
        <v>1054.6399518572978</v>
      </c>
      <c r="J33" s="414">
        <f>I33*'[5]%Non-FF'!$AF$3/1000</f>
        <v>8.437119614858506E-3</v>
      </c>
      <c r="K33" s="414">
        <f t="shared" si="2"/>
        <v>0.98781766794805459</v>
      </c>
      <c r="L33" s="414">
        <f>K33*'[5]FR SO Table'!$D$3</f>
        <v>0.86927954779428818</v>
      </c>
      <c r="M33" s="410">
        <v>15</v>
      </c>
      <c r="N33" s="414">
        <f t="shared" si="3"/>
        <v>14.81726501922082</v>
      </c>
      <c r="O33" s="414">
        <f>N33*'[5]FR SO Table'!$D$3</f>
        <v>13.039193216914322</v>
      </c>
      <c r="P33" s="415">
        <f>O33*F156</f>
        <v>792.52216372405246</v>
      </c>
      <c r="Q33" s="417">
        <f>G33*M33*'[5]FR SO Table'!$D$3*F156</f>
        <v>799.29123104257496</v>
      </c>
      <c r="R33" s="341" t="s">
        <v>810</v>
      </c>
      <c r="S33" s="400">
        <f>E33*VLOOKUP(R33,'[5]FR SO Table'!$A$35:$B$42,2,FALSE)</f>
        <v>1362.0727710234594</v>
      </c>
      <c r="T33" s="400">
        <f t="shared" si="4"/>
        <v>20258.712001952888</v>
      </c>
      <c r="U33" s="345"/>
      <c r="V33" s="345"/>
      <c r="W33" s="345"/>
    </row>
    <row r="34" spans="1:23" x14ac:dyDescent="0.3">
      <c r="A34" s="1066"/>
      <c r="B34" s="1074"/>
      <c r="C34" s="410" t="s">
        <v>955</v>
      </c>
      <c r="D34" s="411">
        <v>82.8</v>
      </c>
      <c r="E34" s="412">
        <v>10.792738722245977</v>
      </c>
      <c r="F34" s="332">
        <v>2763.7148469387757</v>
      </c>
      <c r="G34" s="413">
        <f t="shared" si="0"/>
        <v>1.1854941478741188</v>
      </c>
      <c r="H34" s="334">
        <f t="shared" si="5"/>
        <v>0.1303470860174635</v>
      </c>
      <c r="I34" s="335">
        <v>1254.9696188658115</v>
      </c>
      <c r="J34" s="414">
        <f>I34*'[5]%Non-FF'!$AF$3/1000</f>
        <v>1.0039756950926642E-2</v>
      </c>
      <c r="K34" s="414">
        <f t="shared" si="2"/>
        <v>1.175454390923192</v>
      </c>
      <c r="L34" s="414">
        <f>K34*'[5]FR SO Table'!$D$3</f>
        <v>1.034399864012409</v>
      </c>
      <c r="M34" s="410">
        <v>15</v>
      </c>
      <c r="N34" s="414">
        <f t="shared" si="3"/>
        <v>17.63181586384788</v>
      </c>
      <c r="O34" s="414">
        <f>N34*'[5]FR SO Table'!$D$3</f>
        <v>15.515997960186136</v>
      </c>
      <c r="P34" s="415">
        <f>O34*F156</f>
        <v>943.06235602011338</v>
      </c>
      <c r="Q34" s="417">
        <f>G34*M34*'[5]FR SO Table'!$D$3*F156</f>
        <v>951.11721286281409</v>
      </c>
      <c r="R34" s="341" t="s">
        <v>810</v>
      </c>
      <c r="S34" s="400">
        <f>E34*VLOOKUP(R34,'[5]FR SO Table'!$A$35:$B$42,2,FALSE)</f>
        <v>1620.7995376132897</v>
      </c>
      <c r="T34" s="400">
        <f t="shared" si="4"/>
        <v>24067.90656284217</v>
      </c>
    </row>
    <row r="35" spans="1:23" x14ac:dyDescent="0.3">
      <c r="A35" s="1066"/>
      <c r="B35" s="1074"/>
      <c r="C35" s="410" t="s">
        <v>956</v>
      </c>
      <c r="D35" s="411">
        <v>82.8</v>
      </c>
      <c r="E35" s="412">
        <v>12.084380487802303</v>
      </c>
      <c r="F35" s="332">
        <v>2761.0533464566915</v>
      </c>
      <c r="G35" s="413">
        <f t="shared" si="0"/>
        <v>1.3273704402243305</v>
      </c>
      <c r="H35" s="334">
        <f t="shared" si="5"/>
        <v>0.1459466242488201</v>
      </c>
      <c r="I35" s="335">
        <v>1405.1605218374773</v>
      </c>
      <c r="J35" s="414">
        <f>I35*'[5]%Non-FF'!$AF$3/1000</f>
        <v>1.1241284174699984E-2</v>
      </c>
      <c r="K35" s="414">
        <f t="shared" si="2"/>
        <v>1.3161291560496304</v>
      </c>
      <c r="L35" s="414">
        <f>K35*'[5]FR SO Table'!$D$3</f>
        <v>1.1581936573236749</v>
      </c>
      <c r="M35" s="410">
        <v>15</v>
      </c>
      <c r="N35" s="414">
        <f t="shared" si="3"/>
        <v>19.741937340744457</v>
      </c>
      <c r="O35" s="414">
        <f>N35*'[5]FR SO Table'!$D$3</f>
        <v>17.372904859855126</v>
      </c>
      <c r="P35" s="415">
        <f>O35*F156</f>
        <v>1055.9251573819945</v>
      </c>
      <c r="Q35" s="417">
        <f>G35*M35*'[5]FR SO Table'!$D$3*F156</f>
        <v>1064.9439947102196</v>
      </c>
      <c r="R35" s="341" t="s">
        <v>810</v>
      </c>
      <c r="S35" s="400">
        <f>E35*VLOOKUP(R35,'[5]FR SO Table'!$A$35:$B$42,2,FALSE)</f>
        <v>1814.771839755711</v>
      </c>
      <c r="T35" s="400">
        <f t="shared" si="4"/>
        <v>26915.57210689161</v>
      </c>
    </row>
    <row r="36" spans="1:23" x14ac:dyDescent="0.3">
      <c r="A36" s="1066"/>
      <c r="B36" s="1074"/>
      <c r="C36" s="410" t="s">
        <v>957</v>
      </c>
      <c r="D36" s="411">
        <v>82.8</v>
      </c>
      <c r="E36" s="412">
        <v>17.224236091122791</v>
      </c>
      <c r="F36" s="332">
        <v>2894.4784401114207</v>
      </c>
      <c r="G36" s="413">
        <f t="shared" si="0"/>
        <v>1.8919415741567214</v>
      </c>
      <c r="H36" s="334">
        <f t="shared" si="5"/>
        <v>0.20802217501356027</v>
      </c>
      <c r="I36" s="335">
        <v>2002.8181501305567</v>
      </c>
      <c r="J36" s="414">
        <f>I36*'[5]%Non-FF'!$AF$3/1000</f>
        <v>1.602254520104469E-2</v>
      </c>
      <c r="K36" s="414">
        <f t="shared" si="2"/>
        <v>1.8759190289556766</v>
      </c>
      <c r="L36" s="414">
        <f>K36*'[5]FR SO Table'!$D$3</f>
        <v>1.6508087454809957</v>
      </c>
      <c r="M36" s="410">
        <v>15</v>
      </c>
      <c r="N36" s="414">
        <f t="shared" si="3"/>
        <v>28.138785434335148</v>
      </c>
      <c r="O36" s="414">
        <f>N36*'[5]FR SO Table'!$D$3</f>
        <v>24.762131182214933</v>
      </c>
      <c r="P36" s="415">
        <f>O36*F156</f>
        <v>1505.0423332550236</v>
      </c>
      <c r="Q36" s="417">
        <f>G36*M36*'[5]FR SO Table'!$D$3*F156</f>
        <v>1517.8971571796412</v>
      </c>
      <c r="R36" s="341" t="s">
        <v>810</v>
      </c>
      <c r="S36" s="400">
        <f>E36*VLOOKUP(R36,'[5]FR SO Table'!$A$35:$B$42,2,FALSE)</f>
        <v>2586.649654984365</v>
      </c>
      <c r="T36" s="400">
        <f t="shared" si="4"/>
        <v>38178.074159521668</v>
      </c>
    </row>
    <row r="37" spans="1:23" x14ac:dyDescent="0.3">
      <c r="A37" s="1066"/>
      <c r="B37" s="1074"/>
      <c r="C37" s="410" t="s">
        <v>948</v>
      </c>
      <c r="D37" s="411">
        <v>82.8</v>
      </c>
      <c r="E37" s="412">
        <v>17.569283899099744</v>
      </c>
      <c r="F37" s="332">
        <v>3132.3553684210528</v>
      </c>
      <c r="G37" s="413">
        <f t="shared" si="0"/>
        <v>1.9298422560522568</v>
      </c>
      <c r="H37" s="334">
        <f t="shared" si="5"/>
        <v>0.21218941907125297</v>
      </c>
      <c r="I37" s="335">
        <v>2042.9399882674124</v>
      </c>
      <c r="J37" s="414">
        <f>I37*'[5]%Non-FF'!$AF$3/1000</f>
        <v>1.6343519906139539E-2</v>
      </c>
      <c r="K37" s="414">
        <f t="shared" si="2"/>
        <v>1.9134987361461173</v>
      </c>
      <c r="L37" s="414">
        <f>K37*'[5]FR SO Table'!$D$3</f>
        <v>1.6838788878085835</v>
      </c>
      <c r="M37" s="410">
        <v>15</v>
      </c>
      <c r="N37" s="414">
        <f t="shared" si="3"/>
        <v>28.70248104219176</v>
      </c>
      <c r="O37" s="414">
        <f>N37*'[5]FR SO Table'!$D$3</f>
        <v>25.258183317128751</v>
      </c>
      <c r="P37" s="415">
        <f>O37*F156</f>
        <v>1535.1923820150855</v>
      </c>
      <c r="Q37" s="417">
        <f>G37*M37*'[5]FR SO Table'!$D$3*F156</f>
        <v>1548.3047226617016</v>
      </c>
      <c r="R37" s="341" t="s">
        <v>810</v>
      </c>
      <c r="S37" s="400">
        <f>E37*VLOOKUP(R37,'[5]FR SO Table'!$A$35:$B$42,2,FALSE)</f>
        <v>2638.4672095473043</v>
      </c>
      <c r="T37" s="400">
        <f t="shared" si="4"/>
        <v>38930.18052279557</v>
      </c>
    </row>
    <row r="38" spans="1:23" x14ac:dyDescent="0.3">
      <c r="A38" s="1066"/>
      <c r="B38" s="1074"/>
      <c r="C38" s="410" t="s">
        <v>949</v>
      </c>
      <c r="D38" s="411">
        <v>82.8</v>
      </c>
      <c r="E38" s="412">
        <v>21.910189348797442</v>
      </c>
      <c r="F38" s="332">
        <v>3426.4881818181802</v>
      </c>
      <c r="G38" s="413">
        <f t="shared" si="0"/>
        <v>2.4066552448151848</v>
      </c>
      <c r="H38" s="334">
        <f t="shared" si="5"/>
        <v>0.26461581339127344</v>
      </c>
      <c r="I38" s="335">
        <v>2547.6964359066797</v>
      </c>
      <c r="J38" s="414">
        <f>I38*'[5]%Non-FF'!$AF$3/1000</f>
        <v>2.0381571487253738E-2</v>
      </c>
      <c r="K38" s="414">
        <f t="shared" si="2"/>
        <v>2.3862736733279308</v>
      </c>
      <c r="L38" s="414">
        <f>K38*'[5]FR SO Table'!$D$3</f>
        <v>2.0999208325285794</v>
      </c>
      <c r="M38" s="410">
        <v>15</v>
      </c>
      <c r="N38" s="414">
        <f t="shared" si="3"/>
        <v>35.794105099918966</v>
      </c>
      <c r="O38" s="414">
        <f>N38*'[5]FR SO Table'!$D$3</f>
        <v>31.498812487928692</v>
      </c>
      <c r="P38" s="415">
        <f>O38*F156</f>
        <v>1914.497823016306</v>
      </c>
      <c r="Q38" s="417">
        <f>G38*M38*'[5]FR SO Table'!$D$3*F156</f>
        <v>1930.8498762942438</v>
      </c>
      <c r="R38" s="341" t="s">
        <v>810</v>
      </c>
      <c r="S38" s="400">
        <f>E38*VLOOKUP(R38,'[5]FR SO Table'!$A$35:$B$42,2,FALSE)</f>
        <v>3290.362685455656</v>
      </c>
      <c r="T38" s="400">
        <f t="shared" si="4"/>
        <v>48349.498847445742</v>
      </c>
    </row>
    <row r="39" spans="1:23" x14ac:dyDescent="0.3">
      <c r="A39" s="1066" t="s">
        <v>747</v>
      </c>
      <c r="B39" s="1074" t="s">
        <v>808</v>
      </c>
      <c r="C39" s="410" t="s">
        <v>954</v>
      </c>
      <c r="D39" s="411">
        <v>82.8</v>
      </c>
      <c r="E39" s="412">
        <v>9.5472669326029056</v>
      </c>
      <c r="F39" s="332">
        <v>2759.8</v>
      </c>
      <c r="G39" s="413">
        <f t="shared" si="0"/>
        <v>1.0486892500662244</v>
      </c>
      <c r="H39" s="334">
        <f t="shared" ref="H39:H44" si="6">E39/D39</f>
        <v>0.11530515619085635</v>
      </c>
      <c r="I39" s="335">
        <v>1110.1473177445241</v>
      </c>
      <c r="J39" s="414">
        <f>I39*'[5]%Non-FF'!$AF$3/1000</f>
        <v>8.8811785419563236E-3</v>
      </c>
      <c r="K39" s="414">
        <f t="shared" si="2"/>
        <v>1.0398080715242681</v>
      </c>
      <c r="L39" s="414">
        <f>K39*'[5]FR SO Table'!$D$3</f>
        <v>0.91503110294135603</v>
      </c>
      <c r="M39" s="410">
        <v>15</v>
      </c>
      <c r="N39" s="414">
        <f t="shared" si="3"/>
        <v>15.597121072864022</v>
      </c>
      <c r="O39" s="414">
        <f>N39*'[5]FR SO Table'!$D$3</f>
        <v>13.725466544120341</v>
      </c>
      <c r="P39" s="415">
        <f>O39*F156</f>
        <v>834.23385655163429</v>
      </c>
      <c r="Q39" s="417">
        <f>G39*M39*'[5]FR SO Table'!$D$3*F156</f>
        <v>841.35919057113165</v>
      </c>
      <c r="R39" s="341" t="s">
        <v>810</v>
      </c>
      <c r="S39" s="400">
        <f>E39*VLOOKUP(R39,'[5]FR SO Table'!$A$35:$B$42,2,FALSE)</f>
        <v>1433.7608116036415</v>
      </c>
      <c r="T39" s="400">
        <f t="shared" si="4"/>
        <v>21315.409887739937</v>
      </c>
    </row>
    <row r="40" spans="1:23" x14ac:dyDescent="0.3">
      <c r="A40" s="1066"/>
      <c r="B40" s="1074"/>
      <c r="C40" s="410" t="s">
        <v>955</v>
      </c>
      <c r="D40" s="411">
        <v>82.8</v>
      </c>
      <c r="E40" s="412">
        <v>11.360777602364188</v>
      </c>
      <c r="F40" s="332">
        <v>2763.7148469387757</v>
      </c>
      <c r="G40" s="413">
        <f t="shared" si="0"/>
        <v>1.2478885767095989</v>
      </c>
      <c r="H40" s="334">
        <f t="shared" si="6"/>
        <v>0.13720745896575107</v>
      </c>
      <c r="I40" s="335">
        <v>1321.0206514376964</v>
      </c>
      <c r="J40" s="414">
        <f>I40*'[5]%Non-FF'!$AF$3/1000</f>
        <v>1.0568165211501727E-2</v>
      </c>
      <c r="K40" s="414">
        <f t="shared" si="2"/>
        <v>1.2373204114980971</v>
      </c>
      <c r="L40" s="414">
        <f>K40*'[5]FR SO Table'!$D$3</f>
        <v>1.0888419621183256</v>
      </c>
      <c r="M40" s="410">
        <v>15</v>
      </c>
      <c r="N40" s="414">
        <f t="shared" si="3"/>
        <v>18.559806172471458</v>
      </c>
      <c r="O40" s="414">
        <f>N40*'[5]FR SO Table'!$D$3</f>
        <v>16.332629431774883</v>
      </c>
      <c r="P40" s="415">
        <f>O40*F156</f>
        <v>992.69721686327739</v>
      </c>
      <c r="Q40" s="417">
        <f>G40*M40*'[5]FR SO Table'!$D$3*F156</f>
        <v>1001.1760135398044</v>
      </c>
      <c r="R40" s="341" t="s">
        <v>810</v>
      </c>
      <c r="S40" s="400">
        <f>E40*VLOOKUP(R40,'[5]FR SO Table'!$A$35:$B$42,2,FALSE)</f>
        <v>1706.1047764350419</v>
      </c>
      <c r="T40" s="400">
        <f t="shared" si="4"/>
        <v>25321.115689343165</v>
      </c>
    </row>
    <row r="41" spans="1:23" x14ac:dyDescent="0.3">
      <c r="A41" s="1066"/>
      <c r="B41" s="1074"/>
      <c r="C41" s="410" t="s">
        <v>956</v>
      </c>
      <c r="D41" s="411">
        <v>82.8</v>
      </c>
      <c r="E41" s="412">
        <v>12.720400513476109</v>
      </c>
      <c r="F41" s="332">
        <v>2761.0533464566915</v>
      </c>
      <c r="G41" s="413">
        <f t="shared" si="0"/>
        <v>1.3972320423414006</v>
      </c>
      <c r="H41" s="334">
        <f t="shared" si="6"/>
        <v>0.15362802552507379</v>
      </c>
      <c r="I41" s="335">
        <v>1479.116338776292</v>
      </c>
      <c r="J41" s="414">
        <f>I41*'[5]%Non-FF'!$AF$3/1000</f>
        <v>1.183293071021051E-2</v>
      </c>
      <c r="K41" s="414">
        <f t="shared" si="2"/>
        <v>1.3853991116311901</v>
      </c>
      <c r="L41" s="414">
        <f>K41*'[5]FR SO Table'!$D$3</f>
        <v>1.2191512182354474</v>
      </c>
      <c r="M41" s="410">
        <v>15</v>
      </c>
      <c r="N41" s="414">
        <f t="shared" si="3"/>
        <v>20.780986674467851</v>
      </c>
      <c r="O41" s="414">
        <f>N41*'[5]FR SO Table'!$D$3</f>
        <v>18.287268273531712</v>
      </c>
      <c r="P41" s="415">
        <f>O41*F156</f>
        <v>1111.5001656652576</v>
      </c>
      <c r="Q41" s="417">
        <f>G41*M41*'[5]FR SO Table'!$D$3*F156</f>
        <v>1120.9936786423366</v>
      </c>
      <c r="R41" s="341" t="s">
        <v>810</v>
      </c>
      <c r="S41" s="400">
        <f>E41*VLOOKUP(R41,'[5]FR SO Table'!$A$35:$B$42,2,FALSE)</f>
        <v>1910.2861471112749</v>
      </c>
      <c r="T41" s="400">
        <f t="shared" si="4"/>
        <v>28315.227952437483</v>
      </c>
    </row>
    <row r="42" spans="1:23" x14ac:dyDescent="0.3">
      <c r="A42" s="1066"/>
      <c r="B42" s="1074"/>
      <c r="C42" s="410" t="s">
        <v>957</v>
      </c>
      <c r="D42" s="411">
        <v>82.8</v>
      </c>
      <c r="E42" s="412">
        <v>18.130774832760832</v>
      </c>
      <c r="F42" s="332">
        <v>2894.4784401114207</v>
      </c>
      <c r="G42" s="413">
        <f t="shared" si="0"/>
        <v>1.9915174464807595</v>
      </c>
      <c r="H42" s="334">
        <f t="shared" si="6"/>
        <v>0.21897071054058975</v>
      </c>
      <c r="I42" s="335">
        <v>2108.2296317163755</v>
      </c>
      <c r="J42" s="414">
        <f>I42*'[5]%Non-FF'!$AF$3/1000</f>
        <v>1.686583705373125E-2</v>
      </c>
      <c r="K42" s="414">
        <f t="shared" si="2"/>
        <v>1.9746516094270281</v>
      </c>
      <c r="L42" s="414">
        <f>K42*'[5]FR SO Table'!$D$3</f>
        <v>1.7376934162957849</v>
      </c>
      <c r="M42" s="410">
        <v>15</v>
      </c>
      <c r="N42" s="414">
        <f t="shared" si="3"/>
        <v>29.619774141405422</v>
      </c>
      <c r="O42" s="414">
        <f>N42*'[5]FR SO Table'!$D$3</f>
        <v>26.065401244436774</v>
      </c>
      <c r="P42" s="415">
        <f>O42*F156</f>
        <v>1584.2550876368671</v>
      </c>
      <c r="Q42" s="417">
        <f>G42*M42*'[5]FR SO Table'!$D$3*F156</f>
        <v>1597.7864812417276</v>
      </c>
      <c r="R42" s="341" t="s">
        <v>810</v>
      </c>
      <c r="S42" s="400">
        <f>E42*VLOOKUP(R42,'[5]FR SO Table'!$A$35:$B$42,2,FALSE)</f>
        <v>2722.7891105098579</v>
      </c>
      <c r="T42" s="400">
        <f t="shared" si="4"/>
        <v>40153.00489560487</v>
      </c>
      <c r="U42" s="72"/>
      <c r="V42" s="72"/>
      <c r="W42" s="72"/>
    </row>
    <row r="43" spans="1:23" x14ac:dyDescent="0.3">
      <c r="A43" s="1066"/>
      <c r="B43" s="1074"/>
      <c r="C43" s="410" t="s">
        <v>948</v>
      </c>
      <c r="D43" s="411">
        <v>82.8</v>
      </c>
      <c r="E43" s="412">
        <v>18.493983051683944</v>
      </c>
      <c r="F43" s="332">
        <v>3132.3553684210528</v>
      </c>
      <c r="G43" s="413">
        <f t="shared" si="0"/>
        <v>2.0314129011076392</v>
      </c>
      <c r="H43" s="334">
        <f t="shared" si="6"/>
        <v>0.22335728323289789</v>
      </c>
      <c r="I43" s="335">
        <v>2150.4631455446447</v>
      </c>
      <c r="J43" s="414">
        <f>I43*'[5]%Non-FF'!$AF$3/1000</f>
        <v>1.7203705164357413E-2</v>
      </c>
      <c r="K43" s="414">
        <f t="shared" si="2"/>
        <v>2.0142091959432817</v>
      </c>
      <c r="L43" s="414">
        <f>K43*'[5]FR SO Table'!$D$3</f>
        <v>1.7725040924300881</v>
      </c>
      <c r="M43" s="410">
        <v>15</v>
      </c>
      <c r="N43" s="414">
        <f t="shared" si="3"/>
        <v>30.213137939149227</v>
      </c>
      <c r="O43" s="414">
        <f>N43*'[5]FR SO Table'!$D$3</f>
        <v>26.587561386451323</v>
      </c>
      <c r="P43" s="415">
        <f>O43*F156</f>
        <v>1615.9919810685114</v>
      </c>
      <c r="Q43" s="417">
        <f>G43*M43*'[5]FR SO Table'!$D$3*F156</f>
        <v>1629.7944449070546</v>
      </c>
      <c r="R43" s="341" t="s">
        <v>810</v>
      </c>
      <c r="S43" s="400">
        <f>E43*VLOOKUP(R43,'[5]FR SO Table'!$A$35:$B$42,2,FALSE)</f>
        <v>2777.3339047866366</v>
      </c>
      <c r="T43" s="400">
        <f t="shared" si="4"/>
        <v>40943.302067185701</v>
      </c>
      <c r="U43" s="47"/>
      <c r="V43" s="47"/>
      <c r="W43" s="47"/>
    </row>
    <row r="44" spans="1:23" x14ac:dyDescent="0.3">
      <c r="A44" s="1066"/>
      <c r="B44" s="1074"/>
      <c r="C44" s="410" t="s">
        <v>949</v>
      </c>
      <c r="D44" s="411">
        <v>82.8</v>
      </c>
      <c r="E44" s="412">
        <v>23.063357209260467</v>
      </c>
      <c r="F44" s="332">
        <v>3426.4881818181802</v>
      </c>
      <c r="G44" s="413">
        <f t="shared" si="0"/>
        <v>2.533321310331774</v>
      </c>
      <c r="H44" s="334">
        <f t="shared" si="6"/>
        <v>0.27854296146449842</v>
      </c>
      <c r="I44" s="335">
        <v>2681.7857220070314</v>
      </c>
      <c r="J44" s="414">
        <f>I44*'[5]%Non-FF'!$AF$3/1000</f>
        <v>2.145428577605657E-2</v>
      </c>
      <c r="K44" s="414">
        <f t="shared" si="2"/>
        <v>2.5118670245557175</v>
      </c>
      <c r="L44" s="414">
        <f>K44*'[5]FR SO Table'!$D$3</f>
        <v>2.2104429816090319</v>
      </c>
      <c r="M44" s="410">
        <v>15</v>
      </c>
      <c r="N44" s="414">
        <f t="shared" si="3"/>
        <v>37.678005368335761</v>
      </c>
      <c r="O44" s="414">
        <f>N44*'[5]FR SO Table'!$D$3</f>
        <v>33.156644724135475</v>
      </c>
      <c r="P44" s="415">
        <f>O44*F156</f>
        <v>2015.2608663329543</v>
      </c>
      <c r="Q44" s="417">
        <f>G44*M44*'[5]FR SO Table'!$D$3*F156</f>
        <v>2032.4735539939411</v>
      </c>
      <c r="R44" s="341" t="s">
        <v>810</v>
      </c>
      <c r="S44" s="400">
        <f>E44*VLOOKUP(R44,'[5]FR SO Table'!$A$35:$B$42,2,FALSE)</f>
        <v>3463.5396689006907</v>
      </c>
      <c r="T44" s="400">
        <f t="shared" si="4"/>
        <v>50838.478485710802</v>
      </c>
      <c r="U44" s="47"/>
      <c r="V44" s="47"/>
      <c r="W44" s="47"/>
    </row>
    <row r="45" spans="1:23" x14ac:dyDescent="0.3">
      <c r="A45" s="1066" t="s">
        <v>748</v>
      </c>
      <c r="B45" s="1074" t="s">
        <v>808</v>
      </c>
      <c r="C45" s="410" t="s">
        <v>954</v>
      </c>
      <c r="D45" s="411">
        <v>82.8</v>
      </c>
      <c r="E45" s="412">
        <v>11.197411834534272</v>
      </c>
      <c r="F45" s="332">
        <v>2759.8</v>
      </c>
      <c r="G45" s="413">
        <f t="shared" si="0"/>
        <v>1.2299441821764359</v>
      </c>
      <c r="H45" s="334">
        <f t="shared" ref="H45:H68" si="7">E45/D45</f>
        <v>0.13523444244606608</v>
      </c>
      <c r="I45" s="335">
        <v>1302.0246319225898</v>
      </c>
      <c r="J45" s="414">
        <f>I45*'[5]%Non-FF'!$AF$3/1000</f>
        <v>1.0416197055380872E-2</v>
      </c>
      <c r="K45" s="414">
        <f t="shared" si="2"/>
        <v>1.219527985121055</v>
      </c>
      <c r="L45" s="414">
        <f>K45*'[5]FR SO Table'!$D$3</f>
        <v>1.0731846269065286</v>
      </c>
      <c r="M45" s="410">
        <v>15</v>
      </c>
      <c r="N45" s="414">
        <f t="shared" si="3"/>
        <v>18.292919776815825</v>
      </c>
      <c r="O45" s="414">
        <f>N45*'[5]FR SO Table'!$D$3</f>
        <v>16.09776940359793</v>
      </c>
      <c r="P45" s="415">
        <f>O45*F156</f>
        <v>978.42242435068215</v>
      </c>
      <c r="Q45" s="417">
        <f>G45*M45*'[5]FR SO Table'!$D$3*F156</f>
        <v>986.77929758342589</v>
      </c>
      <c r="R45" s="341" t="s">
        <v>810</v>
      </c>
      <c r="S45" s="400">
        <f>E45*VLOOKUP(R45,'[5]FR SO Table'!$A$35:$B$42,2,FALSE)</f>
        <v>1681.5713222511845</v>
      </c>
      <c r="T45" s="400">
        <f t="shared" si="4"/>
        <v>24960.836159939081</v>
      </c>
      <c r="U45" s="345"/>
      <c r="V45" s="345"/>
      <c r="W45" s="345"/>
    </row>
    <row r="46" spans="1:23" x14ac:dyDescent="0.3">
      <c r="A46" s="1066"/>
      <c r="B46" s="1074"/>
      <c r="C46" s="410" t="s">
        <v>955</v>
      </c>
      <c r="D46" s="411">
        <v>82.8</v>
      </c>
      <c r="E46" s="412">
        <v>13.324368792896268</v>
      </c>
      <c r="F46" s="332">
        <v>2763.7148469387757</v>
      </c>
      <c r="G46" s="413">
        <f t="shared" si="0"/>
        <v>1.4635730220668133</v>
      </c>
      <c r="H46" s="334">
        <f t="shared" si="7"/>
        <v>0.1609223284166216</v>
      </c>
      <c r="I46" s="335">
        <v>1549.3452084763105</v>
      </c>
      <c r="J46" s="414">
        <f>I46*'[5]%Non-FF'!$AF$3/1000</f>
        <v>1.2394761667810669E-2</v>
      </c>
      <c r="K46" s="414">
        <f t="shared" si="2"/>
        <v>1.4511782603990027</v>
      </c>
      <c r="L46" s="414">
        <f>K46*'[5]FR SO Table'!$D$3</f>
        <v>1.2770368691511225</v>
      </c>
      <c r="M46" s="410">
        <v>15</v>
      </c>
      <c r="N46" s="414">
        <f t="shared" si="3"/>
        <v>21.767673905985038</v>
      </c>
      <c r="O46" s="414">
        <f>N46*'[5]FR SO Table'!$D$3</f>
        <v>19.155553037266838</v>
      </c>
      <c r="P46" s="415">
        <f>O46*F156</f>
        <v>1164.2745136050785</v>
      </c>
      <c r="Q46" s="417">
        <f>G46*M46*'[5]FR SO Table'!$D$3*F156</f>
        <v>1174.2187813121163</v>
      </c>
      <c r="R46" s="341" t="s">
        <v>810</v>
      </c>
      <c r="S46" s="400">
        <f>E46*VLOOKUP(R46,'[5]FR SO Table'!$A$35:$B$42,2,FALSE)</f>
        <v>2000.9870834731971</v>
      </c>
      <c r="T46" s="400">
        <f t="shared" si="4"/>
        <v>29642.779882097693</v>
      </c>
    </row>
    <row r="47" spans="1:23" x14ac:dyDescent="0.3">
      <c r="A47" s="1066"/>
      <c r="B47" s="1074"/>
      <c r="C47" s="410" t="s">
        <v>956</v>
      </c>
      <c r="D47" s="411">
        <v>82.8</v>
      </c>
      <c r="E47" s="412">
        <v>14.918988256546053</v>
      </c>
      <c r="F47" s="332">
        <v>2761.0533464566915</v>
      </c>
      <c r="G47" s="413">
        <f t="shared" si="0"/>
        <v>1.6387289385485559</v>
      </c>
      <c r="H47" s="334">
        <f t="shared" si="7"/>
        <v>0.18018101759113592</v>
      </c>
      <c r="I47" s="335">
        <v>1734.7660763425645</v>
      </c>
      <c r="J47" s="414">
        <f>I47*'[5]%Non-FF'!$AF$3/1000</f>
        <v>1.387812861074072E-2</v>
      </c>
      <c r="K47" s="414">
        <f t="shared" si="2"/>
        <v>1.6248508099378152</v>
      </c>
      <c r="L47" s="414">
        <f>K47*'[5]FR SO Table'!$D$3</f>
        <v>1.4298687127452776</v>
      </c>
      <c r="M47" s="410">
        <v>15</v>
      </c>
      <c r="N47" s="414">
        <f t="shared" si="3"/>
        <v>24.372762149067228</v>
      </c>
      <c r="O47" s="414">
        <f>N47*'[5]FR SO Table'!$D$3</f>
        <v>21.448030691179163</v>
      </c>
      <c r="P47" s="415">
        <f>O47*F156</f>
        <v>1303.6113054098696</v>
      </c>
      <c r="Q47" s="417">
        <f>G47*M47*'[5]FR SO Table'!$D$3*F156</f>
        <v>1314.7456724817525</v>
      </c>
      <c r="R47" s="341" t="s">
        <v>810</v>
      </c>
      <c r="S47" s="400">
        <f>E47*VLOOKUP(R47,'[5]FR SO Table'!$A$35:$B$42,2,FALSE)</f>
        <v>2240.4590614268036</v>
      </c>
      <c r="T47" s="400">
        <f t="shared" si="4"/>
        <v>33140.48523637835</v>
      </c>
    </row>
    <row r="48" spans="1:23" x14ac:dyDescent="0.3">
      <c r="A48" s="1066"/>
      <c r="B48" s="1074"/>
      <c r="C48" s="410" t="s">
        <v>957</v>
      </c>
      <c r="D48" s="411">
        <v>82.8</v>
      </c>
      <c r="E48" s="412">
        <v>21.26448900138616</v>
      </c>
      <c r="F48" s="332">
        <v>2894.4784401114207</v>
      </c>
      <c r="G48" s="413">
        <f t="shared" si="0"/>
        <v>2.3357303384650883</v>
      </c>
      <c r="H48" s="334">
        <f t="shared" si="7"/>
        <v>0.25681750001674108</v>
      </c>
      <c r="I48" s="335">
        <v>2472.6150001611809</v>
      </c>
      <c r="J48" s="414">
        <f>I48*'[5]%Non-FF'!$AF$3/1000</f>
        <v>1.978092000128974E-2</v>
      </c>
      <c r="K48" s="414">
        <f t="shared" si="2"/>
        <v>2.3159494184637985</v>
      </c>
      <c r="L48" s="414">
        <f>K48*'[5]FR SO Table'!$D$3</f>
        <v>2.0380354882481431</v>
      </c>
      <c r="M48" s="410">
        <v>15</v>
      </c>
      <c r="N48" s="414">
        <f t="shared" si="3"/>
        <v>34.739241276956975</v>
      </c>
      <c r="O48" s="414">
        <f>N48*'[5]FR SO Table'!$D$3</f>
        <v>30.570532323722141</v>
      </c>
      <c r="P48" s="415">
        <f>O48*F156</f>
        <v>1858.0769546358317</v>
      </c>
      <c r="Q48" s="417">
        <f>G48*M48*'[5]FR SO Table'!$D$3*F156</f>
        <v>1873.9471076291866</v>
      </c>
      <c r="R48" s="341" t="s">
        <v>810</v>
      </c>
      <c r="S48" s="400">
        <f>E48*VLOOKUP(R48,'[5]FR SO Table'!$A$35:$B$42,2,FALSE)</f>
        <v>3193.3946357831669</v>
      </c>
      <c r="T48" s="400">
        <f t="shared" si="4"/>
        <v>46953.395279402888</v>
      </c>
    </row>
    <row r="49" spans="1:20" x14ac:dyDescent="0.3">
      <c r="A49" s="1066"/>
      <c r="B49" s="1074"/>
      <c r="C49" s="410" t="s">
        <v>948</v>
      </c>
      <c r="D49" s="411">
        <v>82.8</v>
      </c>
      <c r="E49" s="412">
        <v>21.690473949505858</v>
      </c>
      <c r="F49" s="332">
        <v>3132.3553684210528</v>
      </c>
      <c r="G49" s="413">
        <f t="shared" si="0"/>
        <v>2.3825213037682182</v>
      </c>
      <c r="H49" s="334">
        <f t="shared" si="7"/>
        <v>0.26196224576697896</v>
      </c>
      <c r="I49" s="335">
        <v>2522.148133663472</v>
      </c>
      <c r="J49" s="414">
        <f>I49*'[5]%Non-FF'!$AF$3/1000</f>
        <v>2.0177185069308073E-2</v>
      </c>
      <c r="K49" s="414">
        <f t="shared" si="2"/>
        <v>2.36234411869891</v>
      </c>
      <c r="L49" s="414">
        <f>K49*'[5]FR SO Table'!$D$3</f>
        <v>2.0788628244550411</v>
      </c>
      <c r="M49" s="410">
        <v>15</v>
      </c>
      <c r="N49" s="414">
        <f t="shared" si="3"/>
        <v>35.435161780483654</v>
      </c>
      <c r="O49" s="414">
        <f>N49*'[5]FR SO Table'!$D$3</f>
        <v>31.182942366825618</v>
      </c>
      <c r="P49" s="415">
        <f>O49*F156</f>
        <v>1895.299237055661</v>
      </c>
      <c r="Q49" s="417">
        <f>G49*M49*'[5]FR SO Table'!$D$3*F156</f>
        <v>1911.4873119280269</v>
      </c>
      <c r="R49" s="341" t="s">
        <v>810</v>
      </c>
      <c r="S49" s="400">
        <f>E49*VLOOKUP(R49,'[5]FR SO Table'!$A$35:$B$42,2,FALSE)</f>
        <v>3257.3669253670423</v>
      </c>
      <c r="T49" s="400">
        <f t="shared" si="4"/>
        <v>47874.636451129023</v>
      </c>
    </row>
    <row r="50" spans="1:20" x14ac:dyDescent="0.3">
      <c r="A50" s="1066"/>
      <c r="B50" s="1074"/>
      <c r="C50" s="410" t="s">
        <v>949</v>
      </c>
      <c r="D50" s="411">
        <v>82.8</v>
      </c>
      <c r="E50" s="412">
        <v>27.049616479996839</v>
      </c>
      <c r="F50" s="332">
        <v>3426.4881818181802</v>
      </c>
      <c r="G50" s="413">
        <f t="shared" si="0"/>
        <v>2.9711793145866476</v>
      </c>
      <c r="H50" s="334">
        <f t="shared" si="7"/>
        <v>0.32668618937194249</v>
      </c>
      <c r="I50" s="335">
        <v>3145.304241860098</v>
      </c>
      <c r="J50" s="414">
        <f>I50*'[5]%Non-FF'!$AF$3/1000</f>
        <v>2.5162433934881157E-2</v>
      </c>
      <c r="K50" s="414">
        <f t="shared" si="2"/>
        <v>2.9460168806517664</v>
      </c>
      <c r="L50" s="414">
        <f>K50*'[5]FR SO Table'!$D$3</f>
        <v>2.5924948549735549</v>
      </c>
      <c r="M50" s="410">
        <v>15</v>
      </c>
      <c r="N50" s="414">
        <f t="shared" si="3"/>
        <v>44.190253209776493</v>
      </c>
      <c r="O50" s="414">
        <f>N50*'[5]FR SO Table'!$D$3</f>
        <v>38.88742282460332</v>
      </c>
      <c r="P50" s="415">
        <f>O50*F156</f>
        <v>2363.5775592793898</v>
      </c>
      <c r="Q50" s="417">
        <f>G50*M50*'[5]FR SO Table'!$D$3*F156</f>
        <v>2383.7652793756092</v>
      </c>
      <c r="R50" s="341" t="s">
        <v>810</v>
      </c>
      <c r="S50" s="400">
        <f>E50*VLOOKUP(R50,'[5]FR SO Table'!$A$35:$B$42,2,FALSE)</f>
        <v>4062.1761548835257</v>
      </c>
      <c r="T50" s="400">
        <f t="shared" si="4"/>
        <v>59399.428736316288</v>
      </c>
    </row>
    <row r="51" spans="1:20" ht="13.2" customHeight="1" x14ac:dyDescent="0.3">
      <c r="A51" s="1065" t="s">
        <v>751</v>
      </c>
      <c r="B51" s="1068" t="s">
        <v>808</v>
      </c>
      <c r="C51" s="410" t="s">
        <v>958</v>
      </c>
      <c r="D51" s="412">
        <v>11.6</v>
      </c>
      <c r="E51" s="412">
        <v>11.6</v>
      </c>
      <c r="F51" s="332">
        <v>1575</v>
      </c>
      <c r="G51" s="413">
        <f t="shared" si="0"/>
        <v>1.2741652021089631</v>
      </c>
      <c r="H51" s="334">
        <f t="shared" si="7"/>
        <v>1</v>
      </c>
      <c r="I51" s="335">
        <v>1565.9424891866013</v>
      </c>
      <c r="J51" s="414">
        <f>I51*'[5]%Non-FF'!$AG$3/1000</f>
        <v>1.445485374633791E-2</v>
      </c>
      <c r="K51" s="414">
        <f t="shared" si="2"/>
        <v>1.2597103483626253</v>
      </c>
      <c r="L51" s="414">
        <f>K51*'[5]FR SO Table'!$D$4</f>
        <v>1.3856813831988879</v>
      </c>
      <c r="M51" s="410">
        <v>13</v>
      </c>
      <c r="N51" s="414">
        <f t="shared" si="3"/>
        <v>16.376234528714129</v>
      </c>
      <c r="O51" s="414">
        <f>N51*'[5]FR SO Table'!$D$4</f>
        <v>18.013857981585542</v>
      </c>
      <c r="P51" s="415">
        <f>O51*F156</f>
        <v>1094.8822881207693</v>
      </c>
      <c r="Q51" s="416">
        <f>G51*M51*'[5]FR SO Table'!$D$4*F156</f>
        <v>1107.4457820738139</v>
      </c>
      <c r="R51" s="341" t="s">
        <v>810</v>
      </c>
      <c r="S51" s="400">
        <f>E51*VLOOKUP(R51,'[5]FR SO Table'!$A$35:$B$42,2,FALSE)</f>
        <v>1742.03</v>
      </c>
      <c r="T51" s="400">
        <f t="shared" si="4"/>
        <v>22319.039744667469</v>
      </c>
    </row>
    <row r="52" spans="1:20" x14ac:dyDescent="0.3">
      <c r="A52" s="1066"/>
      <c r="B52" s="1069"/>
      <c r="C52" s="410" t="s">
        <v>959</v>
      </c>
      <c r="D52" s="412">
        <v>11.76</v>
      </c>
      <c r="E52" s="412">
        <v>11.76</v>
      </c>
      <c r="F52" s="332">
        <v>1703</v>
      </c>
      <c r="G52" s="413">
        <f t="shared" si="0"/>
        <v>1.2917398945518455</v>
      </c>
      <c r="H52" s="334">
        <f t="shared" si="7"/>
        <v>1</v>
      </c>
      <c r="I52" s="335">
        <v>1493.7863156652577</v>
      </c>
      <c r="J52" s="414">
        <f>I52*'[5]%Non-FF'!$AG$3/1000</f>
        <v>1.3788796759987045E-2</v>
      </c>
      <c r="K52" s="414">
        <f t="shared" si="2"/>
        <v>1.2779510977918584</v>
      </c>
      <c r="L52" s="414">
        <f>K52*'[5]FR SO Table'!$D$4</f>
        <v>1.4057462075710445</v>
      </c>
      <c r="M52" s="410">
        <v>13</v>
      </c>
      <c r="N52" s="414">
        <f t="shared" si="3"/>
        <v>16.613364271294159</v>
      </c>
      <c r="O52" s="414">
        <f>N52*'[5]FR SO Table'!$D$4</f>
        <v>18.274700698423576</v>
      </c>
      <c r="P52" s="415">
        <f>O52*F156</f>
        <v>1110.7363084501849</v>
      </c>
      <c r="Q52" s="416">
        <f>G52*M52*'[5]FR SO Table'!$D$4*F156</f>
        <v>1122.7208963093146</v>
      </c>
      <c r="R52" s="341" t="s">
        <v>810</v>
      </c>
      <c r="S52" s="400">
        <f>E52*VLOOKUP(R52,'[5]FR SO Table'!$A$35:$B$42,2,FALSE)</f>
        <v>1766.058</v>
      </c>
      <c r="T52" s="400">
        <f t="shared" si="4"/>
        <v>22642.180407231463</v>
      </c>
    </row>
    <row r="53" spans="1:20" x14ac:dyDescent="0.3">
      <c r="A53" s="1066"/>
      <c r="B53" s="1069"/>
      <c r="C53" s="410" t="s">
        <v>960</v>
      </c>
      <c r="D53" s="412">
        <v>12.24</v>
      </c>
      <c r="E53" s="412">
        <v>12.24</v>
      </c>
      <c r="F53" s="332">
        <v>1703</v>
      </c>
      <c r="G53" s="413">
        <f t="shared" si="0"/>
        <v>1.3444639718804923</v>
      </c>
      <c r="H53" s="334">
        <f t="shared" si="7"/>
        <v>1</v>
      </c>
      <c r="I53" s="335">
        <v>1275.9487991538906</v>
      </c>
      <c r="J53" s="414">
        <f>I53*'[5]%Non-FF'!$AG$3/1000</f>
        <v>1.1777988915266725E-2</v>
      </c>
      <c r="K53" s="414">
        <f t="shared" si="2"/>
        <v>1.3326859829652256</v>
      </c>
      <c r="L53" s="414">
        <f>K53*'[5]FR SO Table'!$D$4</f>
        <v>1.4659545812617483</v>
      </c>
      <c r="M53" s="410">
        <v>13</v>
      </c>
      <c r="N53" s="414">
        <f t="shared" si="3"/>
        <v>17.324917778547931</v>
      </c>
      <c r="O53" s="414">
        <f>N53*'[5]FR SO Table'!$D$4</f>
        <v>19.057409556402725</v>
      </c>
      <c r="P53" s="415">
        <f>O53*F156</f>
        <v>1158.3093528381576</v>
      </c>
      <c r="Q53" s="416">
        <f>G53*M53*'[5]FR SO Table'!$D$4*F156</f>
        <v>1168.5462390158175</v>
      </c>
      <c r="R53" s="341" t="s">
        <v>810</v>
      </c>
      <c r="S53" s="400">
        <f>E53*VLOOKUP(R53,'[5]FR SO Table'!$A$35:$B$42,2,FALSE)</f>
        <v>1838.1420000000003</v>
      </c>
      <c r="T53" s="400">
        <f t="shared" si="4"/>
        <v>23614.400990691083</v>
      </c>
    </row>
    <row r="54" spans="1:20" x14ac:dyDescent="0.3">
      <c r="A54" s="1066"/>
      <c r="B54" s="1069"/>
      <c r="C54" s="410" t="s">
        <v>961</v>
      </c>
      <c r="D54" s="412">
        <v>12.18</v>
      </c>
      <c r="E54" s="412">
        <v>12.18</v>
      </c>
      <c r="F54" s="332">
        <v>1575</v>
      </c>
      <c r="G54" s="413">
        <f t="shared" si="0"/>
        <v>1.3378734622144113</v>
      </c>
      <c r="H54" s="334">
        <f t="shared" si="7"/>
        <v>1</v>
      </c>
      <c r="I54" s="335">
        <v>1302.0195977506571</v>
      </c>
      <c r="J54" s="414">
        <f>I54*'[5]%Non-FF'!$AG$3/1000</f>
        <v>1.2018642440775339E-2</v>
      </c>
      <c r="K54" s="414">
        <f t="shared" si="2"/>
        <v>1.325854819773636</v>
      </c>
      <c r="L54" s="414">
        <f>K54*'[5]FR SO Table'!$D$4</f>
        <v>1.4584403017509997</v>
      </c>
      <c r="M54" s="410">
        <v>13</v>
      </c>
      <c r="N54" s="414">
        <f t="shared" si="3"/>
        <v>17.236112657057266</v>
      </c>
      <c r="O54" s="414">
        <f>N54*'[5]FR SO Table'!$D$4</f>
        <v>18.959723922762993</v>
      </c>
      <c r="P54" s="415">
        <f>O54*F156</f>
        <v>1152.3720200255348</v>
      </c>
      <c r="Q54" s="416">
        <f>G54*M54*'[5]FR SO Table'!$D$4*F156</f>
        <v>1162.8180711775046</v>
      </c>
      <c r="R54" s="341" t="s">
        <v>810</v>
      </c>
      <c r="S54" s="400">
        <f>E54*VLOOKUP(R54,'[5]FR SO Table'!$A$35:$B$42,2,FALSE)</f>
        <v>1829.1315000000002</v>
      </c>
      <c r="T54" s="400">
        <f t="shared" si="4"/>
        <v>23492.921692816435</v>
      </c>
    </row>
    <row r="55" spans="1:20" x14ac:dyDescent="0.3">
      <c r="A55" s="1066"/>
      <c r="B55" s="1069"/>
      <c r="C55" s="410" t="s">
        <v>962</v>
      </c>
      <c r="D55" s="412">
        <v>12.31</v>
      </c>
      <c r="E55" s="412">
        <v>12.31</v>
      </c>
      <c r="F55" s="332">
        <v>1703</v>
      </c>
      <c r="G55" s="413">
        <f t="shared" si="0"/>
        <v>1.3521528998242534</v>
      </c>
      <c r="H55" s="334">
        <f t="shared" si="7"/>
        <v>1</v>
      </c>
      <c r="I55" s="335">
        <v>1242.0245770699892</v>
      </c>
      <c r="J55" s="414">
        <f>I55*'[5]%Non-FF'!$AG$3/1000</f>
        <v>1.1464842249876865E-2</v>
      </c>
      <c r="K55" s="414">
        <f t="shared" si="2"/>
        <v>1.3406880575743765</v>
      </c>
      <c r="L55" s="414">
        <f>K55*'[5]FR SO Table'!$D$4</f>
        <v>1.4747568633318142</v>
      </c>
      <c r="M55" s="410">
        <v>13</v>
      </c>
      <c r="N55" s="414">
        <f t="shared" si="3"/>
        <v>17.428944748466893</v>
      </c>
      <c r="O55" s="414">
        <f>N55*'[5]FR SO Table'!$D$4</f>
        <v>19.171839223313583</v>
      </c>
      <c r="P55" s="415">
        <f>O55*F156</f>
        <v>1165.2643879929997</v>
      </c>
      <c r="Q55" s="416">
        <f>G55*M55*'[5]FR SO Table'!$D$4*F156</f>
        <v>1175.2291014938492</v>
      </c>
      <c r="R55" s="341" t="s">
        <v>810</v>
      </c>
      <c r="S55" s="400">
        <f>E55*VLOOKUP(R55,'[5]FR SO Table'!$A$35:$B$42,2,FALSE)</f>
        <v>1848.6542500000003</v>
      </c>
      <c r="T55" s="400">
        <f t="shared" si="4"/>
        <v>23756.976368439413</v>
      </c>
    </row>
    <row r="56" spans="1:20" x14ac:dyDescent="0.3">
      <c r="A56" s="1067"/>
      <c r="B56" s="1070"/>
      <c r="C56" s="410" t="s">
        <v>963</v>
      </c>
      <c r="D56" s="412">
        <v>12.71</v>
      </c>
      <c r="E56" s="412">
        <v>12.71</v>
      </c>
      <c r="F56" s="332">
        <v>1703</v>
      </c>
      <c r="G56" s="413">
        <f t="shared" si="0"/>
        <v>1.396089630931459</v>
      </c>
      <c r="H56" s="334">
        <f t="shared" si="7"/>
        <v>1</v>
      </c>
      <c r="I56" s="335">
        <v>1060.9012487346956</v>
      </c>
      <c r="J56" s="414">
        <f>I56*'[5]%Non-FF'!$AG$3/1000</f>
        <v>9.7929346037049173E-3</v>
      </c>
      <c r="K56" s="414">
        <f t="shared" si="2"/>
        <v>1.3862966963277541</v>
      </c>
      <c r="L56" s="414">
        <f>K56*'[5]FR SO Table'!$D$4</f>
        <v>1.5249263659605297</v>
      </c>
      <c r="M56" s="410">
        <v>13</v>
      </c>
      <c r="N56" s="414">
        <f t="shared" si="3"/>
        <v>18.021857052260803</v>
      </c>
      <c r="O56" s="414">
        <f>N56*'[5]FR SO Table'!$D$4</f>
        <v>19.824042757486886</v>
      </c>
      <c r="P56" s="415">
        <f>O56*F156</f>
        <v>1204.905318800053</v>
      </c>
      <c r="Q56" s="416">
        <f>G56*M56*'[5]FR SO Table'!$D$4*F156</f>
        <v>1213.4168870826013</v>
      </c>
      <c r="R56" s="341" t="s">
        <v>810</v>
      </c>
      <c r="S56" s="400">
        <f>E56*VLOOKUP(R56,'[5]FR SO Table'!$A$35:$B$42,2,FALSE)</f>
        <v>1908.7242500000002</v>
      </c>
      <c r="T56" s="400">
        <f t="shared" si="4"/>
        <v>24570.419097162179</v>
      </c>
    </row>
    <row r="57" spans="1:20" ht="13.2" customHeight="1" x14ac:dyDescent="0.3">
      <c r="A57" s="1065" t="s">
        <v>830</v>
      </c>
      <c r="B57" s="1068" t="s">
        <v>808</v>
      </c>
      <c r="C57" s="410" t="s">
        <v>831</v>
      </c>
      <c r="D57" s="411">
        <f>138480/1000000</f>
        <v>0.13847999999999999</v>
      </c>
      <c r="E57" s="411">
        <v>4.15E-3</v>
      </c>
      <c r="F57" s="332">
        <v>0.03</v>
      </c>
      <c r="G57" s="413">
        <f t="shared" si="0"/>
        <v>4.5584358523725839E-4</v>
      </c>
      <c r="H57" s="334">
        <f t="shared" si="7"/>
        <v>2.9968226458694399E-2</v>
      </c>
      <c r="I57" s="335">
        <v>0</v>
      </c>
      <c r="J57" s="414">
        <v>0</v>
      </c>
      <c r="K57" s="414">
        <f>G57-J57</f>
        <v>4.5584358523725839E-4</v>
      </c>
      <c r="L57" s="414">
        <f>K57*'[5]FR SO Table'!$D$5</f>
        <v>4.5584358523725839E-4</v>
      </c>
      <c r="M57" s="410">
        <v>1</v>
      </c>
      <c r="N57" s="414">
        <f t="shared" si="3"/>
        <v>4.5584358523725839E-4</v>
      </c>
      <c r="O57" s="414">
        <f>N57*'[5]FR SO Table'!$D$5</f>
        <v>4.5584358523725839E-4</v>
      </c>
      <c r="P57" s="415">
        <f>O57*F156</f>
        <v>2.7706173110720565E-2</v>
      </c>
      <c r="Q57" s="416">
        <f>G57*M57*'[5]FR SO Table'!$D$5*F156</f>
        <v>2.7706173110720565E-2</v>
      </c>
      <c r="R57" s="341" t="s">
        <v>832</v>
      </c>
      <c r="S57" s="400">
        <f>E57*VLOOKUP(R57,'[5]FR SO Table'!$A$35:$B$42,2,FALSE)</f>
        <v>0.66939500000000007</v>
      </c>
      <c r="T57" s="400">
        <f t="shared" si="4"/>
        <v>0.66939500000000007</v>
      </c>
    </row>
    <row r="58" spans="1:20" x14ac:dyDescent="0.3">
      <c r="A58" s="1066"/>
      <c r="B58" s="1069"/>
      <c r="C58" s="410" t="s">
        <v>833</v>
      </c>
      <c r="D58" s="411">
        <f>138480/1000000</f>
        <v>0.13847999999999999</v>
      </c>
      <c r="E58" s="411">
        <v>1.11E-2</v>
      </c>
      <c r="F58" s="332">
        <v>0.08</v>
      </c>
      <c r="G58" s="413">
        <f t="shared" si="0"/>
        <v>1.2192442882249562E-3</v>
      </c>
      <c r="H58" s="334">
        <f t="shared" si="7"/>
        <v>8.0155979202772967E-2</v>
      </c>
      <c r="I58" s="335">
        <v>0</v>
      </c>
      <c r="J58" s="414">
        <v>0</v>
      </c>
      <c r="K58" s="414">
        <f t="shared" si="2"/>
        <v>1.2192442882249562E-3</v>
      </c>
      <c r="L58" s="414">
        <f>K58*'[5]FR SO Table'!$D$5</f>
        <v>1.2192442882249562E-3</v>
      </c>
      <c r="M58" s="410">
        <v>1</v>
      </c>
      <c r="N58" s="414">
        <f t="shared" si="3"/>
        <v>1.2192442882249562E-3</v>
      </c>
      <c r="O58" s="414">
        <f>N58*'[5]FR SO Table'!$D$5</f>
        <v>1.2192442882249562E-3</v>
      </c>
      <c r="P58" s="415">
        <f>O58*F156</f>
        <v>7.4105667838312836E-2</v>
      </c>
      <c r="Q58" s="416">
        <f>G58*M58*'[5]FR SO Table'!$D$5*F156</f>
        <v>7.4105667838312836E-2</v>
      </c>
      <c r="R58" s="341" t="s">
        <v>832</v>
      </c>
      <c r="S58" s="400">
        <f>E58*VLOOKUP(R58,'[5]FR SO Table'!$A$35:$B$42,2,FALSE)</f>
        <v>1.7904300000000002</v>
      </c>
      <c r="T58" s="400">
        <f t="shared" si="4"/>
        <v>1.7904300000000002</v>
      </c>
    </row>
    <row r="59" spans="1:20" x14ac:dyDescent="0.3">
      <c r="A59" s="1066"/>
      <c r="B59" s="1069"/>
      <c r="C59" s="410" t="s">
        <v>834</v>
      </c>
      <c r="D59" s="411">
        <f>138480/1000000</f>
        <v>0.13847999999999999</v>
      </c>
      <c r="E59" s="411">
        <v>2.4899999999999999E-2</v>
      </c>
      <c r="F59" s="332">
        <f>0.18</f>
        <v>0.18</v>
      </c>
      <c r="G59" s="413">
        <f t="shared" si="0"/>
        <v>2.7350615114235502E-3</v>
      </c>
      <c r="H59" s="334">
        <f t="shared" si="7"/>
        <v>0.17980935875216639</v>
      </c>
      <c r="I59" s="335">
        <v>0</v>
      </c>
      <c r="J59" s="414">
        <v>0</v>
      </c>
      <c r="K59" s="414">
        <f t="shared" si="2"/>
        <v>2.7350615114235502E-3</v>
      </c>
      <c r="L59" s="414">
        <f>K59*'[5]FR SO Table'!$D$5</f>
        <v>2.7350615114235502E-3</v>
      </c>
      <c r="M59" s="410">
        <v>1</v>
      </c>
      <c r="N59" s="414">
        <f t="shared" si="3"/>
        <v>2.7350615114235502E-3</v>
      </c>
      <c r="O59" s="414">
        <f>N59*'[5]FR SO Table'!$D$5</f>
        <v>2.7350615114235502E-3</v>
      </c>
      <c r="P59" s="415">
        <f>O59*F156</f>
        <v>0.16623703866432338</v>
      </c>
      <c r="Q59" s="416">
        <f>G59*M59*'[5]FR SO Table'!$D$5*F156</f>
        <v>0.16623703866432338</v>
      </c>
      <c r="R59" s="341" t="s">
        <v>832</v>
      </c>
      <c r="S59" s="400">
        <f>E59*VLOOKUP(R59,'[5]FR SO Table'!$A$35:$B$42,2,FALSE)</f>
        <v>4.0163700000000002</v>
      </c>
      <c r="T59" s="400">
        <f t="shared" si="4"/>
        <v>4.0163700000000002</v>
      </c>
    </row>
    <row r="60" spans="1:20" x14ac:dyDescent="0.3">
      <c r="A60" s="1066"/>
      <c r="B60" s="1070"/>
      <c r="C60" s="410" t="s">
        <v>835</v>
      </c>
      <c r="D60" s="411">
        <f>138480/1000000</f>
        <v>0.13847999999999999</v>
      </c>
      <c r="E60" s="411">
        <v>0.13600000000000001</v>
      </c>
      <c r="F60" s="332">
        <f>0.98</f>
        <v>0.98</v>
      </c>
      <c r="G60" s="413">
        <f t="shared" si="0"/>
        <v>1.4938488576449915E-2</v>
      </c>
      <c r="H60" s="334">
        <f t="shared" si="7"/>
        <v>0.98209127671865981</v>
      </c>
      <c r="I60" s="335">
        <v>0</v>
      </c>
      <c r="J60" s="414">
        <v>0</v>
      </c>
      <c r="K60" s="414">
        <f t="shared" si="2"/>
        <v>1.4938488576449915E-2</v>
      </c>
      <c r="L60" s="414">
        <f>K60*'[5]FR SO Table'!$D$5</f>
        <v>1.4938488576449915E-2</v>
      </c>
      <c r="M60" s="410">
        <v>1</v>
      </c>
      <c r="N60" s="414">
        <f t="shared" si="3"/>
        <v>1.4938488576449915E-2</v>
      </c>
      <c r="O60" s="414">
        <f>N60*'[5]FR SO Table'!$D$5</f>
        <v>1.4938488576449915E-2</v>
      </c>
      <c r="P60" s="415">
        <f>O60*F156</f>
        <v>0.90796133567662585</v>
      </c>
      <c r="Q60" s="416">
        <f>G60*M60*'[5]FR SO Table'!$D$5*F156</f>
        <v>0.90796133567662585</v>
      </c>
      <c r="R60" s="341" t="s">
        <v>832</v>
      </c>
      <c r="S60" s="400">
        <f>E60*VLOOKUP(R60,'[5]FR SO Table'!$A$35:$B$42,2,FALSE)</f>
        <v>21.936800000000002</v>
      </c>
      <c r="T60" s="400">
        <f t="shared" si="4"/>
        <v>21.936800000000002</v>
      </c>
    </row>
    <row r="61" spans="1:20" x14ac:dyDescent="0.3">
      <c r="A61" s="1071" t="s">
        <v>753</v>
      </c>
      <c r="B61" s="1068" t="s">
        <v>808</v>
      </c>
      <c r="C61" s="410" t="s">
        <v>836</v>
      </c>
      <c r="D61" s="412">
        <f>E61/90%</f>
        <v>109.74666666666667</v>
      </c>
      <c r="E61" s="411">
        <v>98.772000000000006</v>
      </c>
      <c r="F61" s="332">
        <v>20000</v>
      </c>
      <c r="G61" s="413">
        <f t="shared" si="0"/>
        <v>10.849297012302287</v>
      </c>
      <c r="H61" s="334">
        <f t="shared" si="7"/>
        <v>0.9</v>
      </c>
      <c r="I61" s="335">
        <v>0</v>
      </c>
      <c r="J61" s="414">
        <f>I61*'[5]%Non-FF'!$AD$3/1000</f>
        <v>0</v>
      </c>
      <c r="K61" s="414">
        <f t="shared" si="2"/>
        <v>10.849297012302287</v>
      </c>
      <c r="L61" s="414">
        <f>K61*'[5]FR SO Table'!$D$7</f>
        <v>10.849297012302287</v>
      </c>
      <c r="M61" s="410">
        <v>20</v>
      </c>
      <c r="N61" s="414">
        <f t="shared" si="3"/>
        <v>216.98594024604574</v>
      </c>
      <c r="O61" s="414">
        <f>N61*'[5]FR SO Table'!$D$7</f>
        <v>216.98594024604574</v>
      </c>
      <c r="P61" s="415">
        <f>O61*F156</f>
        <v>13188.405448154661</v>
      </c>
      <c r="Q61" s="416">
        <f>G61*M61*'[5]FR SO Table'!$D$7*F156</f>
        <v>13188.405448154661</v>
      </c>
      <c r="R61" s="341" t="s">
        <v>810</v>
      </c>
      <c r="S61" s="400">
        <f>E61*VLOOKUP(R61,'[5]FR SO Table'!$A$35:$B$42,2,FALSE)</f>
        <v>14833.085100000002</v>
      </c>
      <c r="T61" s="400">
        <f t="shared" si="4"/>
        <v>296661.70200000005</v>
      </c>
    </row>
    <row r="62" spans="1:20" x14ac:dyDescent="0.3">
      <c r="A62" s="1072"/>
      <c r="B62" s="1069"/>
      <c r="C62" s="410" t="s">
        <v>837</v>
      </c>
      <c r="D62" s="412">
        <f>E62/90%</f>
        <v>80.183333333333337</v>
      </c>
      <c r="E62" s="411">
        <v>72.165000000000006</v>
      </c>
      <c r="F62" s="332">
        <v>20000</v>
      </c>
      <c r="G62" s="413">
        <f t="shared" si="0"/>
        <v>7.9267355008787357</v>
      </c>
      <c r="H62" s="334">
        <f t="shared" si="7"/>
        <v>0.9</v>
      </c>
      <c r="I62" s="335">
        <v>0</v>
      </c>
      <c r="J62" s="414">
        <f>I62*'[5]%Non-FF'!$AD$3/1000</f>
        <v>0</v>
      </c>
      <c r="K62" s="414">
        <f t="shared" si="2"/>
        <v>7.9267355008787357</v>
      </c>
      <c r="L62" s="414">
        <f>K62*'[5]FR SO Table'!$D$7</f>
        <v>7.9267355008787357</v>
      </c>
      <c r="M62" s="410">
        <v>20</v>
      </c>
      <c r="N62" s="414">
        <f t="shared" si="3"/>
        <v>158.53471001757472</v>
      </c>
      <c r="O62" s="414">
        <f>N62*'[5]FR SO Table'!$D$7</f>
        <v>158.53471001757472</v>
      </c>
      <c r="P62" s="415">
        <f>O62*F156</f>
        <v>9635.7396748681913</v>
      </c>
      <c r="Q62" s="416">
        <f>G62*M62*'[5]FR SO Table'!$D$7*F156</f>
        <v>9635.7396748681913</v>
      </c>
      <c r="R62" s="341" t="s">
        <v>810</v>
      </c>
      <c r="S62" s="400">
        <f>E62*VLOOKUP(R62,'[5]FR SO Table'!$A$35:$B$42,2,FALSE)</f>
        <v>10837.378875000002</v>
      </c>
      <c r="T62" s="400">
        <f t="shared" si="4"/>
        <v>216747.57750000004</v>
      </c>
    </row>
    <row r="63" spans="1:20" x14ac:dyDescent="0.3">
      <c r="A63" s="1072"/>
      <c r="B63" s="1069"/>
      <c r="C63" s="410" t="s">
        <v>964</v>
      </c>
      <c r="D63" s="412">
        <f>E63/60%</f>
        <v>109.74666666666667</v>
      </c>
      <c r="E63" s="411">
        <v>65.847999999999999</v>
      </c>
      <c r="F63" s="332">
        <v>4700</v>
      </c>
      <c r="G63" s="413">
        <f t="shared" si="0"/>
        <v>7.23286467486819</v>
      </c>
      <c r="H63" s="334">
        <f t="shared" si="7"/>
        <v>0.6</v>
      </c>
      <c r="I63" s="335">
        <v>1066</v>
      </c>
      <c r="J63" s="414">
        <f>I63*'[5]%Non-FF'!$AH$3/1000</f>
        <v>1.0660000000000128E-2</v>
      </c>
      <c r="K63" s="414">
        <f>G63-J63</f>
        <v>7.2222046748681894</v>
      </c>
      <c r="L63" s="414">
        <f>K63*'[5]FR SO Table'!$D$6</f>
        <v>6.3555401138840075</v>
      </c>
      <c r="M63" s="410">
        <v>12</v>
      </c>
      <c r="N63" s="414">
        <f t="shared" si="3"/>
        <v>86.66645609841828</v>
      </c>
      <c r="O63" s="414">
        <f>N63*'[5]FR SO Table'!$D$6</f>
        <v>76.26648136660809</v>
      </c>
      <c r="P63" s="415">
        <f>O63*F156</f>
        <v>4635.4767374624398</v>
      </c>
      <c r="Q63" s="416">
        <f>G63*M63*'[5]FR SO Table'!$D$6*F156</f>
        <v>4642.3187177504406</v>
      </c>
      <c r="R63" s="341" t="s">
        <v>810</v>
      </c>
      <c r="S63" s="400">
        <f>E63*VLOOKUP(R63,'[5]FR SO Table'!$A$35:$B$42,2,FALSE)</f>
        <v>9888.7234000000008</v>
      </c>
      <c r="T63" s="400">
        <f t="shared" si="4"/>
        <v>117399.71530267199</v>
      </c>
    </row>
    <row r="64" spans="1:20" x14ac:dyDescent="0.3">
      <c r="A64" s="1073"/>
      <c r="B64" s="1070"/>
      <c r="C64" s="410" t="s">
        <v>965</v>
      </c>
      <c r="D64" s="412">
        <f>E64/60%</f>
        <v>80.183333333333337</v>
      </c>
      <c r="E64" s="411">
        <v>48.11</v>
      </c>
      <c r="F64" s="332">
        <v>4700</v>
      </c>
      <c r="G64" s="413">
        <f t="shared" si="0"/>
        <v>5.2844903339191571</v>
      </c>
      <c r="H64" s="334">
        <f t="shared" si="7"/>
        <v>0.6</v>
      </c>
      <c r="I64" s="335">
        <v>963</v>
      </c>
      <c r="J64" s="414">
        <f>I64*'[5]%Non-FF'!$AH$3/1000</f>
        <v>9.6300000000001159E-3</v>
      </c>
      <c r="K64" s="414">
        <f t="shared" si="2"/>
        <v>5.2748603339191567</v>
      </c>
      <c r="L64" s="414">
        <f>K64*'[5]FR SO Table'!$D$6</f>
        <v>4.6418770938488585</v>
      </c>
      <c r="M64" s="410">
        <v>12</v>
      </c>
      <c r="N64" s="414">
        <f t="shared" si="3"/>
        <v>63.298324007029876</v>
      </c>
      <c r="O64" s="414">
        <f>N64*'[5]FR SO Table'!$D$6</f>
        <v>55.702525126186302</v>
      </c>
      <c r="P64" s="415">
        <f>O64*F156</f>
        <v>3385.5994771696037</v>
      </c>
      <c r="Q64" s="416">
        <f>G64*M64*'[5]FR SO Table'!$D$6*F156</f>
        <v>3391.7803655536036</v>
      </c>
      <c r="R64" s="341" t="s">
        <v>810</v>
      </c>
      <c r="S64" s="400">
        <f>E64*VLOOKUP(R64,'[5]FR SO Table'!$A$35:$B$42,2,FALSE)</f>
        <v>7224.9192500000008</v>
      </c>
      <c r="T64" s="400">
        <f t="shared" si="4"/>
        <v>85864.119331470007</v>
      </c>
    </row>
    <row r="65" spans="1:21" x14ac:dyDescent="0.3">
      <c r="A65" s="1071" t="s">
        <v>168</v>
      </c>
      <c r="B65" s="1068" t="s">
        <v>808</v>
      </c>
      <c r="C65" s="410" t="s">
        <v>842</v>
      </c>
      <c r="D65" s="412">
        <v>43.5</v>
      </c>
      <c r="E65" s="418">
        <v>43.498209301364632</v>
      </c>
      <c r="F65" s="348">
        <v>15708</v>
      </c>
      <c r="G65" s="413">
        <f t="shared" si="0"/>
        <v>4.7779228142975212</v>
      </c>
      <c r="H65" s="334">
        <f t="shared" si="7"/>
        <v>0.99995883451412948</v>
      </c>
      <c r="I65" s="349">
        <v>2757.84</v>
      </c>
      <c r="J65" s="414">
        <f>I65*'[5]%Non-FF'!$AJ$3/1000</f>
        <v>4.1367600000000344E-2</v>
      </c>
      <c r="K65" s="414">
        <f t="shared" si="2"/>
        <v>4.7365552142975211</v>
      </c>
      <c r="L65" s="414">
        <f>K65*'[5]FR SO Table'!D8</f>
        <v>4.7365552142975211</v>
      </c>
      <c r="M65" s="410">
        <v>8</v>
      </c>
      <c r="N65" s="414">
        <f t="shared" si="3"/>
        <v>37.892441714380169</v>
      </c>
      <c r="O65" s="414">
        <f>N65*'[5]FR SO Table'!D8</f>
        <v>37.892441714380169</v>
      </c>
      <c r="P65" s="415">
        <f>O65*F156</f>
        <v>2303.1026074000265</v>
      </c>
      <c r="Q65" s="416">
        <f>G65*M65*'[5]FR SO Table'!D8*F156</f>
        <v>2323.2171892240267</v>
      </c>
      <c r="R65" s="410" t="s">
        <v>843</v>
      </c>
      <c r="S65" s="400">
        <f>E65*VLOOKUP(R65,'[5]FR SO Table'!$A$35:$B$42,2,FALSE)</f>
        <v>6837.9185021745197</v>
      </c>
      <c r="T65" s="400">
        <f t="shared" si="4"/>
        <v>52440.401797951701</v>
      </c>
    </row>
    <row r="66" spans="1:21" x14ac:dyDescent="0.3">
      <c r="A66" s="1072"/>
      <c r="B66" s="1069"/>
      <c r="C66" s="410" t="s">
        <v>844</v>
      </c>
      <c r="D66" s="412">
        <v>43.5</v>
      </c>
      <c r="E66" s="418">
        <v>32.445634741366938</v>
      </c>
      <c r="F66" s="348">
        <v>7301</v>
      </c>
      <c r="G66" s="413">
        <f t="shared" si="0"/>
        <v>3.5638878230851208</v>
      </c>
      <c r="H66" s="334">
        <f t="shared" si="7"/>
        <v>0.74587666072107905</v>
      </c>
      <c r="I66" s="349">
        <v>1697.81</v>
      </c>
      <c r="J66" s="414">
        <f>I66*'[5]%Non-FF'!$AJ$3/1000</f>
        <v>2.5467150000000209E-2</v>
      </c>
      <c r="K66" s="414">
        <f t="shared" si="2"/>
        <v>3.5384206730851204</v>
      </c>
      <c r="L66" s="414">
        <f>K66*'[5]FR SO Table'!D9</f>
        <v>3.5384206730851204</v>
      </c>
      <c r="M66" s="410">
        <v>8</v>
      </c>
      <c r="N66" s="414">
        <f t="shared" si="3"/>
        <v>28.307365384680963</v>
      </c>
      <c r="O66" s="414">
        <f>N66*'[5]FR SO Table'!D9</f>
        <v>28.307365384680963</v>
      </c>
      <c r="P66" s="415">
        <f>O66*F156</f>
        <v>1720.521668080909</v>
      </c>
      <c r="Q66" s="416">
        <f>G66*M66*'[5]FR SO Table'!D9*F156</f>
        <v>1732.9048150969093</v>
      </c>
      <c r="R66" s="410" t="s">
        <v>843</v>
      </c>
      <c r="S66" s="400">
        <f>E66*VLOOKUP(R66,'[5]FR SO Table'!$A$35:$B$42,2,FALSE)</f>
        <v>5100.4537813428824</v>
      </c>
      <c r="T66" s="400">
        <f t="shared" si="4"/>
        <v>39764.478078602842</v>
      </c>
    </row>
    <row r="67" spans="1:21" x14ac:dyDescent="0.3">
      <c r="A67" s="1072"/>
      <c r="B67" s="1069"/>
      <c r="C67" s="410" t="s">
        <v>845</v>
      </c>
      <c r="D67" s="412">
        <v>43.5</v>
      </c>
      <c r="E67" s="418">
        <v>43.498209301364632</v>
      </c>
      <c r="F67" s="348">
        <v>15708</v>
      </c>
      <c r="G67" s="413">
        <f t="shared" ref="G67:G130" si="8">E67/$G$156</f>
        <v>4.7779228142975212</v>
      </c>
      <c r="H67" s="334">
        <f t="shared" si="7"/>
        <v>0.99995883451412948</v>
      </c>
      <c r="I67" s="349">
        <v>2757.84</v>
      </c>
      <c r="J67" s="414">
        <f>I67*'[5]%Non-FF'!$AJ$3/1000</f>
        <v>4.1367600000000344E-2</v>
      </c>
      <c r="K67" s="414">
        <f t="shared" ref="K67:K137" si="9">G67-J67</f>
        <v>4.7365552142975211</v>
      </c>
      <c r="L67" s="414">
        <f>K67*'[5]FR SO Table'!D8</f>
        <v>4.7365552142975211</v>
      </c>
      <c r="M67" s="410">
        <v>4</v>
      </c>
      <c r="N67" s="414">
        <f t="shared" ref="N67:N147" si="10">K67*M67</f>
        <v>18.946220857190085</v>
      </c>
      <c r="O67" s="414">
        <f>N67*'[5]FR SO Table'!D8</f>
        <v>18.946220857190085</v>
      </c>
      <c r="P67" s="415">
        <f>O67*F156</f>
        <v>1151.5513037000132</v>
      </c>
      <c r="Q67" s="416">
        <f>G67*M67*'[5]FR SO Table'!D10*F156</f>
        <v>1161.6085946120133</v>
      </c>
      <c r="R67" s="410" t="s">
        <v>843</v>
      </c>
      <c r="S67" s="400">
        <f>E67*VLOOKUP(R67,'[5]FR SO Table'!$A$35:$B$42,2,FALSE)</f>
        <v>6837.9185021745197</v>
      </c>
      <c r="T67" s="400">
        <f t="shared" si="4"/>
        <v>26220.200898975851</v>
      </c>
    </row>
    <row r="68" spans="1:21" x14ac:dyDescent="0.3">
      <c r="A68" s="1073"/>
      <c r="B68" s="1070"/>
      <c r="C68" s="410" t="s">
        <v>846</v>
      </c>
      <c r="D68" s="412">
        <v>43.5</v>
      </c>
      <c r="E68" s="418">
        <v>32.445634741366938</v>
      </c>
      <c r="F68" s="348">
        <v>7301</v>
      </c>
      <c r="G68" s="413">
        <f t="shared" si="8"/>
        <v>3.5638878230851208</v>
      </c>
      <c r="H68" s="334">
        <f t="shared" si="7"/>
        <v>0.74587666072107905</v>
      </c>
      <c r="I68" s="349">
        <v>1697.81</v>
      </c>
      <c r="J68" s="414">
        <f>I68*'[5]%Non-FF'!$AJ$3/1000</f>
        <v>2.5467150000000209E-2</v>
      </c>
      <c r="K68" s="414">
        <f t="shared" si="9"/>
        <v>3.5384206730851204</v>
      </c>
      <c r="L68" s="414">
        <f>K68*'[5]FR SO Table'!D9</f>
        <v>3.5384206730851204</v>
      </c>
      <c r="M68" s="410">
        <v>4</v>
      </c>
      <c r="N68" s="414">
        <f t="shared" si="10"/>
        <v>14.153682692340482</v>
      </c>
      <c r="O68" s="414">
        <f>N68*'[5]FR SO Table'!D9</f>
        <v>14.153682692340482</v>
      </c>
      <c r="P68" s="415">
        <f>O68*F156</f>
        <v>860.26083404045448</v>
      </c>
      <c r="Q68" s="416">
        <f>G68*M68*'[5]FR SO Table'!D11*F156</f>
        <v>866.45240754845463</v>
      </c>
      <c r="R68" s="410" t="s">
        <v>843</v>
      </c>
      <c r="S68" s="400">
        <f>E68*VLOOKUP(R68,'[5]FR SO Table'!$A$35:$B$42,2,FALSE)</f>
        <v>5100.4537813428824</v>
      </c>
      <c r="T68" s="400">
        <f t="shared" ref="T68:T137" si="11">S68*M68*(1-J68)</f>
        <v>19882.239039301421</v>
      </c>
    </row>
    <row r="69" spans="1:21" x14ac:dyDescent="0.3">
      <c r="A69" s="1071" t="s">
        <v>754</v>
      </c>
      <c r="B69" s="1068" t="s">
        <v>808</v>
      </c>
      <c r="C69" s="410" t="s">
        <v>847</v>
      </c>
      <c r="D69" s="412" t="s">
        <v>695</v>
      </c>
      <c r="E69" s="418">
        <v>19.670000000000002</v>
      </c>
      <c r="F69" s="332">
        <v>5900</v>
      </c>
      <c r="G69" s="413">
        <f t="shared" si="8"/>
        <v>2.160588752196837</v>
      </c>
      <c r="H69" s="334" t="s">
        <v>695</v>
      </c>
      <c r="I69" s="349">
        <v>1545</v>
      </c>
      <c r="J69" s="414">
        <f>I69*'[5]%Non-FF'!$AI$3/1000</f>
        <v>1.8540000000000188E-2</v>
      </c>
      <c r="K69" s="414">
        <f t="shared" si="9"/>
        <v>2.1420487521968368</v>
      </c>
      <c r="L69" s="414">
        <f>K69*'[5]FR SO Table'!D10</f>
        <v>2.1420487521968368</v>
      </c>
      <c r="M69" s="410">
        <v>10</v>
      </c>
      <c r="N69" s="414">
        <f t="shared" si="10"/>
        <v>21.420487521968369</v>
      </c>
      <c r="O69" s="414">
        <f>N69*'[5]FR SO Table'!D10</f>
        <v>21.420487521968369</v>
      </c>
      <c r="P69" s="415">
        <f>O69*F156</f>
        <v>1301.9372315852374</v>
      </c>
      <c r="Q69" s="416">
        <f>G69*M69*'[5]FR SO Table'!D10*F156</f>
        <v>1313.2058435852375</v>
      </c>
      <c r="R69" s="410" t="s">
        <v>843</v>
      </c>
      <c r="S69" s="400">
        <f>E69*VLOOKUP(R69,'[5]FR SO Table'!$A$35:$B$42,2,FALSE)</f>
        <v>3092.1240000000003</v>
      </c>
      <c r="T69" s="400">
        <f t="shared" si="11"/>
        <v>30347.960210399993</v>
      </c>
    </row>
    <row r="70" spans="1:21" x14ac:dyDescent="0.3">
      <c r="A70" s="1072"/>
      <c r="B70" s="1069"/>
      <c r="C70" s="410" t="s">
        <v>848</v>
      </c>
      <c r="D70" s="412" t="s">
        <v>695</v>
      </c>
      <c r="E70" s="418">
        <v>84.83</v>
      </c>
      <c r="F70" s="332">
        <v>55000</v>
      </c>
      <c r="G70" s="413">
        <f t="shared" si="8"/>
        <v>9.3178822495606326</v>
      </c>
      <c r="H70" s="334" t="s">
        <v>695</v>
      </c>
      <c r="I70" s="349">
        <v>5757</v>
      </c>
      <c r="J70" s="414">
        <f>I70*'[5]%Non-FF'!$AI$3/1000</f>
        <v>6.90840000000007E-2</v>
      </c>
      <c r="K70" s="414">
        <f t="shared" si="9"/>
        <v>9.2487982495606325</v>
      </c>
      <c r="L70" s="414">
        <f>K70*'[5]FR SO Table'!D12</f>
        <v>9.2487982495606325</v>
      </c>
      <c r="M70" s="410">
        <v>10</v>
      </c>
      <c r="N70" s="414">
        <f t="shared" si="10"/>
        <v>92.487982495606332</v>
      </c>
      <c r="O70" s="414">
        <f>N70*'[5]FR SO Table'!D12</f>
        <v>92.487982495606332</v>
      </c>
      <c r="P70" s="415">
        <f>O70*F156</f>
        <v>5621.4195760829525</v>
      </c>
      <c r="Q70" s="416">
        <f>G70*M70*'[5]FR SO Table'!D11*F156</f>
        <v>5663.4088312829526</v>
      </c>
      <c r="R70" s="410" t="s">
        <v>843</v>
      </c>
      <c r="S70" s="400">
        <f>E70*VLOOKUP(R70,'[5]FR SO Table'!$A$35:$B$42,2,FALSE)</f>
        <v>13335.275999999998</v>
      </c>
      <c r="T70" s="400">
        <f t="shared" si="11"/>
        <v>124140.21792815989</v>
      </c>
    </row>
    <row r="71" spans="1:21" x14ac:dyDescent="0.3">
      <c r="A71" s="1072"/>
      <c r="B71" s="1069"/>
      <c r="C71" s="410" t="s">
        <v>849</v>
      </c>
      <c r="D71" s="412" t="s">
        <v>695</v>
      </c>
      <c r="E71" s="418">
        <v>25.33</v>
      </c>
      <c r="F71" s="332">
        <v>3200</v>
      </c>
      <c r="G71" s="413">
        <f t="shared" si="8"/>
        <v>2.7822934973637961</v>
      </c>
      <c r="H71" s="334" t="s">
        <v>695</v>
      </c>
      <c r="I71" s="349">
        <v>1990</v>
      </c>
      <c r="J71" s="414">
        <f>I71*'[5]%Non-FF'!$AI$3/1000</f>
        <v>2.3880000000000241E-2</v>
      </c>
      <c r="K71" s="414">
        <f t="shared" si="9"/>
        <v>2.7584134973637959</v>
      </c>
      <c r="L71" s="414">
        <f>K71*'[5]FR SO Table'!D11</f>
        <v>2.7584134973637959</v>
      </c>
      <c r="M71" s="410">
        <v>10</v>
      </c>
      <c r="N71" s="414">
        <f t="shared" si="10"/>
        <v>27.584134973637958</v>
      </c>
      <c r="O71" s="414">
        <f>N71*'[5]FR SO Table'!D11</f>
        <v>27.584134973637958</v>
      </c>
      <c r="P71" s="415">
        <f>O71*F156</f>
        <v>1676.5637236977152</v>
      </c>
      <c r="Q71" s="416">
        <f>G71*M71*'[5]FR SO Table'!D12*F156</f>
        <v>1691.0779876977151</v>
      </c>
      <c r="R71" s="410" t="s">
        <v>843</v>
      </c>
      <c r="S71" s="400">
        <f>E71*VLOOKUP(R71,'[5]FR SO Table'!$A$35:$B$42,2,FALSE)</f>
        <v>3981.8759999999993</v>
      </c>
      <c r="T71" s="400">
        <f t="shared" si="11"/>
        <v>38867.888011199982</v>
      </c>
    </row>
    <row r="72" spans="1:21" s="424" customFormat="1" x14ac:dyDescent="0.3">
      <c r="A72" s="1073"/>
      <c r="B72" s="1070"/>
      <c r="C72" s="419" t="s">
        <v>850</v>
      </c>
      <c r="D72" s="420" t="s">
        <v>695</v>
      </c>
      <c r="E72" s="421">
        <v>1.03</v>
      </c>
      <c r="F72" s="353">
        <v>3200</v>
      </c>
      <c r="G72" s="422">
        <f t="shared" si="8"/>
        <v>0.1131370826010545</v>
      </c>
      <c r="H72" s="334" t="s">
        <v>695</v>
      </c>
      <c r="I72" s="349">
        <v>1141.43</v>
      </c>
      <c r="J72" s="414">
        <f>I72*'[5]%Non-FF'!$AI$3/1000</f>
        <v>1.3697160000000139E-2</v>
      </c>
      <c r="K72" s="414">
        <f t="shared" si="9"/>
        <v>9.9439922601054359E-2</v>
      </c>
      <c r="L72" s="423">
        <f>K72*'[5]FR SO Table'!$D$11</f>
        <v>9.9439922601054359E-2</v>
      </c>
      <c r="M72" s="419">
        <v>10</v>
      </c>
      <c r="N72" s="414">
        <f t="shared" si="10"/>
        <v>0.99439922601054365</v>
      </c>
      <c r="O72" s="414">
        <f>N72*'[5]FR SO Table'!$D$11</f>
        <v>0.99439922601054365</v>
      </c>
      <c r="P72" s="415">
        <f>O72*F156</f>
        <v>60.439584956920847</v>
      </c>
      <c r="Q72" s="416">
        <f>G72*M72*'[5]FR SO Table'!D12*F156</f>
        <v>68.764718804920932</v>
      </c>
      <c r="R72" s="410" t="s">
        <v>843</v>
      </c>
      <c r="S72" s="400">
        <f>E72*VLOOKUP(R72,'[5]FR SO Table'!$A$35:$B$42,2,FALSE)</f>
        <v>161.916</v>
      </c>
      <c r="T72" s="400">
        <f t="shared" si="11"/>
        <v>1596.9821064143996</v>
      </c>
      <c r="U72"/>
    </row>
    <row r="73" spans="1:21" x14ac:dyDescent="0.3">
      <c r="A73" s="993" t="s">
        <v>755</v>
      </c>
      <c r="B73" s="425" t="s">
        <v>808</v>
      </c>
      <c r="C73" s="426" t="s">
        <v>966</v>
      </c>
      <c r="D73" s="427">
        <v>82.8</v>
      </c>
      <c r="E73" s="428">
        <v>4.3600000000000003</v>
      </c>
      <c r="F73" s="359">
        <v>175</v>
      </c>
      <c r="G73" s="413">
        <f t="shared" si="8"/>
        <v>0.4789103690685414</v>
      </c>
      <c r="H73" s="334">
        <f t="shared" ref="H73:H136" si="12">E73/D73</f>
        <v>5.2657004830917883E-2</v>
      </c>
      <c r="I73" s="335">
        <v>0</v>
      </c>
      <c r="J73" s="414">
        <f>I73*'[5]%Non-FF'!$AI$3/1000</f>
        <v>0</v>
      </c>
      <c r="K73" s="414">
        <f t="shared" si="9"/>
        <v>0.4789103690685414</v>
      </c>
      <c r="L73" s="414">
        <f>K73*'[5]FR SO Table'!D13</f>
        <v>0.4789103690685414</v>
      </c>
      <c r="M73" s="426">
        <v>10</v>
      </c>
      <c r="N73" s="414">
        <f t="shared" si="10"/>
        <v>4.7891036906854136</v>
      </c>
      <c r="O73" s="414">
        <f>N73*'[5]FR SO Table'!D13</f>
        <v>4.7891036906854136</v>
      </c>
      <c r="P73" s="415">
        <f>O73*F156</f>
        <v>291.08172231985947</v>
      </c>
      <c r="Q73" s="416">
        <f>G73*M73*'[5]FR SO Table'!D13*F156</f>
        <v>291.08172231985947</v>
      </c>
      <c r="R73" s="341" t="s">
        <v>810</v>
      </c>
      <c r="S73" s="400">
        <f>E73*VLOOKUP(R73,'[5]FR SO Table'!$A$35:$B$42,2,FALSE)</f>
        <v>654.76300000000015</v>
      </c>
      <c r="T73" s="400">
        <f t="shared" si="11"/>
        <v>6547.630000000001</v>
      </c>
    </row>
    <row r="74" spans="1:21" x14ac:dyDescent="0.3">
      <c r="A74" s="993" t="s">
        <v>756</v>
      </c>
      <c r="B74" s="425" t="s">
        <v>808</v>
      </c>
      <c r="C74" s="410" t="s">
        <v>853</v>
      </c>
      <c r="D74" s="412">
        <v>38.299999999999997</v>
      </c>
      <c r="E74" s="411">
        <v>6.1589999999999998</v>
      </c>
      <c r="F74" s="332">
        <v>2825</v>
      </c>
      <c r="G74" s="413">
        <f t="shared" si="8"/>
        <v>0.67651581722319865</v>
      </c>
      <c r="H74" s="334">
        <f t="shared" si="12"/>
        <v>0.16080939947780679</v>
      </c>
      <c r="I74" s="335">
        <v>30</v>
      </c>
      <c r="J74" s="414">
        <f>I74*'[5]%Non-FF'!$AJ$3/1000</f>
        <v>4.5000000000000373E-4</v>
      </c>
      <c r="K74" s="414">
        <f t="shared" si="9"/>
        <v>0.6760658172231987</v>
      </c>
      <c r="L74" s="414">
        <f>K74*'[5]FR SO Table'!D14</f>
        <v>0.6760658172231987</v>
      </c>
      <c r="M74" s="410">
        <v>8</v>
      </c>
      <c r="N74" s="414">
        <f t="shared" si="10"/>
        <v>5.4085265377855896</v>
      </c>
      <c r="O74" s="414">
        <f>N74*'[5]FR SO Table'!D14</f>
        <v>5.4085265377855896</v>
      </c>
      <c r="P74" s="415">
        <f>O74*F156</f>
        <v>328.73024296660816</v>
      </c>
      <c r="Q74" s="416">
        <f>G74*M74*'[5]FR SO Table'!D14*F156</f>
        <v>328.94905096660813</v>
      </c>
      <c r="R74" s="410" t="s">
        <v>843</v>
      </c>
      <c r="S74" s="400">
        <f>E74*VLOOKUP(R74,'[5]FR SO Table'!$A$35:$B$42,2,FALSE)</f>
        <v>968.19479999999987</v>
      </c>
      <c r="T74" s="400">
        <f t="shared" si="11"/>
        <v>7742.0728987199991</v>
      </c>
    </row>
    <row r="75" spans="1:21" x14ac:dyDescent="0.3">
      <c r="A75" s="993" t="s">
        <v>757</v>
      </c>
      <c r="B75" s="425" t="s">
        <v>808</v>
      </c>
      <c r="C75" s="410" t="s">
        <v>854</v>
      </c>
      <c r="D75" s="412" t="s">
        <v>695</v>
      </c>
      <c r="E75" s="412" t="s">
        <v>695</v>
      </c>
      <c r="F75" s="332">
        <v>450000</v>
      </c>
      <c r="G75" s="414" t="s">
        <v>695</v>
      </c>
      <c r="H75" s="414" t="s">
        <v>695</v>
      </c>
      <c r="I75" s="335" t="s">
        <v>695</v>
      </c>
      <c r="J75" s="414" t="s">
        <v>695</v>
      </c>
      <c r="K75" s="414" t="e">
        <f t="shared" si="9"/>
        <v>#VALUE!</v>
      </c>
      <c r="L75" s="414" t="e">
        <f>K75*'[5]FR SO Table'!D15</f>
        <v>#VALUE!</v>
      </c>
      <c r="M75" s="410">
        <v>12</v>
      </c>
      <c r="N75" s="414" t="e">
        <f t="shared" si="10"/>
        <v>#VALUE!</v>
      </c>
      <c r="O75" s="414" t="e">
        <f>N75*'[5]FR SO Table'!D15</f>
        <v>#VALUE!</v>
      </c>
      <c r="P75" s="415" t="e">
        <f>O75*F156</f>
        <v>#VALUE!</v>
      </c>
      <c r="Q75" s="416" t="e">
        <f>G75*M75*'[5]FR SO Table'!D15*F156</f>
        <v>#VALUE!</v>
      </c>
      <c r="R75" s="341" t="s">
        <v>832</v>
      </c>
      <c r="S75" s="400" t="e">
        <f>E75*VLOOKUP(R75,'[5]FR SO Table'!$A$35:$B$42,2,FALSE)</f>
        <v>#VALUE!</v>
      </c>
      <c r="T75" s="400" t="e">
        <f t="shared" si="11"/>
        <v>#VALUE!</v>
      </c>
    </row>
    <row r="76" spans="1:21" x14ac:dyDescent="0.3">
      <c r="A76" s="993" t="s">
        <v>758</v>
      </c>
      <c r="B76" s="425" t="s">
        <v>808</v>
      </c>
      <c r="C76" s="410" t="s">
        <v>855</v>
      </c>
      <c r="D76" s="412" t="s">
        <v>695</v>
      </c>
      <c r="E76" s="412" t="s">
        <v>695</v>
      </c>
      <c r="F76" s="332">
        <v>128796</v>
      </c>
      <c r="G76" s="414" t="s">
        <v>695</v>
      </c>
      <c r="H76" s="414" t="s">
        <v>695</v>
      </c>
      <c r="I76" s="335" t="s">
        <v>695</v>
      </c>
      <c r="J76" s="414" t="s">
        <v>695</v>
      </c>
      <c r="K76" s="414" t="e">
        <f t="shared" si="9"/>
        <v>#VALUE!</v>
      </c>
      <c r="L76" s="414" t="e">
        <f>K76*'[5]FR SO Table'!D16</f>
        <v>#VALUE!</v>
      </c>
      <c r="M76" s="410">
        <v>12</v>
      </c>
      <c r="N76" s="414" t="e">
        <f t="shared" si="10"/>
        <v>#VALUE!</v>
      </c>
      <c r="O76" s="414" t="e">
        <f>N76*'[5]FR SO Table'!D16</f>
        <v>#VALUE!</v>
      </c>
      <c r="P76" s="415" t="e">
        <f>O76*F156</f>
        <v>#VALUE!</v>
      </c>
      <c r="Q76" s="416" t="e">
        <f>G76*M76*'[5]FR SO Table'!D16*F156</f>
        <v>#VALUE!</v>
      </c>
      <c r="R76" s="341" t="s">
        <v>832</v>
      </c>
      <c r="S76" s="400" t="e">
        <f>E76*VLOOKUP(R76,'[5]FR SO Table'!$A$35:$B$42,2,FALSE)</f>
        <v>#VALUE!</v>
      </c>
      <c r="T76" s="400" t="e">
        <f t="shared" si="11"/>
        <v>#VALUE!</v>
      </c>
    </row>
    <row r="77" spans="1:21" x14ac:dyDescent="0.3">
      <c r="A77" s="993" t="s">
        <v>759</v>
      </c>
      <c r="B77" s="425" t="s">
        <v>808</v>
      </c>
      <c r="C77" s="410" t="s">
        <v>856</v>
      </c>
      <c r="D77" s="412" t="s">
        <v>695</v>
      </c>
      <c r="E77" s="412" t="s">
        <v>695</v>
      </c>
      <c r="F77" s="332">
        <v>75000</v>
      </c>
      <c r="G77" s="414" t="s">
        <v>695</v>
      </c>
      <c r="H77" s="414" t="s">
        <v>695</v>
      </c>
      <c r="I77" s="335" t="s">
        <v>695</v>
      </c>
      <c r="J77" s="414" t="s">
        <v>695</v>
      </c>
      <c r="K77" s="414" t="e">
        <f t="shared" si="9"/>
        <v>#VALUE!</v>
      </c>
      <c r="L77" s="414" t="e">
        <f>K77*'[5]FR SO Table'!D17</f>
        <v>#VALUE!</v>
      </c>
      <c r="M77" s="410">
        <v>8</v>
      </c>
      <c r="N77" s="414" t="e">
        <f t="shared" si="10"/>
        <v>#VALUE!</v>
      </c>
      <c r="O77" s="414" t="e">
        <f>N77*'[5]FR SO Table'!D17</f>
        <v>#VALUE!</v>
      </c>
      <c r="P77" s="415" t="e">
        <f>O77*F156</f>
        <v>#VALUE!</v>
      </c>
      <c r="Q77" s="416" t="e">
        <f>G77*M77*'[5]FR SO Table'!D17*F156</f>
        <v>#VALUE!</v>
      </c>
      <c r="R77" s="410" t="s">
        <v>843</v>
      </c>
      <c r="S77" s="400" t="e">
        <f>E77*VLOOKUP(R77,'[5]FR SO Table'!$A$35:$B$42,2,FALSE)</f>
        <v>#VALUE!</v>
      </c>
      <c r="T77" s="400" t="e">
        <f t="shared" si="11"/>
        <v>#VALUE!</v>
      </c>
    </row>
    <row r="78" spans="1:21" x14ac:dyDescent="0.3">
      <c r="A78" s="1065" t="s">
        <v>760</v>
      </c>
      <c r="B78" s="425" t="s">
        <v>808</v>
      </c>
      <c r="C78" s="426" t="s">
        <v>857</v>
      </c>
      <c r="D78" s="412">
        <v>12.1</v>
      </c>
      <c r="E78" s="411">
        <v>0.1386</v>
      </c>
      <c r="F78" s="332">
        <v>8</v>
      </c>
      <c r="G78" s="413">
        <f t="shared" si="8"/>
        <v>1.5224077328646749E-2</v>
      </c>
      <c r="H78" s="334">
        <f t="shared" si="12"/>
        <v>1.1454545454545455E-2</v>
      </c>
      <c r="I78" s="335">
        <v>0</v>
      </c>
      <c r="J78" s="414">
        <f>I78*'[5]%Non-FF'!$AI$3/1000</f>
        <v>0</v>
      </c>
      <c r="K78" s="414">
        <f t="shared" si="9"/>
        <v>1.5224077328646749E-2</v>
      </c>
      <c r="L78" s="414">
        <f>K78*'[5]FR SO Table'!$D$18</f>
        <v>1.3701669595782073E-2</v>
      </c>
      <c r="M78" s="410">
        <v>10</v>
      </c>
      <c r="N78" s="414">
        <f t="shared" si="10"/>
        <v>0.15224077328646748</v>
      </c>
      <c r="O78" s="414">
        <f>N78*'[5]FR SO Table'!$D$18</f>
        <v>0.13701669595782073</v>
      </c>
      <c r="P78" s="415">
        <f>O78*F156</f>
        <v>8.3278747803163444</v>
      </c>
      <c r="Q78" s="416">
        <f>G78*M78*'[5]FR SO Table'!$D$18*F156</f>
        <v>8.3278747803163444</v>
      </c>
      <c r="R78" s="341" t="s">
        <v>810</v>
      </c>
      <c r="S78" s="400">
        <f>E78*VLOOKUP(R78,'[5]FR SO Table'!$A$35:$B$42,2,FALSE)</f>
        <v>20.814255000000003</v>
      </c>
      <c r="T78" s="400">
        <f t="shared" si="11"/>
        <v>208.14255000000003</v>
      </c>
    </row>
    <row r="79" spans="1:21" x14ac:dyDescent="0.3">
      <c r="A79" s="1066"/>
      <c r="B79" s="425" t="s">
        <v>808</v>
      </c>
      <c r="C79" s="426" t="s">
        <v>858</v>
      </c>
      <c r="D79" s="412">
        <v>12.1</v>
      </c>
      <c r="E79" s="411">
        <v>9.8400000000000001E-2</v>
      </c>
      <c r="F79" s="332">
        <v>8</v>
      </c>
      <c r="G79" s="413">
        <f t="shared" si="8"/>
        <v>1.0808435852372584E-2</v>
      </c>
      <c r="H79" s="334">
        <f t="shared" si="12"/>
        <v>8.1322314049586779E-3</v>
      </c>
      <c r="I79" s="335">
        <v>0</v>
      </c>
      <c r="J79" s="414">
        <f>I79*'[5]%Non-FF'!$AI$3/1000</f>
        <v>0</v>
      </c>
      <c r="K79" s="414">
        <f t="shared" si="9"/>
        <v>1.0808435852372584E-2</v>
      </c>
      <c r="L79" s="414">
        <f>K79*'[5]FR SO Table'!$D$18</f>
        <v>9.7275922671353245E-3</v>
      </c>
      <c r="M79" s="410">
        <v>10</v>
      </c>
      <c r="N79" s="414">
        <f t="shared" si="10"/>
        <v>0.10808435852372583</v>
      </c>
      <c r="O79" s="414">
        <f>N79*'[5]FR SO Table'!$D$18</f>
        <v>9.7275922671353238E-2</v>
      </c>
      <c r="P79" s="415">
        <f>O79*F156</f>
        <v>5.91243057996485</v>
      </c>
      <c r="Q79" s="416">
        <f>G79*M79*'[5]FR SO Table'!$D$18*F156</f>
        <v>5.91243057996485</v>
      </c>
      <c r="R79" s="341" t="s">
        <v>810</v>
      </c>
      <c r="S79" s="400">
        <f>E79*VLOOKUP(R79,'[5]FR SO Table'!$A$35:$B$42,2,FALSE)</f>
        <v>14.777220000000002</v>
      </c>
      <c r="T79" s="400">
        <f t="shared" si="11"/>
        <v>147.77220000000003</v>
      </c>
    </row>
    <row r="80" spans="1:21" x14ac:dyDescent="0.3">
      <c r="A80" s="1067"/>
      <c r="B80" s="425" t="s">
        <v>808</v>
      </c>
      <c r="C80" s="426" t="s">
        <v>859</v>
      </c>
      <c r="D80" s="412">
        <v>12.1</v>
      </c>
      <c r="E80" s="411">
        <v>5.7099999999999998E-2</v>
      </c>
      <c r="F80" s="332">
        <v>3</v>
      </c>
      <c r="G80" s="413">
        <f t="shared" si="8"/>
        <v>6.2719683655536032E-3</v>
      </c>
      <c r="H80" s="334">
        <f t="shared" si="12"/>
        <v>4.7190082644628095E-3</v>
      </c>
      <c r="I80" s="335">
        <v>0</v>
      </c>
      <c r="J80" s="414">
        <f>I80*'[5]%Non-FF'!$AI$3/1000</f>
        <v>0</v>
      </c>
      <c r="K80" s="414">
        <f t="shared" si="9"/>
        <v>6.2719683655536032E-3</v>
      </c>
      <c r="L80" s="414">
        <f>K80*'[5]FR SO Table'!$D$18</f>
        <v>5.6447715289982426E-3</v>
      </c>
      <c r="M80" s="410">
        <v>10</v>
      </c>
      <c r="N80" s="414">
        <f t="shared" si="10"/>
        <v>6.2719683655536027E-2</v>
      </c>
      <c r="O80" s="414">
        <f>N80*'[5]FR SO Table'!$D$18</f>
        <v>5.6447715289982416E-2</v>
      </c>
      <c r="P80" s="415">
        <f>O80*F156</f>
        <v>3.4308921353251312</v>
      </c>
      <c r="Q80" s="416">
        <f>G80*M80*'[5]FR SO Table'!$D$18*F156</f>
        <v>3.4308921353251312</v>
      </c>
      <c r="R80" s="341" t="s">
        <v>810</v>
      </c>
      <c r="S80" s="400">
        <f>E80*VLOOKUP(R80,'[5]FR SO Table'!$A$35:$B$42,2,FALSE)</f>
        <v>8.5749925000000005</v>
      </c>
      <c r="T80" s="400">
        <f t="shared" si="11"/>
        <v>85.749925000000005</v>
      </c>
    </row>
    <row r="81" spans="1:20" x14ac:dyDescent="0.3">
      <c r="A81" s="992" t="s">
        <v>761</v>
      </c>
      <c r="B81" s="425" t="s">
        <v>808</v>
      </c>
      <c r="C81" s="410" t="s">
        <v>860</v>
      </c>
      <c r="D81" s="412">
        <v>12.1</v>
      </c>
      <c r="E81" s="411">
        <v>1.6</v>
      </c>
      <c r="F81" s="332">
        <v>15</v>
      </c>
      <c r="G81" s="413">
        <f t="shared" si="8"/>
        <v>0.17574692442882253</v>
      </c>
      <c r="H81" s="334">
        <f t="shared" si="12"/>
        <v>0.13223140495867769</v>
      </c>
      <c r="I81" s="335">
        <v>0</v>
      </c>
      <c r="J81" s="414">
        <f>I81*'[5]%Non-FF'!$AI$3/1000</f>
        <v>0</v>
      </c>
      <c r="K81" s="414">
        <f t="shared" si="9"/>
        <v>0.17574692442882253</v>
      </c>
      <c r="L81" s="414">
        <f>K81*'[5]FR SO Table'!D19</f>
        <v>0.15817223198594027</v>
      </c>
      <c r="M81" s="410">
        <v>10</v>
      </c>
      <c r="N81" s="414">
        <f t="shared" si="10"/>
        <v>1.7574692442882254</v>
      </c>
      <c r="O81" s="414">
        <f>N81*'[5]FR SO Table'!D19</f>
        <v>1.5817223198594026</v>
      </c>
      <c r="P81" s="415">
        <f>O81*F156</f>
        <v>96.137082601054487</v>
      </c>
      <c r="Q81" s="416">
        <f>G81*M81*'[5]FR SO Table'!D19*F156</f>
        <v>96.137082601054487</v>
      </c>
      <c r="R81" s="341" t="s">
        <v>810</v>
      </c>
      <c r="S81" s="400">
        <f>E81*VLOOKUP(R81,'[5]FR SO Table'!$A$35:$B$42,2,FALSE)</f>
        <v>240.28000000000003</v>
      </c>
      <c r="T81" s="400">
        <f t="shared" si="11"/>
        <v>2402.8000000000002</v>
      </c>
    </row>
    <row r="82" spans="1:20" x14ac:dyDescent="0.3">
      <c r="A82" s="1064" t="s">
        <v>762</v>
      </c>
      <c r="B82" s="425" t="s">
        <v>808</v>
      </c>
      <c r="C82" s="410" t="s">
        <v>861</v>
      </c>
      <c r="D82" s="412">
        <v>15.02</v>
      </c>
      <c r="E82" s="411">
        <v>7.69</v>
      </c>
      <c r="F82" s="332">
        <v>11200</v>
      </c>
      <c r="G82" s="413">
        <f t="shared" si="8"/>
        <v>0.8446836555360282</v>
      </c>
      <c r="H82" s="334">
        <f t="shared" si="12"/>
        <v>0.51198402130492682</v>
      </c>
      <c r="I82" s="335">
        <v>0</v>
      </c>
      <c r="J82" s="414">
        <f>I82*'[5]%Non-FF'!$AD$3/1000</f>
        <v>0</v>
      </c>
      <c r="K82" s="414">
        <f t="shared" si="9"/>
        <v>0.8446836555360282</v>
      </c>
      <c r="L82" s="414">
        <f>K82*'[5]FR SO Table'!$D$20</f>
        <v>0.76021528998242527</v>
      </c>
      <c r="M82" s="410">
        <v>20</v>
      </c>
      <c r="N82" s="414">
        <f t="shared" si="10"/>
        <v>16.893673110720563</v>
      </c>
      <c r="O82" s="414">
        <f>N82*'[5]FR SO Table'!$D$20</f>
        <v>15.204305799648505</v>
      </c>
      <c r="P82" s="415">
        <f>O82*F156</f>
        <v>924.11770650263622</v>
      </c>
      <c r="Q82" s="416">
        <f>G82*M82*'[5]FR SO Table'!$D$20*F156</f>
        <v>924.11770650263622</v>
      </c>
      <c r="R82" s="341" t="s">
        <v>810</v>
      </c>
      <c r="S82" s="400">
        <f>E82*VLOOKUP(R82,'[5]FR SO Table'!$A$35:$B$42,2,FALSE)</f>
        <v>1154.8457500000002</v>
      </c>
      <c r="T82" s="400">
        <f t="shared" si="11"/>
        <v>23096.915000000005</v>
      </c>
    </row>
    <row r="83" spans="1:20" x14ac:dyDescent="0.3">
      <c r="A83" s="1064"/>
      <c r="B83" s="425" t="s">
        <v>808</v>
      </c>
      <c r="C83" s="410" t="s">
        <v>862</v>
      </c>
      <c r="D83" s="412">
        <v>15.02</v>
      </c>
      <c r="E83" s="411">
        <v>9.7799999999999994</v>
      </c>
      <c r="F83" s="332">
        <v>11200</v>
      </c>
      <c r="G83" s="413">
        <f t="shared" si="8"/>
        <v>1.0742530755711774</v>
      </c>
      <c r="H83" s="334">
        <f t="shared" si="12"/>
        <v>0.65113182423435412</v>
      </c>
      <c r="I83" s="335">
        <v>0</v>
      </c>
      <c r="J83" s="414">
        <f>I83*'[5]%Non-FF'!$AD$3/1000</f>
        <v>0</v>
      </c>
      <c r="K83" s="414">
        <f t="shared" si="9"/>
        <v>1.0742530755711774</v>
      </c>
      <c r="L83" s="414">
        <f>K83*'[5]FR SO Table'!$D$20</f>
        <v>0.96682776801405956</v>
      </c>
      <c r="M83" s="410">
        <v>20</v>
      </c>
      <c r="N83" s="414">
        <f t="shared" si="10"/>
        <v>21.485061511423549</v>
      </c>
      <c r="O83" s="414">
        <f>N83*'[5]FR SO Table'!$D$20</f>
        <v>19.336555360281192</v>
      </c>
      <c r="P83" s="415">
        <f>O83*F156</f>
        <v>1175.2758347978909</v>
      </c>
      <c r="Q83" s="416">
        <f>G83*M83*'[5]FR SO Table'!$D$20*F156</f>
        <v>1175.2758347978909</v>
      </c>
      <c r="R83" s="341" t="s">
        <v>810</v>
      </c>
      <c r="S83" s="400">
        <f>E83*VLOOKUP(R83,'[5]FR SO Table'!$A$35:$B$42,2,FALSE)</f>
        <v>1468.7115000000001</v>
      </c>
      <c r="T83" s="400">
        <f t="shared" si="11"/>
        <v>29374.230000000003</v>
      </c>
    </row>
    <row r="84" spans="1:20" x14ac:dyDescent="0.3">
      <c r="A84" s="1064"/>
      <c r="B84" s="425" t="s">
        <v>808</v>
      </c>
      <c r="C84" s="410" t="s">
        <v>863</v>
      </c>
      <c r="D84" s="412">
        <v>15.02</v>
      </c>
      <c r="E84" s="411">
        <v>10.95</v>
      </c>
      <c r="F84" s="332">
        <v>11200</v>
      </c>
      <c r="G84" s="413">
        <f t="shared" si="8"/>
        <v>1.2027680140597541</v>
      </c>
      <c r="H84" s="334">
        <f t="shared" si="12"/>
        <v>0.72902796271637815</v>
      </c>
      <c r="I84" s="335">
        <v>0</v>
      </c>
      <c r="J84" s="414">
        <f>I84*'[5]%Non-FF'!$AD$3/1000</f>
        <v>0</v>
      </c>
      <c r="K84" s="414">
        <f t="shared" si="9"/>
        <v>1.2027680140597541</v>
      </c>
      <c r="L84" s="414">
        <f>K84*'[5]FR SO Table'!$D$20</f>
        <v>1.0824912126537787</v>
      </c>
      <c r="M84" s="410">
        <v>20</v>
      </c>
      <c r="N84" s="414">
        <f t="shared" si="10"/>
        <v>24.055360281195082</v>
      </c>
      <c r="O84" s="414">
        <f>N84*'[5]FR SO Table'!$D$20</f>
        <v>21.649824253075572</v>
      </c>
      <c r="P84" s="415">
        <f>O84*F156</f>
        <v>1315.8763181019333</v>
      </c>
      <c r="Q84" s="416">
        <f>G84*M84*'[5]FR SO Table'!$D$20*F156</f>
        <v>1315.8763181019333</v>
      </c>
      <c r="R84" s="341" t="s">
        <v>810</v>
      </c>
      <c r="S84" s="400">
        <f>E84*VLOOKUP(R84,'[5]FR SO Table'!$A$35:$B$42,2,FALSE)</f>
        <v>1644.41625</v>
      </c>
      <c r="T84" s="400">
        <f t="shared" si="11"/>
        <v>32888.324999999997</v>
      </c>
    </row>
    <row r="85" spans="1:20" x14ac:dyDescent="0.3">
      <c r="A85" s="1064"/>
      <c r="B85" s="425" t="s">
        <v>808</v>
      </c>
      <c r="C85" s="410" t="s">
        <v>864</v>
      </c>
      <c r="D85" s="412">
        <v>15.02</v>
      </c>
      <c r="E85" s="411">
        <v>11.86</v>
      </c>
      <c r="F85" s="332">
        <v>11200</v>
      </c>
      <c r="G85" s="413">
        <f t="shared" si="8"/>
        <v>1.3027240773286468</v>
      </c>
      <c r="H85" s="334">
        <f t="shared" si="12"/>
        <v>0.78961384820239677</v>
      </c>
      <c r="I85" s="335">
        <v>0</v>
      </c>
      <c r="J85" s="414">
        <f>I85*'[5]%Non-FF'!$AD$3/1000</f>
        <v>0</v>
      </c>
      <c r="K85" s="414">
        <f t="shared" si="9"/>
        <v>1.3027240773286468</v>
      </c>
      <c r="L85" s="414">
        <f>K85*'[5]FR SO Table'!$D$20</f>
        <v>1.1724516695957821</v>
      </c>
      <c r="M85" s="410">
        <v>20</v>
      </c>
      <c r="N85" s="414">
        <f t="shared" si="10"/>
        <v>26.054481546572937</v>
      </c>
      <c r="O85" s="414">
        <f>N85*'[5]FR SO Table'!$D$20</f>
        <v>23.449033391915641</v>
      </c>
      <c r="P85" s="415">
        <f>O85*F156</f>
        <v>1425.2322495606327</v>
      </c>
      <c r="Q85" s="416">
        <f>G85*M85*'[5]FR SO Table'!$D$20*F156</f>
        <v>1425.2322495606327</v>
      </c>
      <c r="R85" s="341" t="s">
        <v>810</v>
      </c>
      <c r="S85" s="400">
        <f>E85*VLOOKUP(R85,'[5]FR SO Table'!$A$35:$B$42,2,FALSE)</f>
        <v>1781.0755000000001</v>
      </c>
      <c r="T85" s="400">
        <f t="shared" si="11"/>
        <v>35621.51</v>
      </c>
    </row>
    <row r="86" spans="1:20" s="424" customFormat="1" x14ac:dyDescent="0.3">
      <c r="A86" s="1055" t="s">
        <v>763</v>
      </c>
      <c r="B86" s="1058" t="s">
        <v>808</v>
      </c>
      <c r="C86" s="429" t="s">
        <v>865</v>
      </c>
      <c r="D86" s="430">
        <v>137.4</v>
      </c>
      <c r="E86" s="431">
        <v>137.4</v>
      </c>
      <c r="F86" s="348" t="s">
        <v>695</v>
      </c>
      <c r="G86" s="422">
        <f t="shared" si="8"/>
        <v>15.092267135325134</v>
      </c>
      <c r="H86" s="363">
        <f t="shared" si="12"/>
        <v>1</v>
      </c>
      <c r="I86" s="349">
        <v>13885.505186780467</v>
      </c>
      <c r="J86" s="414">
        <f>I86*'[5]%Non-FF'!$AJ$3/1000</f>
        <v>0.20828257780170872</v>
      </c>
      <c r="K86" s="423">
        <f t="shared" si="9"/>
        <v>14.883984557523425</v>
      </c>
      <c r="L86" s="423">
        <f>K86*'[5]FR SO Table'!$D$21</f>
        <v>14.883984557523425</v>
      </c>
      <c r="M86" s="429">
        <v>8</v>
      </c>
      <c r="N86" s="423">
        <f t="shared" si="10"/>
        <v>119.0718764601874</v>
      </c>
      <c r="O86" s="423">
        <f>N86*'[5]FR SO Table'!$D$21</f>
        <v>119.0718764601874</v>
      </c>
      <c r="P86" s="415">
        <f>O86*F156</f>
        <v>7237.1886512501906</v>
      </c>
      <c r="Q86" s="416">
        <f>G86*M86*'[5]FR SO Table'!$D$21*F156</f>
        <v>7338.4639718804929</v>
      </c>
      <c r="R86" s="410" t="s">
        <v>866</v>
      </c>
      <c r="S86" s="400">
        <f>E86*VLOOKUP(R86,'[5]FR SO Table'!$A$35:$B$42,2,FALSE)</f>
        <v>19105.47</v>
      </c>
      <c r="T86" s="400">
        <f t="shared" si="11"/>
        <v>121009.0676662943</v>
      </c>
    </row>
    <row r="87" spans="1:20" s="424" customFormat="1" x14ac:dyDescent="0.3">
      <c r="A87" s="1055"/>
      <c r="B87" s="1061"/>
      <c r="C87" s="429" t="s">
        <v>867</v>
      </c>
      <c r="D87" s="430">
        <v>137.4</v>
      </c>
      <c r="E87" s="431">
        <v>137.4</v>
      </c>
      <c r="F87" s="348" t="s">
        <v>695</v>
      </c>
      <c r="G87" s="422">
        <f t="shared" si="8"/>
        <v>15.092267135325134</v>
      </c>
      <c r="H87" s="363">
        <f t="shared" si="12"/>
        <v>1</v>
      </c>
      <c r="I87" s="349">
        <v>13885.505186780467</v>
      </c>
      <c r="J87" s="414">
        <f>I87*'[5]%Non-FF'!$AN$3/1000</f>
        <v>0.40267965041663539</v>
      </c>
      <c r="K87" s="423">
        <f t="shared" si="9"/>
        <v>14.689587484908499</v>
      </c>
      <c r="L87" s="423">
        <f>K87*'[5]FR SO Table'!$D$21</f>
        <v>14.689587484908499</v>
      </c>
      <c r="M87" s="429">
        <v>4</v>
      </c>
      <c r="N87" s="423">
        <f t="shared" si="10"/>
        <v>58.758349939633995</v>
      </c>
      <c r="O87" s="423">
        <f>N87*'[5]FR SO Table'!$D$21</f>
        <v>58.758349939633995</v>
      </c>
      <c r="P87" s="415">
        <f>O87*F156</f>
        <v>3571.3325093309541</v>
      </c>
      <c r="Q87" s="416">
        <f>G87*M87*'[5]FR SO Table'!$D$21*F156</f>
        <v>3669.2319859402464</v>
      </c>
      <c r="R87" s="410" t="s">
        <v>866</v>
      </c>
      <c r="S87" s="400">
        <f>E87*VLOOKUP(R87,'[5]FR SO Table'!$A$35:$B$42,2,FALSE)</f>
        <v>19105.47</v>
      </c>
      <c r="T87" s="400">
        <f t="shared" si="11"/>
        <v>45648.34407741794</v>
      </c>
    </row>
    <row r="88" spans="1:20" s="424" customFormat="1" x14ac:dyDescent="0.3">
      <c r="A88" s="990" t="s">
        <v>764</v>
      </c>
      <c r="B88" s="991" t="s">
        <v>808</v>
      </c>
      <c r="C88" s="429" t="s">
        <v>868</v>
      </c>
      <c r="D88" s="430">
        <v>7.8324999999999996</v>
      </c>
      <c r="E88" s="418">
        <v>7.8324999999999996</v>
      </c>
      <c r="F88" s="348" t="s">
        <v>695</v>
      </c>
      <c r="G88" s="422">
        <f t="shared" si="8"/>
        <v>0.86033611599297011</v>
      </c>
      <c r="H88" s="363">
        <f t="shared" si="12"/>
        <v>1</v>
      </c>
      <c r="I88" s="349">
        <v>757.50812185089751</v>
      </c>
      <c r="J88" s="414">
        <f>I88*'[5]%Non-FF'!$AM$3/1000</f>
        <v>1.8180194924421723E-2</v>
      </c>
      <c r="K88" s="423">
        <f t="shared" si="9"/>
        <v>0.84215592106854842</v>
      </c>
      <c r="L88" s="423">
        <f>K88*'[5]FR SO Table'!$D$22</f>
        <v>0.84215592106854842</v>
      </c>
      <c r="M88" s="429">
        <v>5</v>
      </c>
      <c r="N88" s="423">
        <f t="shared" si="10"/>
        <v>4.2107796053427418</v>
      </c>
      <c r="O88" s="423">
        <f>N88*'[5]FR SO Table'!$D$22</f>
        <v>4.2107796053427418</v>
      </c>
      <c r="P88" s="415">
        <f>O88*F156</f>
        <v>255.93118441273185</v>
      </c>
      <c r="Q88" s="416">
        <f>G88*M88*'[5]FR SO Table'!$D$22*F156</f>
        <v>261.45614565026364</v>
      </c>
      <c r="R88" s="410" t="s">
        <v>843</v>
      </c>
      <c r="S88" s="400">
        <f>E88*VLOOKUP(R88,'[5]FR SO Table'!$A$35:$B$42,2,FALSE)</f>
        <v>1231.2689999999998</v>
      </c>
      <c r="T88" s="400">
        <f t="shared" si="11"/>
        <v>6044.4214478780104</v>
      </c>
    </row>
    <row r="89" spans="1:20" s="424" customFormat="1" x14ac:dyDescent="0.3">
      <c r="A89" s="1055" t="s">
        <v>765</v>
      </c>
      <c r="B89" s="1057" t="s">
        <v>808</v>
      </c>
      <c r="C89" s="429" t="s">
        <v>869</v>
      </c>
      <c r="D89" s="430">
        <v>82.8</v>
      </c>
      <c r="E89" s="418">
        <v>48.316750616466237</v>
      </c>
      <c r="F89" s="348">
        <v>6403.6666666666661</v>
      </c>
      <c r="G89" s="422">
        <f t="shared" si="8"/>
        <v>5.3072001995239724</v>
      </c>
      <c r="H89" s="363">
        <f t="shared" si="12"/>
        <v>0.5835356354645681</v>
      </c>
      <c r="I89" s="349">
        <v>4473.0651941800925</v>
      </c>
      <c r="J89" s="414">
        <f>I89*'[5]%Non-FF'!$AE$3/1000</f>
        <v>2.9820434627867473E-2</v>
      </c>
      <c r="K89" s="423">
        <f t="shared" si="9"/>
        <v>5.2773797648961045</v>
      </c>
      <c r="L89" s="423">
        <f>K89*'[5]FR SO Table'!$D$23</f>
        <v>5.2773797648961045</v>
      </c>
      <c r="M89" s="429">
        <v>18</v>
      </c>
      <c r="N89" s="423">
        <f t="shared" si="10"/>
        <v>94.992835768129879</v>
      </c>
      <c r="O89" s="423">
        <f>N89*'[5]FR SO Table'!$D$23</f>
        <v>94.992835768129879</v>
      </c>
      <c r="P89" s="415">
        <f>O89*F156</f>
        <v>5773.6645579869346</v>
      </c>
      <c r="Q89" s="417">
        <f>G89*M89*'[5]FR SO Table'!$D$23*F156</f>
        <v>5806.2893062872072</v>
      </c>
      <c r="R89" s="341" t="s">
        <v>810</v>
      </c>
      <c r="S89" s="400">
        <f>E89*VLOOKUP(R89,'[5]FR SO Table'!$A$35:$B$42,2,FALSE)</f>
        <v>7255.9680238278179</v>
      </c>
      <c r="T89" s="400">
        <f t="shared" si="11"/>
        <v>126712.65426680454</v>
      </c>
    </row>
    <row r="90" spans="1:20" s="424" customFormat="1" x14ac:dyDescent="0.3">
      <c r="A90" s="1055"/>
      <c r="B90" s="1057"/>
      <c r="C90" s="429" t="s">
        <v>870</v>
      </c>
      <c r="D90" s="430">
        <v>82.8</v>
      </c>
      <c r="E90" s="418">
        <v>55.16597218413159</v>
      </c>
      <c r="F90" s="348">
        <v>7325.9999999999991</v>
      </c>
      <c r="G90" s="422">
        <f t="shared" si="8"/>
        <v>6.0595312153044372</v>
      </c>
      <c r="H90" s="363">
        <f t="shared" si="12"/>
        <v>0.66625570270690326</v>
      </c>
      <c r="I90" s="349">
        <v>5082.9017942818564</v>
      </c>
      <c r="J90" s="414">
        <f>I90*'[5]%Non-FF'!$AE$3/1000</f>
        <v>3.3886011961879264E-2</v>
      </c>
      <c r="K90" s="423">
        <f t="shared" si="9"/>
        <v>6.0256452033425578</v>
      </c>
      <c r="L90" s="423">
        <f>K90*'[5]FR SO Table'!$D$23</f>
        <v>6.0256452033425578</v>
      </c>
      <c r="M90" s="429">
        <v>18</v>
      </c>
      <c r="N90" s="423">
        <f t="shared" si="10"/>
        <v>108.46161366016604</v>
      </c>
      <c r="O90" s="423">
        <f>N90*'[5]FR SO Table'!$D$23</f>
        <v>108.46161366016604</v>
      </c>
      <c r="P90" s="415">
        <f>O90*F156</f>
        <v>6592.2968782648923</v>
      </c>
      <c r="Q90" s="417">
        <f>G90*M90*'[5]FR SO Table'!$D$23*F156</f>
        <v>6629.3695307916669</v>
      </c>
      <c r="R90" s="341" t="s">
        <v>810</v>
      </c>
      <c r="S90" s="400">
        <f>E90*VLOOKUP(R90,'[5]FR SO Table'!$A$35:$B$42,2,FALSE)</f>
        <v>8284.5498727519625</v>
      </c>
      <c r="T90" s="400">
        <f t="shared" si="11"/>
        <v>144068.75129997186</v>
      </c>
    </row>
    <row r="91" spans="1:20" s="424" customFormat="1" x14ac:dyDescent="0.3">
      <c r="A91" s="1055"/>
      <c r="B91" s="1057"/>
      <c r="C91" s="429" t="s">
        <v>871</v>
      </c>
      <c r="D91" s="430">
        <v>82.8</v>
      </c>
      <c r="E91" s="418">
        <v>62.015193751796943</v>
      </c>
      <c r="F91" s="348">
        <v>8248.3333333333321</v>
      </c>
      <c r="G91" s="422">
        <f t="shared" si="8"/>
        <v>6.811862231084902</v>
      </c>
      <c r="H91" s="363">
        <f t="shared" si="12"/>
        <v>0.74897576994923842</v>
      </c>
      <c r="I91" s="349">
        <v>5692.7383943836203</v>
      </c>
      <c r="J91" s="414">
        <f>I91*'[5]%Non-FF'!$AE$3/1000</f>
        <v>3.7951589295891049E-2</v>
      </c>
      <c r="K91" s="423">
        <f t="shared" si="9"/>
        <v>6.7739106417890111</v>
      </c>
      <c r="L91" s="423">
        <f>K91*'[5]FR SO Table'!$D$23</f>
        <v>6.7739106417890111</v>
      </c>
      <c r="M91" s="429">
        <v>18</v>
      </c>
      <c r="N91" s="423">
        <f t="shared" si="10"/>
        <v>121.9303915522022</v>
      </c>
      <c r="O91" s="423">
        <f>N91*'[5]FR SO Table'!$D$23</f>
        <v>121.9303915522022</v>
      </c>
      <c r="P91" s="415">
        <f>O91*F156</f>
        <v>7410.9291985428499</v>
      </c>
      <c r="Q91" s="417">
        <f>G91*M91*'[5]FR SO Table'!$D$23*F156</f>
        <v>7452.4497552961266</v>
      </c>
      <c r="R91" s="341" t="s">
        <v>810</v>
      </c>
      <c r="S91" s="400">
        <f>E91*VLOOKUP(R91,'[5]FR SO Table'!$A$35:$B$42,2,FALSE)</f>
        <v>9313.1317216761072</v>
      </c>
      <c r="T91" s="400">
        <f t="shared" si="11"/>
        <v>161274.30428729739</v>
      </c>
    </row>
    <row r="92" spans="1:20" s="424" customFormat="1" x14ac:dyDescent="0.3">
      <c r="A92" s="1055"/>
      <c r="B92" s="1057"/>
      <c r="C92" s="429" t="s">
        <v>872</v>
      </c>
      <c r="D92" s="430">
        <v>82.8</v>
      </c>
      <c r="E92" s="418">
        <v>75.506963216120838</v>
      </c>
      <c r="F92" s="348">
        <v>9223.5833333333321</v>
      </c>
      <c r="G92" s="422">
        <f t="shared" si="8"/>
        <v>8.2938228488709189</v>
      </c>
      <c r="H92" s="363">
        <f t="shared" si="12"/>
        <v>0.91191984560532413</v>
      </c>
      <c r="I92" s="349">
        <v>6594.7804260102494</v>
      </c>
      <c r="J92" s="414">
        <f>I92*'[5]%Non-FF'!$AE$3/1000</f>
        <v>4.3965202840068614E-2</v>
      </c>
      <c r="K92" s="423">
        <f t="shared" si="9"/>
        <v>8.2498576460308506</v>
      </c>
      <c r="L92" s="423">
        <f>K92*'[5]FR SO Table'!$D$23</f>
        <v>8.2498576460308506</v>
      </c>
      <c r="M92" s="429">
        <v>18</v>
      </c>
      <c r="N92" s="423">
        <f t="shared" si="10"/>
        <v>148.4974376285553</v>
      </c>
      <c r="O92" s="423">
        <f>N92*'[5]FR SO Table'!$D$23</f>
        <v>148.4974376285553</v>
      </c>
      <c r="P92" s="415">
        <f>O92*F156</f>
        <v>9025.6742590635913</v>
      </c>
      <c r="Q92" s="417">
        <f>G92*M92*'[5]FR SO Table'!$D$23*F156</f>
        <v>9073.7739495787409</v>
      </c>
      <c r="R92" s="341" t="s">
        <v>810</v>
      </c>
      <c r="S92" s="400">
        <f>E92*VLOOKUP(R92,'[5]FR SO Table'!$A$35:$B$42,2,FALSE)</f>
        <v>11339.258200980948</v>
      </c>
      <c r="T92" s="400">
        <f t="shared" si="11"/>
        <v>195133.05745414036</v>
      </c>
    </row>
    <row r="93" spans="1:20" s="424" customFormat="1" x14ac:dyDescent="0.3">
      <c r="A93" s="1055"/>
      <c r="B93" s="1057"/>
      <c r="C93" s="429" t="s">
        <v>873</v>
      </c>
      <c r="D93" s="430">
        <v>82.8</v>
      </c>
      <c r="E93" s="418">
        <v>88.998732680444732</v>
      </c>
      <c r="F93" s="348">
        <v>10198.833333333334</v>
      </c>
      <c r="G93" s="422">
        <f t="shared" si="8"/>
        <v>9.7757834666569359</v>
      </c>
      <c r="H93" s="363">
        <f t="shared" si="12"/>
        <v>1.0748639212614099</v>
      </c>
      <c r="I93" s="349">
        <v>7496.8224576368784</v>
      </c>
      <c r="J93" s="414">
        <f>I93*'[5]%Non-FF'!$AE$3/1000</f>
        <v>4.9978816384246179E-2</v>
      </c>
      <c r="K93" s="423">
        <f t="shared" si="9"/>
        <v>9.7258046502726891</v>
      </c>
      <c r="L93" s="423">
        <f>K93*'[5]FR SO Table'!$D$23</f>
        <v>9.7258046502726891</v>
      </c>
      <c r="M93" s="429">
        <v>18</v>
      </c>
      <c r="N93" s="423">
        <f t="shared" si="10"/>
        <v>175.06448370490841</v>
      </c>
      <c r="O93" s="423">
        <f>N93*'[5]FR SO Table'!$D$23</f>
        <v>175.06448370490841</v>
      </c>
      <c r="P93" s="415">
        <f>O93*F156</f>
        <v>10640.419319584333</v>
      </c>
      <c r="Q93" s="417">
        <f>G93*M93*'[5]FR SO Table'!$D$23*F156</f>
        <v>10695.098143861354</v>
      </c>
      <c r="R93" s="341" t="s">
        <v>810</v>
      </c>
      <c r="S93" s="400">
        <f>E93*VLOOKUP(R93,'[5]FR SO Table'!$A$35:$B$42,2,FALSE)</f>
        <v>13365.384680285788</v>
      </c>
      <c r="T93" s="400">
        <f t="shared" si="11"/>
        <v>228553.17432200941</v>
      </c>
    </row>
    <row r="94" spans="1:20" s="424" customFormat="1" x14ac:dyDescent="0.3">
      <c r="A94" s="1055"/>
      <c r="B94" s="1057"/>
      <c r="C94" s="429" t="s">
        <v>874</v>
      </c>
      <c r="D94" s="430">
        <v>82.8</v>
      </c>
      <c r="E94" s="418">
        <v>87.240603714413766</v>
      </c>
      <c r="F94" s="348">
        <v>11115.875</v>
      </c>
      <c r="G94" s="422">
        <f t="shared" si="8"/>
        <v>9.5826673675762049</v>
      </c>
      <c r="H94" s="363">
        <f t="shared" si="12"/>
        <v>1.0536304796426783</v>
      </c>
      <c r="I94" s="349">
        <v>7769.5422171253631</v>
      </c>
      <c r="J94" s="414">
        <f>I94*'[5]%Non-FF'!$AE$3/1000</f>
        <v>5.1796948114169419E-2</v>
      </c>
      <c r="K94" s="423">
        <f t="shared" si="9"/>
        <v>9.5308704194620351</v>
      </c>
      <c r="L94" s="423">
        <f>K94*'[5]FR SO Table'!$D$23</f>
        <v>9.5308704194620351</v>
      </c>
      <c r="M94" s="429">
        <v>18</v>
      </c>
      <c r="N94" s="423">
        <f t="shared" si="10"/>
        <v>171.55566755031663</v>
      </c>
      <c r="O94" s="423">
        <f>N94*'[5]FR SO Table'!$D$23</f>
        <v>171.55566755031663</v>
      </c>
      <c r="P94" s="415">
        <f>O94*F156</f>
        <v>10427.153473708246</v>
      </c>
      <c r="Q94" s="417">
        <f>G94*M94*'[5]FR SO Table'!$D$23*F156</f>
        <v>10483.821406823072</v>
      </c>
      <c r="R94" s="341" t="s">
        <v>810</v>
      </c>
      <c r="S94" s="400">
        <f>E94*VLOOKUP(R94,'[5]FR SO Table'!$A$35:$B$42,2,FALSE)</f>
        <v>13101.357662812088</v>
      </c>
      <c r="T94" s="400">
        <f t="shared" si="11"/>
        <v>223609.45175507222</v>
      </c>
    </row>
    <row r="95" spans="1:20" s="424" customFormat="1" x14ac:dyDescent="0.3">
      <c r="A95" s="1055"/>
      <c r="B95" s="1057"/>
      <c r="C95" s="429" t="s">
        <v>875</v>
      </c>
      <c r="D95" s="430">
        <v>82.8</v>
      </c>
      <c r="E95" s="418">
        <v>85.482474748382771</v>
      </c>
      <c r="F95" s="348">
        <v>12032.916666666666</v>
      </c>
      <c r="G95" s="422">
        <f t="shared" si="8"/>
        <v>9.3895512684954721</v>
      </c>
      <c r="H95" s="363">
        <f t="shared" si="12"/>
        <v>1.0323970380239464</v>
      </c>
      <c r="I95" s="349">
        <v>8042.2619766138487</v>
      </c>
      <c r="J95" s="414">
        <f>I95*'[5]%Non-FF'!$AE$3/1000</f>
        <v>5.3615079844092667E-2</v>
      </c>
      <c r="K95" s="423">
        <f t="shared" si="9"/>
        <v>9.3359361886513792</v>
      </c>
      <c r="L95" s="423">
        <f>K95*'[5]FR SO Table'!$D$23</f>
        <v>9.3359361886513792</v>
      </c>
      <c r="M95" s="429">
        <v>18</v>
      </c>
      <c r="N95" s="423">
        <f t="shared" si="10"/>
        <v>168.04685139572481</v>
      </c>
      <c r="O95" s="423">
        <f>N95*'[5]FR SO Table'!$D$23</f>
        <v>168.04685139572481</v>
      </c>
      <c r="P95" s="415">
        <f>O95*F156</f>
        <v>10213.887627832155</v>
      </c>
      <c r="Q95" s="417">
        <f>G95*M95*'[5]FR SO Table'!$D$23*F156</f>
        <v>10272.544669784786</v>
      </c>
      <c r="R95" s="341" t="s">
        <v>810</v>
      </c>
      <c r="S95" s="400">
        <f>E95*VLOOKUP(R95,'[5]FR SO Table'!$A$35:$B$42,2,FALSE)</f>
        <v>12837.330645338383</v>
      </c>
      <c r="T95" s="400">
        <f t="shared" si="11"/>
        <v>218683.01048046388</v>
      </c>
    </row>
    <row r="96" spans="1:20" s="424" customFormat="1" x14ac:dyDescent="0.3">
      <c r="A96" s="1055"/>
      <c r="B96" s="1057"/>
      <c r="C96" s="429" t="s">
        <v>876</v>
      </c>
      <c r="D96" s="430">
        <v>82.8</v>
      </c>
      <c r="E96" s="418">
        <v>90.320134929913749</v>
      </c>
      <c r="F96" s="348">
        <v>12971.125</v>
      </c>
      <c r="G96" s="422">
        <f t="shared" si="8"/>
        <v>9.9209287049553776</v>
      </c>
      <c r="H96" s="363">
        <f t="shared" si="12"/>
        <v>1.0908228856269777</v>
      </c>
      <c r="I96" s="349">
        <v>8215.9242393202458</v>
      </c>
      <c r="J96" s="414">
        <f>I96*'[5]%Non-FF'!$AE$3/1000</f>
        <v>5.477282826213533E-2</v>
      </c>
      <c r="K96" s="423">
        <f t="shared" si="9"/>
        <v>9.8661558766932416</v>
      </c>
      <c r="L96" s="423">
        <f>K96*'[5]FR SO Table'!$D$23</f>
        <v>9.8661558766932416</v>
      </c>
      <c r="M96" s="429">
        <v>18</v>
      </c>
      <c r="N96" s="423">
        <f t="shared" si="10"/>
        <v>177.59080578047835</v>
      </c>
      <c r="O96" s="423">
        <f>N96*'[5]FR SO Table'!$D$23</f>
        <v>177.59080578047835</v>
      </c>
      <c r="P96" s="415">
        <f>O96*F156</f>
        <v>10793.969175337474</v>
      </c>
      <c r="Q96" s="417">
        <f>G96*M96*'[5]FR SO Table'!$D$23*F156</f>
        <v>10853.892840369381</v>
      </c>
      <c r="R96" s="341" t="s">
        <v>810</v>
      </c>
      <c r="S96" s="400">
        <f>E96*VLOOKUP(R96,'[5]FR SO Table'!$A$35:$B$42,2,FALSE)</f>
        <v>13563.826263099798</v>
      </c>
      <c r="T96" s="400">
        <f t="shared" si="11"/>
        <v>230776.14845904463</v>
      </c>
    </row>
    <row r="97" spans="1:20" s="424" customFormat="1" x14ac:dyDescent="0.3">
      <c r="A97" s="1055"/>
      <c r="B97" s="1057"/>
      <c r="C97" s="429" t="s">
        <v>877</v>
      </c>
      <c r="D97" s="430">
        <v>82.8</v>
      </c>
      <c r="E97" s="418">
        <v>95.157795111444727</v>
      </c>
      <c r="F97" s="348">
        <v>13909.333333333334</v>
      </c>
      <c r="G97" s="422">
        <f t="shared" si="8"/>
        <v>10.452306141415283</v>
      </c>
      <c r="H97" s="363">
        <f t="shared" si="12"/>
        <v>1.1492487332300088</v>
      </c>
      <c r="I97" s="349">
        <v>8389.5865020266428</v>
      </c>
      <c r="J97" s="414">
        <f>I97*'[5]%Non-FF'!$AE$3/1000</f>
        <v>5.5930576680177979E-2</v>
      </c>
      <c r="K97" s="423">
        <f t="shared" si="9"/>
        <v>10.396375564735106</v>
      </c>
      <c r="L97" s="423">
        <f>K97*'[5]FR SO Table'!$D$23</f>
        <v>10.396375564735106</v>
      </c>
      <c r="M97" s="429">
        <v>18</v>
      </c>
      <c r="N97" s="423">
        <f t="shared" si="10"/>
        <v>187.13476016523191</v>
      </c>
      <c r="O97" s="423">
        <f>N97*'[5]FR SO Table'!$D$23</f>
        <v>187.13476016523191</v>
      </c>
      <c r="P97" s="415">
        <f>O97*F156</f>
        <v>11374.050722842796</v>
      </c>
      <c r="Q97" s="417">
        <f>G97*M97*'[5]FR SO Table'!$D$23*F156</f>
        <v>11435.241010953976</v>
      </c>
      <c r="R97" s="341" t="s">
        <v>810</v>
      </c>
      <c r="S97" s="400">
        <f>E97*VLOOKUP(R97,'[5]FR SO Table'!$A$35:$B$42,2,FALSE)</f>
        <v>14290.321880861213</v>
      </c>
      <c r="T97" s="400">
        <f t="shared" si="11"/>
        <v>242839.00686814703</v>
      </c>
    </row>
    <row r="98" spans="1:20" s="424" customFormat="1" x14ac:dyDescent="0.3">
      <c r="A98" s="1055"/>
      <c r="B98" s="1057"/>
      <c r="C98" s="429" t="s">
        <v>878</v>
      </c>
      <c r="D98" s="430" t="s">
        <v>695</v>
      </c>
      <c r="E98" s="418">
        <v>51.078531597613754</v>
      </c>
      <c r="F98" s="348">
        <v>6403.6666666666661</v>
      </c>
      <c r="G98" s="422">
        <f t="shared" si="8"/>
        <v>5.6105592703881548</v>
      </c>
      <c r="H98" s="363" t="e">
        <f t="shared" si="12"/>
        <v>#VALUE!</v>
      </c>
      <c r="I98" s="349">
        <v>2921.6875399361015</v>
      </c>
      <c r="J98" s="414">
        <f>I98*'[5]%Non-FF'!$AE$3/1000</f>
        <v>1.9477916932907468E-2</v>
      </c>
      <c r="K98" s="423">
        <f t="shared" si="9"/>
        <v>5.5910813534552473</v>
      </c>
      <c r="L98" s="423">
        <f>K98*'[5]FR SO Table'!$D$23</f>
        <v>5.5910813534552473</v>
      </c>
      <c r="M98" s="429">
        <v>18</v>
      </c>
      <c r="N98" s="423">
        <f t="shared" si="10"/>
        <v>100.63946436219445</v>
      </c>
      <c r="O98" s="423">
        <f>N98*'[5]FR SO Table'!$D$23</f>
        <v>100.63946436219445</v>
      </c>
      <c r="P98" s="415">
        <f>O98*F156</f>
        <v>6116.8666439341787</v>
      </c>
      <c r="Q98" s="417">
        <f>G98*M98*'[5]FR SO Table'!$D$23*F156</f>
        <v>6138.1762641754567</v>
      </c>
      <c r="R98" s="341" t="s">
        <v>810</v>
      </c>
      <c r="S98" s="400">
        <f>E98*VLOOKUP(R98,'[5]FR SO Table'!$A$35:$B$42,2,FALSE)</f>
        <v>7670.7184826716457</v>
      </c>
      <c r="T98" s="400">
        <f t="shared" si="11"/>
        <v>135383.55957450808</v>
      </c>
    </row>
    <row r="99" spans="1:20" s="424" customFormat="1" x14ac:dyDescent="0.3">
      <c r="A99" s="1055"/>
      <c r="B99" s="1057"/>
      <c r="C99" s="429" t="s">
        <v>879</v>
      </c>
      <c r="D99" s="430" t="s">
        <v>695</v>
      </c>
      <c r="E99" s="418">
        <v>58.31925403443725</v>
      </c>
      <c r="F99" s="348">
        <v>7325.9999999999991</v>
      </c>
      <c r="G99" s="422">
        <f t="shared" si="8"/>
        <v>6.4058934572097161</v>
      </c>
      <c r="H99" s="363" t="e">
        <f t="shared" si="12"/>
        <v>#VALUE!</v>
      </c>
      <c r="I99" s="349">
        <v>3320.0166316364771</v>
      </c>
      <c r="J99" s="414">
        <f>I99*'[5]%Non-FF'!$AE$3/1000</f>
        <v>2.213344421090999E-2</v>
      </c>
      <c r="K99" s="423">
        <f t="shared" si="9"/>
        <v>6.3837600129988061</v>
      </c>
      <c r="L99" s="423">
        <f>K99*'[5]FR SO Table'!$D$23</f>
        <v>6.3837600129988061</v>
      </c>
      <c r="M99" s="429">
        <v>18</v>
      </c>
      <c r="N99" s="423">
        <f t="shared" si="10"/>
        <v>114.90768023397851</v>
      </c>
      <c r="O99" s="423">
        <f>N99*'[5]FR SO Table'!$D$23</f>
        <v>114.90768023397851</v>
      </c>
      <c r="P99" s="415">
        <f>O99*F156</f>
        <v>6984.088804621214</v>
      </c>
      <c r="Q99" s="417">
        <f>G99*M99*'[5]FR SO Table'!$D$23*F156</f>
        <v>7008.3036779257181</v>
      </c>
      <c r="R99" s="341" t="s">
        <v>810</v>
      </c>
      <c r="S99" s="400">
        <f>E99*VLOOKUP(R99,'[5]FR SO Table'!$A$35:$B$42,2,FALSE)</f>
        <v>8758.0939746216154</v>
      </c>
      <c r="T99" s="400">
        <f t="shared" si="11"/>
        <v>154156.44942432758</v>
      </c>
    </row>
    <row r="100" spans="1:20" s="424" customFormat="1" x14ac:dyDescent="0.3">
      <c r="A100" s="1055"/>
      <c r="B100" s="1057"/>
      <c r="C100" s="429" t="s">
        <v>880</v>
      </c>
      <c r="D100" s="430" t="s">
        <v>695</v>
      </c>
      <c r="E100" s="418">
        <v>65.559976471260754</v>
      </c>
      <c r="F100" s="348">
        <v>8248.3333333333321</v>
      </c>
      <c r="G100" s="422">
        <f t="shared" si="8"/>
        <v>7.2012276440312784</v>
      </c>
      <c r="H100" s="363" t="e">
        <f t="shared" si="12"/>
        <v>#VALUE!</v>
      </c>
      <c r="I100" s="349">
        <v>3718.3457233368526</v>
      </c>
      <c r="J100" s="414">
        <f>I100*'[5]%Non-FF'!$AE$3/1000</f>
        <v>2.4788971488912511E-2</v>
      </c>
      <c r="K100" s="423">
        <f t="shared" si="9"/>
        <v>7.1764386725423659</v>
      </c>
      <c r="L100" s="423">
        <f>K100*'[5]FR SO Table'!$D$23</f>
        <v>7.1764386725423659</v>
      </c>
      <c r="M100" s="429">
        <v>18</v>
      </c>
      <c r="N100" s="423">
        <f t="shared" si="10"/>
        <v>129.17589610576258</v>
      </c>
      <c r="O100" s="423">
        <f>N100*'[5]FR SO Table'!$D$23</f>
        <v>129.17589610576258</v>
      </c>
      <c r="P100" s="415">
        <f>O100*F156</f>
        <v>7851.3109653082493</v>
      </c>
      <c r="Q100" s="417">
        <f>G100*M100*'[5]FR SO Table'!$D$23*F156</f>
        <v>7878.4310916759805</v>
      </c>
      <c r="R100" s="341" t="s">
        <v>810</v>
      </c>
      <c r="S100" s="400">
        <f>E100*VLOOKUP(R100,'[5]FR SO Table'!$A$35:$B$42,2,FALSE)</f>
        <v>9845.4694665715851</v>
      </c>
      <c r="T100" s="400">
        <f t="shared" si="11"/>
        <v>172825.38728405611</v>
      </c>
    </row>
    <row r="101" spans="1:20" s="424" customFormat="1" x14ac:dyDescent="0.3">
      <c r="A101" s="1055"/>
      <c r="B101" s="1057"/>
      <c r="C101" s="429" t="s">
        <v>881</v>
      </c>
      <c r="D101" s="430" t="s">
        <v>695</v>
      </c>
      <c r="E101" s="418">
        <v>79.82293422604674</v>
      </c>
      <c r="F101" s="348">
        <v>9223.5833333333321</v>
      </c>
      <c r="G101" s="422">
        <f t="shared" si="8"/>
        <v>8.7678969931949418</v>
      </c>
      <c r="H101" s="363" t="e">
        <f t="shared" si="12"/>
        <v>#VALUE!</v>
      </c>
      <c r="I101" s="349">
        <v>4307.5356523661012</v>
      </c>
      <c r="J101" s="414">
        <f>I101*'[5]%Non-FF'!$AE$3/1000</f>
        <v>2.8716904349107526E-2</v>
      </c>
      <c r="K101" s="423">
        <f t="shared" si="9"/>
        <v>8.7391800888458349</v>
      </c>
      <c r="L101" s="423">
        <f>K101*'[5]FR SO Table'!$D$23</f>
        <v>8.7391800888458349</v>
      </c>
      <c r="M101" s="429">
        <v>18</v>
      </c>
      <c r="N101" s="423">
        <f t="shared" si="10"/>
        <v>157.30524159922504</v>
      </c>
      <c r="O101" s="423">
        <f>N101*'[5]FR SO Table'!$D$23</f>
        <v>157.30524159922504</v>
      </c>
      <c r="P101" s="415">
        <f>O101*F156</f>
        <v>9561.012584400898</v>
      </c>
      <c r="Q101" s="417">
        <f>G101*M101*'[5]FR SO Table'!$D$23*F156</f>
        <v>9592.4300264349931</v>
      </c>
      <c r="R101" s="341" t="s">
        <v>810</v>
      </c>
      <c r="S101" s="400">
        <f>E101*VLOOKUP(R101,'[5]FR SO Table'!$A$35:$B$42,2,FALSE)</f>
        <v>11987.409147396571</v>
      </c>
      <c r="T101" s="400">
        <f t="shared" si="11"/>
        <v>209577.02157930899</v>
      </c>
    </row>
    <row r="102" spans="1:20" s="424" customFormat="1" x14ac:dyDescent="0.3">
      <c r="A102" s="1055"/>
      <c r="B102" s="1057"/>
      <c r="C102" s="429" t="s">
        <v>882</v>
      </c>
      <c r="D102" s="430" t="s">
        <v>695</v>
      </c>
      <c r="E102" s="418">
        <v>94.085891980832741</v>
      </c>
      <c r="F102" s="348">
        <v>10198.833333333334</v>
      </c>
      <c r="G102" s="422">
        <f t="shared" si="8"/>
        <v>10.334566342358606</v>
      </c>
      <c r="H102" s="363" t="e">
        <f t="shared" si="12"/>
        <v>#VALUE!</v>
      </c>
      <c r="I102" s="349">
        <v>4896.7255813953489</v>
      </c>
      <c r="J102" s="414">
        <f>I102*'[5]%Non-FF'!$AE$3/1000</f>
        <v>3.2644837209302537E-2</v>
      </c>
      <c r="K102" s="423">
        <f t="shared" si="9"/>
        <v>10.301921505149304</v>
      </c>
      <c r="L102" s="423">
        <f>K102*'[5]FR SO Table'!$D$23</f>
        <v>10.301921505149304</v>
      </c>
      <c r="M102" s="429">
        <v>18</v>
      </c>
      <c r="N102" s="423">
        <f t="shared" si="10"/>
        <v>185.43458709268748</v>
      </c>
      <c r="O102" s="423">
        <f>N102*'[5]FR SO Table'!$D$23</f>
        <v>185.43458709268748</v>
      </c>
      <c r="P102" s="415">
        <f>O102*F156</f>
        <v>11270.714203493546</v>
      </c>
      <c r="Q102" s="417">
        <f>G102*M102*'[5]FR SO Table'!$D$23*F156</f>
        <v>11306.428961194011</v>
      </c>
      <c r="R102" s="341" t="s">
        <v>810</v>
      </c>
      <c r="S102" s="400">
        <f>E102*VLOOKUP(R102,'[5]FR SO Table'!$A$35:$B$42,2,FALSE)</f>
        <v>14129.348828221559</v>
      </c>
      <c r="T102" s="400">
        <f t="shared" si="11"/>
        <v>246025.77364531468</v>
      </c>
    </row>
    <row r="103" spans="1:20" s="424" customFormat="1" x14ac:dyDescent="0.3">
      <c r="A103" s="1055"/>
      <c r="B103" s="1057"/>
      <c r="C103" s="429" t="s">
        <v>883</v>
      </c>
      <c r="D103" s="430" t="s">
        <v>695</v>
      </c>
      <c r="E103" s="418">
        <v>92.227268526268546</v>
      </c>
      <c r="F103" s="348">
        <v>11115.875</v>
      </c>
      <c r="G103" s="422">
        <f t="shared" si="8"/>
        <v>10.130411744976774</v>
      </c>
      <c r="H103" s="363" t="e">
        <f t="shared" si="12"/>
        <v>#VALUE!</v>
      </c>
      <c r="I103" s="349">
        <v>5074.858894593779</v>
      </c>
      <c r="J103" s="414">
        <f>I103*'[5]%Non-FF'!$AE$3/1000</f>
        <v>3.3832392630625416E-2</v>
      </c>
      <c r="K103" s="423">
        <f t="shared" si="9"/>
        <v>10.096579352346149</v>
      </c>
      <c r="L103" s="423">
        <f>K103*'[5]FR SO Table'!$D$23</f>
        <v>10.096579352346149</v>
      </c>
      <c r="M103" s="429">
        <v>18</v>
      </c>
      <c r="N103" s="423">
        <f t="shared" si="10"/>
        <v>181.73842834223069</v>
      </c>
      <c r="O103" s="423">
        <f>N103*'[5]FR SO Table'!$D$23</f>
        <v>181.73842834223069</v>
      </c>
      <c r="P103" s="415">
        <f>O103*F156</f>
        <v>11046.061674640781</v>
      </c>
      <c r="Q103" s="417">
        <f>G103*M103*'[5]FR SO Table'!$D$23*F156</f>
        <v>11083.075665474389</v>
      </c>
      <c r="R103" s="341" t="s">
        <v>810</v>
      </c>
      <c r="S103" s="400">
        <f>E103*VLOOKUP(R103,'[5]FR SO Table'!$A$35:$B$42,2,FALSE)</f>
        <v>13850.23005093238</v>
      </c>
      <c r="T103" s="400">
        <f t="shared" si="11"/>
        <v>240869.58533684548</v>
      </c>
    </row>
    <row r="104" spans="1:20" s="424" customFormat="1" x14ac:dyDescent="0.3">
      <c r="A104" s="1055"/>
      <c r="B104" s="1057"/>
      <c r="C104" s="429" t="s">
        <v>884</v>
      </c>
      <c r="D104" s="430" t="s">
        <v>695</v>
      </c>
      <c r="E104" s="418">
        <v>90.36864507170435</v>
      </c>
      <c r="F104" s="348">
        <v>12032.916666666666</v>
      </c>
      <c r="G104" s="422">
        <f t="shared" si="8"/>
        <v>9.9262571475949422</v>
      </c>
      <c r="H104" s="363" t="e">
        <f t="shared" si="12"/>
        <v>#VALUE!</v>
      </c>
      <c r="I104" s="349">
        <v>5252.9922077922083</v>
      </c>
      <c r="J104" s="414">
        <f>I104*'[5]%Non-FF'!$AE$3/1000</f>
        <v>3.5019948051948281E-2</v>
      </c>
      <c r="K104" s="423">
        <f t="shared" si="9"/>
        <v>9.891237199542994</v>
      </c>
      <c r="L104" s="423">
        <f>K104*'[5]FR SO Table'!$D$23</f>
        <v>9.891237199542994</v>
      </c>
      <c r="M104" s="429">
        <v>18</v>
      </c>
      <c r="N104" s="423">
        <f t="shared" si="10"/>
        <v>178.0422695917739</v>
      </c>
      <c r="O104" s="423">
        <f>N104*'[5]FR SO Table'!$D$23</f>
        <v>178.0422695917739</v>
      </c>
      <c r="P104" s="415">
        <f>O104*F156</f>
        <v>10821.409145788019</v>
      </c>
      <c r="Q104" s="417">
        <f>G104*M104*'[5]FR SO Table'!$D$23*F156</f>
        <v>10859.722369754771</v>
      </c>
      <c r="R104" s="341" t="s">
        <v>810</v>
      </c>
      <c r="S104" s="400">
        <f>E104*VLOOKUP(R104,'[5]FR SO Table'!$A$35:$B$42,2,FALSE)</f>
        <v>13571.111273643202</v>
      </c>
      <c r="T104" s="400">
        <f t="shared" si="11"/>
        <v>235725.32991299412</v>
      </c>
    </row>
    <row r="105" spans="1:20" s="424" customFormat="1" x14ac:dyDescent="0.3">
      <c r="A105" s="1055"/>
      <c r="B105" s="1057"/>
      <c r="C105" s="429" t="s">
        <v>885</v>
      </c>
      <c r="D105" s="430" t="s">
        <v>695</v>
      </c>
      <c r="E105" s="418">
        <v>95.482825460247213</v>
      </c>
      <c r="F105" s="348">
        <v>12971.125</v>
      </c>
      <c r="G105" s="422">
        <f t="shared" si="8"/>
        <v>10.488008069007822</v>
      </c>
      <c r="H105" s="363" t="e">
        <f t="shared" si="12"/>
        <v>#VALUE!</v>
      </c>
      <c r="I105" s="349">
        <v>5366.4237915228787</v>
      </c>
      <c r="J105" s="414">
        <f>I105*'[5]%Non-FF'!$AE$3/1000</f>
        <v>3.5776158610152757E-2</v>
      </c>
      <c r="K105" s="423">
        <f t="shared" si="9"/>
        <v>10.45223191039767</v>
      </c>
      <c r="L105" s="423">
        <f>K105*'[5]FR SO Table'!$D$23</f>
        <v>10.45223191039767</v>
      </c>
      <c r="M105" s="429">
        <v>18</v>
      </c>
      <c r="N105" s="423">
        <f t="shared" si="10"/>
        <v>188.14017438715805</v>
      </c>
      <c r="O105" s="423">
        <f>N105*'[5]FR SO Table'!$D$23</f>
        <v>188.14017438715805</v>
      </c>
      <c r="P105" s="415">
        <f>O105*F156</f>
        <v>11435.159799251467</v>
      </c>
      <c r="Q105" s="417">
        <f>G105*M105*'[5]FR SO Table'!$D$23*F156</f>
        <v>11474.300347817318</v>
      </c>
      <c r="R105" s="341" t="s">
        <v>810</v>
      </c>
      <c r="S105" s="400">
        <f>E105*VLOOKUP(R105,'[5]FR SO Table'!$A$35:$B$42,2,FALSE)</f>
        <v>14339.133313492626</v>
      </c>
      <c r="T105" s="400">
        <f t="shared" si="11"/>
        <v>248870.41570326581</v>
      </c>
    </row>
    <row r="106" spans="1:20" s="424" customFormat="1" x14ac:dyDescent="0.3">
      <c r="A106" s="1055"/>
      <c r="B106" s="1057"/>
      <c r="C106" s="429" t="s">
        <v>886</v>
      </c>
      <c r="D106" s="430" t="s">
        <v>695</v>
      </c>
      <c r="E106" s="418">
        <v>100.59700584879008</v>
      </c>
      <c r="F106" s="348">
        <v>13909.333333333334</v>
      </c>
      <c r="G106" s="422">
        <f t="shared" si="8"/>
        <v>11.049758990420704</v>
      </c>
      <c r="H106" s="363" t="e">
        <f t="shared" si="12"/>
        <v>#VALUE!</v>
      </c>
      <c r="I106" s="349">
        <v>5479.8553752535499</v>
      </c>
      <c r="J106" s="414">
        <f>I106*'[5]%Non-FF'!$AE$3/1000</f>
        <v>3.6532369168357233E-2</v>
      </c>
      <c r="K106" s="423">
        <f t="shared" si="9"/>
        <v>11.013226621252347</v>
      </c>
      <c r="L106" s="423">
        <f>K106*'[5]FR SO Table'!$D$23</f>
        <v>11.013226621252347</v>
      </c>
      <c r="M106" s="429">
        <v>18</v>
      </c>
      <c r="N106" s="423">
        <f t="shared" si="10"/>
        <v>198.23807918254224</v>
      </c>
      <c r="O106" s="423">
        <f>N106*'[5]FR SO Table'!$D$23</f>
        <v>198.23807918254224</v>
      </c>
      <c r="P106" s="415">
        <f>O106*F156</f>
        <v>12048.910452714917</v>
      </c>
      <c r="Q106" s="417">
        <f>G106*M106*'[5]FR SO Table'!$D$23*F156</f>
        <v>12088.878325879867</v>
      </c>
      <c r="R106" s="341" t="s">
        <v>810</v>
      </c>
      <c r="S106" s="400">
        <f>E106*VLOOKUP(R106,'[5]FR SO Table'!$A$35:$B$42,2,FALSE)</f>
        <v>15107.15535334205</v>
      </c>
      <c r="T106" s="400">
        <f t="shared" si="11"/>
        <v>261994.59318402063</v>
      </c>
    </row>
    <row r="107" spans="1:20" s="424" customFormat="1" x14ac:dyDescent="0.3">
      <c r="A107" s="1055" t="s">
        <v>766</v>
      </c>
      <c r="B107" s="1057" t="s">
        <v>808</v>
      </c>
      <c r="C107" s="429" t="s">
        <v>967</v>
      </c>
      <c r="D107" s="430">
        <f>E107</f>
        <v>108.4</v>
      </c>
      <c r="E107" s="430">
        <v>108.4</v>
      </c>
      <c r="F107" s="348">
        <v>24000</v>
      </c>
      <c r="G107" s="422">
        <f t="shared" si="8"/>
        <v>11.906854130052725</v>
      </c>
      <c r="H107" s="363">
        <f t="shared" si="12"/>
        <v>1</v>
      </c>
      <c r="I107" s="349">
        <v>9533.6</v>
      </c>
      <c r="J107" s="414">
        <f>I107*'[5]%Non-FF'!$AK$3/1000</f>
        <v>0.16343314285714378</v>
      </c>
      <c r="K107" s="423">
        <f t="shared" si="9"/>
        <v>11.743420987195581</v>
      </c>
      <c r="L107" s="423">
        <f>K107*'[5]FR SO Table'!$D$24</f>
        <v>11.743420987195581</v>
      </c>
      <c r="M107" s="429">
        <v>7</v>
      </c>
      <c r="N107" s="423">
        <f t="shared" si="10"/>
        <v>82.203946910369069</v>
      </c>
      <c r="O107" s="423">
        <f>N107*'[5]FR SO Table'!$D$24</f>
        <v>82.203946910369069</v>
      </c>
      <c r="P107" s="415">
        <f>O107*F156</f>
        <v>4996.3558932122323</v>
      </c>
      <c r="Q107" s="417">
        <f>G107*M107*'[5]FR SO Table'!$D$24*F156</f>
        <v>5065.890158172233</v>
      </c>
      <c r="R107" s="410" t="s">
        <v>843</v>
      </c>
      <c r="S107" s="400">
        <f>E107*VLOOKUP(R107,'[5]FR SO Table'!$A$35:$B$42,2,FALSE)</f>
        <v>17040.48</v>
      </c>
      <c r="T107" s="400">
        <f t="shared" si="11"/>
        <v>99788.50558463989</v>
      </c>
    </row>
    <row r="108" spans="1:20" s="424" customFormat="1" x14ac:dyDescent="0.3">
      <c r="A108" s="1055"/>
      <c r="B108" s="1057"/>
      <c r="C108" s="429" t="s">
        <v>968</v>
      </c>
      <c r="D108" s="430">
        <f>E108</f>
        <v>2.5</v>
      </c>
      <c r="E108" s="430">
        <v>2.5</v>
      </c>
      <c r="F108" s="348">
        <v>3506.0714285714284</v>
      </c>
      <c r="G108" s="422">
        <f t="shared" si="8"/>
        <v>0.27460456942003519</v>
      </c>
      <c r="H108" s="363">
        <f t="shared" si="12"/>
        <v>1</v>
      </c>
      <c r="I108" s="349">
        <v>217.9</v>
      </c>
      <c r="J108" s="414">
        <f>I108*'[5]%Non-FF'!$AK$3/1000</f>
        <v>3.7354285714285922E-3</v>
      </c>
      <c r="K108" s="423">
        <f t="shared" si="9"/>
        <v>0.27086914084860658</v>
      </c>
      <c r="L108" s="423">
        <f>K108*'[5]FR SO Table'!$D$24</f>
        <v>0.27086914084860658</v>
      </c>
      <c r="M108" s="429">
        <v>7</v>
      </c>
      <c r="N108" s="423">
        <f t="shared" si="10"/>
        <v>1.8960839859402461</v>
      </c>
      <c r="O108" s="423">
        <f>N108*'[5]FR SO Table'!$D$24</f>
        <v>1.8960839859402461</v>
      </c>
      <c r="P108" s="415">
        <f>O108*F156</f>
        <v>115.24398466544815</v>
      </c>
      <c r="Q108" s="417">
        <f>G108*M108*'[5]FR SO Table'!$D$24*F156</f>
        <v>116.83326010544818</v>
      </c>
      <c r="R108" s="410" t="s">
        <v>843</v>
      </c>
      <c r="S108" s="400">
        <f>E108*VLOOKUP(R108,'[5]FR SO Table'!$A$35:$B$42,2,FALSE)</f>
        <v>393</v>
      </c>
      <c r="T108" s="400">
        <f t="shared" si="11"/>
        <v>2740.7238359999997</v>
      </c>
    </row>
    <row r="109" spans="1:20" s="424" customFormat="1" ht="13.2" customHeight="1" x14ac:dyDescent="0.3">
      <c r="A109" s="1056" t="s">
        <v>767</v>
      </c>
      <c r="B109" s="1058" t="s">
        <v>808</v>
      </c>
      <c r="C109" s="429" t="s">
        <v>969</v>
      </c>
      <c r="D109" s="430">
        <f>E109</f>
        <v>13.832890000000001</v>
      </c>
      <c r="E109" s="430">
        <v>13.832890000000001</v>
      </c>
      <c r="F109" s="348">
        <v>569.93499999999995</v>
      </c>
      <c r="G109" s="422">
        <f t="shared" si="8"/>
        <v>1.5194299209138842</v>
      </c>
      <c r="H109" s="363">
        <f t="shared" si="12"/>
        <v>1</v>
      </c>
      <c r="I109" s="349">
        <v>121.401</v>
      </c>
      <c r="J109" s="414">
        <f>I109*'[5]%Non-FF'!$AO$3/1000</f>
        <v>4.734639000000004E-3</v>
      </c>
      <c r="K109" s="423">
        <f t="shared" si="9"/>
        <v>1.5146952819138841</v>
      </c>
      <c r="L109" s="423">
        <f>K109*'[5]FR SO Table'!$D$25</f>
        <v>1.5146952819138841</v>
      </c>
      <c r="M109" s="429">
        <v>2</v>
      </c>
      <c r="N109" s="423">
        <f t="shared" si="10"/>
        <v>3.0293905638277683</v>
      </c>
      <c r="O109" s="423">
        <f>N109*'[5]FR SO Table'!$D$25</f>
        <v>3.0293905638277683</v>
      </c>
      <c r="P109" s="415">
        <f>O109*F156</f>
        <v>184.12635846945176</v>
      </c>
      <c r="Q109" s="417">
        <f>G109*M109*'[5]FR SO Table'!$D$25*F156</f>
        <v>184.70190118629176</v>
      </c>
      <c r="R109" s="410" t="s">
        <v>843</v>
      </c>
      <c r="S109" s="400">
        <f>E109*VLOOKUP(R109,'[5]FR SO Table'!$A$35:$B$42,2,FALSE)</f>
        <v>2174.5303079999999</v>
      </c>
      <c r="T109" s="400">
        <f t="shared" si="11"/>
        <v>4328.4693839941219</v>
      </c>
    </row>
    <row r="110" spans="1:20" s="424" customFormat="1" ht="13.2" customHeight="1" x14ac:dyDescent="0.3">
      <c r="A110" s="1060"/>
      <c r="B110" s="1061"/>
      <c r="C110" s="429" t="s">
        <v>891</v>
      </c>
      <c r="D110" s="430">
        <f>E110</f>
        <v>1.383289</v>
      </c>
      <c r="E110" s="430">
        <v>1.383289</v>
      </c>
      <c r="F110" s="348">
        <v>206.19749999999999</v>
      </c>
      <c r="G110" s="422">
        <f t="shared" si="8"/>
        <v>0.15194299209138842</v>
      </c>
      <c r="H110" s="363">
        <f t="shared" si="12"/>
        <v>1</v>
      </c>
      <c r="I110" s="349">
        <v>0.78333333333333333</v>
      </c>
      <c r="J110" s="414">
        <f>I110*'[5]%Non-FF'!$AJ$3/1000</f>
        <v>1.1750000000000098E-5</v>
      </c>
      <c r="K110" s="423">
        <f t="shared" si="9"/>
        <v>0.15193124209138842</v>
      </c>
      <c r="L110" s="423">
        <f>K110*'[5]FR SO Table'!$D$25</f>
        <v>0.15193124209138842</v>
      </c>
      <c r="M110" s="429">
        <v>8</v>
      </c>
      <c r="N110" s="423">
        <f t="shared" si="10"/>
        <v>1.2154499367311073</v>
      </c>
      <c r="O110" s="423">
        <f>N110*'[5]FR SO Table'!$D$25</f>
        <v>1.2154499367311073</v>
      </c>
      <c r="P110" s="415">
        <f>O110*F156</f>
        <v>73.875047154516707</v>
      </c>
      <c r="Q110" s="417">
        <f>G110*M110*'[5]FR SO Table'!$D$25*F156</f>
        <v>73.880760474516705</v>
      </c>
      <c r="R110" s="410" t="s">
        <v>843</v>
      </c>
      <c r="S110" s="400">
        <f>E110*VLOOKUP(R110,'[5]FR SO Table'!$A$35:$B$42,2,FALSE)</f>
        <v>217.45303079999999</v>
      </c>
      <c r="T110" s="400">
        <f t="shared" si="11"/>
        <v>1739.6038058151048</v>
      </c>
    </row>
    <row r="111" spans="1:20" s="424" customFormat="1" ht="12.45" customHeight="1" x14ac:dyDescent="0.3">
      <c r="A111" s="1056" t="s">
        <v>768</v>
      </c>
      <c r="B111" s="1058" t="s">
        <v>808</v>
      </c>
      <c r="C111" s="429" t="s">
        <v>892</v>
      </c>
      <c r="D111" s="430">
        <v>82.8</v>
      </c>
      <c r="E111" s="430">
        <v>14.115226927082663</v>
      </c>
      <c r="F111" s="348">
        <v>1517.3183720930233</v>
      </c>
      <c r="G111" s="422">
        <f t="shared" si="8"/>
        <v>1.5504423250310484</v>
      </c>
      <c r="H111" s="363">
        <f t="shared" si="12"/>
        <v>0.17047375515800317</v>
      </c>
      <c r="I111" s="349">
        <v>1584.480935551343</v>
      </c>
      <c r="J111" s="414">
        <f>I111*'[5]%Non-FF'!$AE$3/1000</f>
        <v>1.0563206237009022E-2</v>
      </c>
      <c r="K111" s="423">
        <f t="shared" si="9"/>
        <v>1.5398791187940393</v>
      </c>
      <c r="L111" s="423">
        <f>K111*'[5]FR SO Table'!$D$26</f>
        <v>1.5398791187940393</v>
      </c>
      <c r="M111" s="429">
        <v>18</v>
      </c>
      <c r="N111" s="423">
        <f t="shared" si="10"/>
        <v>27.717824138292706</v>
      </c>
      <c r="O111" s="423">
        <f>N111*'[5]FR SO Table'!$D$26</f>
        <v>27.717824138292706</v>
      </c>
      <c r="P111" s="415">
        <f>O111*F156</f>
        <v>1684.6893511254307</v>
      </c>
      <c r="Q111" s="417">
        <f>G111*M111*'[5]FR SO Table'!$D$26*F156</f>
        <v>1696.2459212769681</v>
      </c>
      <c r="R111" s="341" t="s">
        <v>810</v>
      </c>
      <c r="S111" s="400">
        <f>E111*VLOOKUP(R111,'[5]FR SO Table'!$A$35:$B$42,2,FALSE)</f>
        <v>2119.7542037746389</v>
      </c>
      <c r="T111" s="400">
        <f t="shared" si="11"/>
        <v>37752.530453071209</v>
      </c>
    </row>
    <row r="112" spans="1:20" s="424" customFormat="1" ht="12.45" customHeight="1" x14ac:dyDescent="0.3">
      <c r="A112" s="1062"/>
      <c r="B112" s="1063"/>
      <c r="C112" s="429" t="s">
        <v>893</v>
      </c>
      <c r="D112" s="430">
        <v>82.8</v>
      </c>
      <c r="E112" s="430">
        <v>17.801249511137684</v>
      </c>
      <c r="F112" s="348">
        <v>1687.8831034482755</v>
      </c>
      <c r="G112" s="422">
        <f t="shared" si="8"/>
        <v>1.9553217828578302</v>
      </c>
      <c r="H112" s="363">
        <f t="shared" si="12"/>
        <v>0.21499093612485126</v>
      </c>
      <c r="I112" s="349">
        <v>2009.1142905557299</v>
      </c>
      <c r="J112" s="414">
        <f>I112*'[5]%Non-FF'!$AE$3/1000</f>
        <v>1.3394095270371619E-2</v>
      </c>
      <c r="K112" s="423">
        <f t="shared" si="9"/>
        <v>1.9419276875874585</v>
      </c>
      <c r="L112" s="423">
        <f>K112*'[5]FR SO Table'!$D$26</f>
        <v>1.9419276875874585</v>
      </c>
      <c r="M112" s="429">
        <v>18</v>
      </c>
      <c r="N112" s="423">
        <f t="shared" si="10"/>
        <v>34.95469837657425</v>
      </c>
      <c r="O112" s="423">
        <f>N112*'[5]FR SO Table'!$D$26</f>
        <v>34.95469837657425</v>
      </c>
      <c r="P112" s="415">
        <f>O112*F156</f>
        <v>2124.5465673281828</v>
      </c>
      <c r="Q112" s="417">
        <f>G112*M112*'[5]FR SO Table'!$D$26*F156</f>
        <v>2139.2002433177804</v>
      </c>
      <c r="R112" s="341" t="s">
        <v>810</v>
      </c>
      <c r="S112" s="400">
        <f>E112*VLOOKUP(R112,'[5]FR SO Table'!$A$35:$B$42,2,FALSE)</f>
        <v>2673.3026453351017</v>
      </c>
      <c r="T112" s="400">
        <f t="shared" si="11"/>
        <v>47474.931150305041</v>
      </c>
    </row>
    <row r="113" spans="1:20" s="424" customFormat="1" ht="12.45" customHeight="1" x14ac:dyDescent="0.3">
      <c r="A113" s="1062"/>
      <c r="B113" s="1063"/>
      <c r="C113" s="429" t="s">
        <v>894</v>
      </c>
      <c r="D113" s="430">
        <v>82.8</v>
      </c>
      <c r="E113" s="430">
        <v>24.162434815761053</v>
      </c>
      <c r="F113" s="348">
        <v>1802.9074999999993</v>
      </c>
      <c r="G113" s="422">
        <f t="shared" si="8"/>
        <v>2.6540460034886921</v>
      </c>
      <c r="H113" s="363">
        <f t="shared" si="12"/>
        <v>0.29181684560097892</v>
      </c>
      <c r="I113" s="349">
        <v>2705.52098775379</v>
      </c>
      <c r="J113" s="414">
        <f>I113*'[5]%Non-FF'!$AE$3/1000</f>
        <v>1.8036806585025381E-2</v>
      </c>
      <c r="K113" s="423">
        <f t="shared" si="9"/>
        <v>2.6360091969036668</v>
      </c>
      <c r="L113" s="423">
        <f>K113*'[5]FR SO Table'!$D$26</f>
        <v>2.6360091969036668</v>
      </c>
      <c r="M113" s="429">
        <v>18</v>
      </c>
      <c r="N113" s="423">
        <f t="shared" si="10"/>
        <v>47.448165544266004</v>
      </c>
      <c r="O113" s="423">
        <f>N113*'[5]FR SO Table'!$D$26</f>
        <v>47.448165544266004</v>
      </c>
      <c r="P113" s="415">
        <f>O113*F156</f>
        <v>2883.8995017804878</v>
      </c>
      <c r="Q113" s="417">
        <f>G113*M113*'[5]FR SO Table'!$D$26*F156</f>
        <v>2903.6324896567685</v>
      </c>
      <c r="R113" s="341" t="s">
        <v>810</v>
      </c>
      <c r="S113" s="400">
        <f>E113*VLOOKUP(R113,'[5]FR SO Table'!$A$35:$B$42,2,FALSE)</f>
        <v>3628.5936484569165</v>
      </c>
      <c r="T113" s="400">
        <f t="shared" si="11"/>
        <v>64136.617319592857</v>
      </c>
    </row>
    <row r="114" spans="1:20" s="424" customFormat="1" ht="12.45" customHeight="1" x14ac:dyDescent="0.3">
      <c r="A114" s="1062"/>
      <c r="B114" s="1063"/>
      <c r="C114" s="429" t="s">
        <v>895</v>
      </c>
      <c r="D114" s="430">
        <v>82.8</v>
      </c>
      <c r="E114" s="430">
        <v>25.958751861950063</v>
      </c>
      <c r="F114" s="348">
        <v>2110.7422500000011</v>
      </c>
      <c r="G114" s="422">
        <f t="shared" si="8"/>
        <v>2.8513567510929332</v>
      </c>
      <c r="H114" s="363">
        <f t="shared" si="12"/>
        <v>0.31351149591727129</v>
      </c>
      <c r="I114" s="349">
        <v>2938.1766414246945</v>
      </c>
      <c r="J114" s="414">
        <f>I114*'[5]%Non-FF'!$AE$3/1000</f>
        <v>1.9587844276164754E-2</v>
      </c>
      <c r="K114" s="423">
        <f t="shared" si="9"/>
        <v>2.8317689068167686</v>
      </c>
      <c r="L114" s="423">
        <f>K114*'[5]FR SO Table'!$D$26</f>
        <v>2.8317689068167686</v>
      </c>
      <c r="M114" s="429">
        <v>18</v>
      </c>
      <c r="N114" s="423">
        <f t="shared" si="10"/>
        <v>50.971840322701837</v>
      </c>
      <c r="O114" s="423">
        <f>N114*'[5]FR SO Table'!$D$26</f>
        <v>50.971840322701837</v>
      </c>
      <c r="P114" s="415">
        <f>O114*F156</f>
        <v>3098.0684548138179</v>
      </c>
      <c r="Q114" s="417">
        <f>G114*M114*'[5]FR SO Table'!$D$26*F156</f>
        <v>3119.4983399657126</v>
      </c>
      <c r="R114" s="341" t="s">
        <v>810</v>
      </c>
      <c r="S114" s="400">
        <f>E114*VLOOKUP(R114,'[5]FR SO Table'!$A$35:$B$42,2,FALSE)</f>
        <v>3898.3555608683509</v>
      </c>
      <c r="T114" s="400">
        <f t="shared" si="11"/>
        <v>68795.913225760931</v>
      </c>
    </row>
    <row r="115" spans="1:20" s="424" customFormat="1" ht="12.45" customHeight="1" x14ac:dyDescent="0.3">
      <c r="A115" s="1062"/>
      <c r="B115" s="1063"/>
      <c r="C115" s="429" t="s">
        <v>896</v>
      </c>
      <c r="D115" s="430">
        <v>82.8</v>
      </c>
      <c r="E115" s="430">
        <v>34.003571731159333</v>
      </c>
      <c r="F115" s="348">
        <v>3239.909009126467</v>
      </c>
      <c r="G115" s="422">
        <f t="shared" si="8"/>
        <v>3.7350144695913157</v>
      </c>
      <c r="H115" s="363">
        <f t="shared" si="12"/>
        <v>0.41067115617342193</v>
      </c>
      <c r="I115" s="349">
        <v>3855.7914289748005</v>
      </c>
      <c r="J115" s="414">
        <f>I115*'[5]%Non-FF'!$AE$3/1000</f>
        <v>2.5705276193165504E-2</v>
      </c>
      <c r="K115" s="423">
        <f t="shared" si="9"/>
        <v>3.7093091933981501</v>
      </c>
      <c r="L115" s="423">
        <f>K115*'[5]FR SO Table'!$D$26</f>
        <v>3.7093091933981501</v>
      </c>
      <c r="M115" s="429">
        <v>18</v>
      </c>
      <c r="N115" s="423">
        <f t="shared" si="10"/>
        <v>66.767565481166699</v>
      </c>
      <c r="O115" s="423">
        <f>N115*'[5]FR SO Table'!$D$26</f>
        <v>66.767565481166699</v>
      </c>
      <c r="P115" s="415">
        <f>O115*F156</f>
        <v>4058.1326299453121</v>
      </c>
      <c r="Q115" s="417">
        <f>G115*M115*'[5]FR SO Table'!$D$26*$F$156</f>
        <v>4086.2552303116827</v>
      </c>
      <c r="R115" s="341" t="s">
        <v>810</v>
      </c>
      <c r="S115" s="400">
        <f>E115*VLOOKUP(R115,'[5]FR SO Table'!$A$35:$B$42,2,FALSE)</f>
        <v>5106.4863847268534</v>
      </c>
      <c r="T115" s="400">
        <f t="shared" si="11"/>
        <v>89554.009352954599</v>
      </c>
    </row>
    <row r="116" spans="1:20" s="424" customFormat="1" ht="12.45" customHeight="1" x14ac:dyDescent="0.3">
      <c r="A116" s="1062"/>
      <c r="B116" s="1063"/>
      <c r="C116" s="429" t="s">
        <v>897</v>
      </c>
      <c r="D116" s="430">
        <v>82.8</v>
      </c>
      <c r="E116" s="430">
        <v>48.954111476437987</v>
      </c>
      <c r="F116" s="348">
        <v>3601.0405991735533</v>
      </c>
      <c r="G116" s="422">
        <f t="shared" si="8"/>
        <v>5.3772090813310625</v>
      </c>
      <c r="H116" s="363">
        <f t="shared" si="12"/>
        <v>0.59123323039176312</v>
      </c>
      <c r="I116" s="349">
        <v>5474.967492234493</v>
      </c>
      <c r="J116" s="414">
        <f>I116*'[5]%Non-FF'!$AE$3/1000</f>
        <v>3.6499783281563523E-2</v>
      </c>
      <c r="K116" s="423">
        <f t="shared" si="9"/>
        <v>5.3407092980494992</v>
      </c>
      <c r="L116" s="423">
        <f>K116*'[5]FR SO Table'!$D$26</f>
        <v>5.3407092980494992</v>
      </c>
      <c r="M116" s="429">
        <v>18</v>
      </c>
      <c r="N116" s="423">
        <f t="shared" si="10"/>
        <v>96.132767364890981</v>
      </c>
      <c r="O116" s="423">
        <f>N116*'[5]FR SO Table'!$D$26</f>
        <v>96.132767364890981</v>
      </c>
      <c r="P116" s="415">
        <f>O116*F156</f>
        <v>5842.9496004380735</v>
      </c>
      <c r="Q116" s="417">
        <f>G116*M116*'[5]FR SO Table'!$D$26*$F$156</f>
        <v>5882.881823339435</v>
      </c>
      <c r="R116" s="341" t="s">
        <v>810</v>
      </c>
      <c r="S116" s="400">
        <f>E116*VLOOKUP(R116,'[5]FR SO Table'!$A$35:$B$42,2,FALSE)</f>
        <v>7351.683690974075</v>
      </c>
      <c r="T116" s="400">
        <f t="shared" si="11"/>
        <v>127500.27893098048</v>
      </c>
    </row>
    <row r="117" spans="1:20" s="424" customFormat="1" ht="12.45" customHeight="1" x14ac:dyDescent="0.3">
      <c r="A117" s="1062"/>
      <c r="B117" s="1063"/>
      <c r="C117" s="429" t="s">
        <v>898</v>
      </c>
      <c r="D117" s="430">
        <v>82.8</v>
      </c>
      <c r="E117" s="430">
        <v>50.983360188651389</v>
      </c>
      <c r="F117" s="348">
        <v>4460.787149002741</v>
      </c>
      <c r="G117" s="422">
        <f t="shared" si="8"/>
        <v>5.6001054688764711</v>
      </c>
      <c r="H117" s="363">
        <f t="shared" si="12"/>
        <v>0.61574106508033077</v>
      </c>
      <c r="I117" s="349">
        <v>5781.452397489702</v>
      </c>
      <c r="J117" s="414">
        <f>I117*'[5]%Non-FF'!$AE$3/1000</f>
        <v>3.8543015983264928E-2</v>
      </c>
      <c r="K117" s="423">
        <f t="shared" si="9"/>
        <v>5.5615624528932059</v>
      </c>
      <c r="L117" s="423">
        <f>K117*'[5]FR SO Table'!$D$26</f>
        <v>5.5615624528932059</v>
      </c>
      <c r="M117" s="429">
        <v>18</v>
      </c>
      <c r="N117" s="423">
        <f t="shared" si="10"/>
        <v>100.10812415207771</v>
      </c>
      <c r="O117" s="423">
        <f>N117*'[5]FR SO Table'!$D$26</f>
        <v>100.10812415207771</v>
      </c>
      <c r="P117" s="415">
        <f>O117*F158</f>
        <v>0</v>
      </c>
      <c r="Q117" s="417">
        <f>G117*M117*'[5]FR SO Table'!$D$26*$F$156</f>
        <v>6126.7393871696149</v>
      </c>
      <c r="R117" s="341" t="s">
        <v>810</v>
      </c>
      <c r="S117" s="400">
        <f>E117*VLOOKUP(R117,'[5]FR SO Table'!$A$35:$B$42,2,FALSE)</f>
        <v>7656.4261163307228</v>
      </c>
      <c r="T117" s="400">
        <f t="shared" si="11"/>
        <v>132503.8385187774</v>
      </c>
    </row>
    <row r="118" spans="1:20" s="424" customFormat="1" ht="12.45" customHeight="1" x14ac:dyDescent="0.3">
      <c r="A118" s="1062"/>
      <c r="B118" s="1063"/>
      <c r="C118" s="429" t="s">
        <v>899</v>
      </c>
      <c r="D118" s="430">
        <v>82.8</v>
      </c>
      <c r="E118" s="430">
        <v>70.117963935807126</v>
      </c>
      <c r="F118" s="348">
        <v>5079.3700982800983</v>
      </c>
      <c r="G118" s="422">
        <f t="shared" si="8"/>
        <v>7.7018853180807483</v>
      </c>
      <c r="H118" s="363">
        <f t="shared" si="12"/>
        <v>0.84683531323438566</v>
      </c>
      <c r="I118" s="349">
        <v>7825.6930928928869</v>
      </c>
      <c r="J118" s="414">
        <f>I118*'[5]%Non-FF'!$AE$3/1000</f>
        <v>5.2171287285952911E-2</v>
      </c>
      <c r="K118" s="423">
        <f t="shared" si="9"/>
        <v>7.6497140307947955</v>
      </c>
      <c r="L118" s="423">
        <f>K118*'[5]FR SO Table'!$D$26</f>
        <v>7.6497140307947955</v>
      </c>
      <c r="M118" s="429">
        <v>18</v>
      </c>
      <c r="N118" s="423">
        <f t="shared" si="10"/>
        <v>137.69485255430632</v>
      </c>
      <c r="O118" s="423">
        <f>N118*'[5]FR SO Table'!$D$26</f>
        <v>137.69485255430632</v>
      </c>
      <c r="P118" s="415">
        <f>O118*F158</f>
        <v>0</v>
      </c>
      <c r="Q118" s="417">
        <f>G118*M118*'[5]FR SO Table'!$D$26*$F$156</f>
        <v>8426.170613393062</v>
      </c>
      <c r="R118" s="341" t="s">
        <v>810</v>
      </c>
      <c r="S118" s="400">
        <f>E118*VLOOKUP(R118,'[5]FR SO Table'!$A$35:$B$42,2,FALSE)</f>
        <v>10529.965234059835</v>
      </c>
      <c r="T118" s="400">
        <f t="shared" si="11"/>
        <v>179650.86106900687</v>
      </c>
    </row>
    <row r="119" spans="1:20" s="424" customFormat="1" ht="12.45" customHeight="1" x14ac:dyDescent="0.3">
      <c r="A119" s="1062"/>
      <c r="B119" s="1063"/>
      <c r="C119" s="429" t="s">
        <v>900</v>
      </c>
      <c r="D119" s="430">
        <v>82.8</v>
      </c>
      <c r="E119" s="430">
        <v>66.201735232005362</v>
      </c>
      <c r="F119" s="348">
        <v>5497.8879093717733</v>
      </c>
      <c r="G119" s="422">
        <f t="shared" si="8"/>
        <v>7.2717195992976018</v>
      </c>
      <c r="H119" s="363">
        <f t="shared" si="12"/>
        <v>0.79953786512083769</v>
      </c>
      <c r="I119" s="349">
        <v>7528.1690323143648</v>
      </c>
      <c r="J119" s="414">
        <f>I119*'[5]%Non-FF'!$AE$3/1000</f>
        <v>5.0187793548762752E-2</v>
      </c>
      <c r="K119" s="423">
        <f t="shared" si="9"/>
        <v>7.2215318057488389</v>
      </c>
      <c r="L119" s="423">
        <f>K119*'[5]FR SO Table'!$D$26</f>
        <v>7.2215318057488389</v>
      </c>
      <c r="M119" s="429">
        <v>18</v>
      </c>
      <c r="N119" s="423">
        <f t="shared" si="10"/>
        <v>129.9875725034791</v>
      </c>
      <c r="O119" s="423">
        <f>N119*'[5]FR SO Table'!$D$26</f>
        <v>129.9875725034791</v>
      </c>
      <c r="P119" s="415">
        <f>O119*F160</f>
        <v>0</v>
      </c>
      <c r="Q119" s="417">
        <f>G119*M119*'[5]FR SO Table'!$D$26*$F$156</f>
        <v>7955.5521104155487</v>
      </c>
      <c r="R119" s="341" t="s">
        <v>810</v>
      </c>
      <c r="S119" s="400">
        <f>E119*VLOOKUP(R119,'[5]FR SO Table'!$A$35:$B$42,2,FALSE)</f>
        <v>9941.8455884664054</v>
      </c>
      <c r="T119" s="400">
        <f t="shared" si="11"/>
        <v>169971.95330241794</v>
      </c>
    </row>
    <row r="120" spans="1:20" s="424" customFormat="1" ht="12.45" customHeight="1" x14ac:dyDescent="0.3">
      <c r="A120" s="1062"/>
      <c r="B120" s="1063"/>
      <c r="C120" s="429" t="s">
        <v>901</v>
      </c>
      <c r="D120" s="430">
        <v>82.8</v>
      </c>
      <c r="E120" s="430">
        <v>81.758500427863368</v>
      </c>
      <c r="F120" s="348">
        <v>6019.0168325242721</v>
      </c>
      <c r="G120" s="422">
        <f t="shared" si="8"/>
        <v>8.9805031225684733</v>
      </c>
      <c r="H120" s="363">
        <f t="shared" si="12"/>
        <v>0.98742150275197305</v>
      </c>
      <c r="I120" s="349">
        <v>9208.9323461588774</v>
      </c>
      <c r="J120" s="414">
        <f>I120*'[5]%Non-FF'!$AE$3/1000</f>
        <v>6.1392882307726243E-2</v>
      </c>
      <c r="K120" s="423">
        <f t="shared" si="9"/>
        <v>8.9191102402607463</v>
      </c>
      <c r="L120" s="423">
        <f>K120*'[5]FR SO Table'!$D$26</f>
        <v>8.9191102402607463</v>
      </c>
      <c r="M120" s="429">
        <v>18</v>
      </c>
      <c r="N120" s="423">
        <f t="shared" si="10"/>
        <v>160.54398432469344</v>
      </c>
      <c r="O120" s="423">
        <f>N120*'[5]FR SO Table'!$D$26</f>
        <v>160.54398432469344</v>
      </c>
      <c r="P120" s="415">
        <f>O120*F160</f>
        <v>0</v>
      </c>
      <c r="Q120" s="417">
        <f>G120*M120*'[5]FR SO Table'!$D$26*$F$156</f>
        <v>9825.0296362148129</v>
      </c>
      <c r="R120" s="341" t="s">
        <v>810</v>
      </c>
      <c r="S120" s="400">
        <f>E120*VLOOKUP(R120,'[5]FR SO Table'!$A$35:$B$42,2,FALSE)</f>
        <v>12278.082801754383</v>
      </c>
      <c r="T120" s="400">
        <f t="shared" si="11"/>
        <v>207437.32636815164</v>
      </c>
    </row>
    <row r="121" spans="1:20" s="424" customFormat="1" ht="12.45" customHeight="1" x14ac:dyDescent="0.3">
      <c r="A121" s="1062"/>
      <c r="B121" s="1063"/>
      <c r="C121" s="429" t="s">
        <v>902</v>
      </c>
      <c r="D121" s="430">
        <v>82.8</v>
      </c>
      <c r="E121" s="430">
        <v>79.743202567913556</v>
      </c>
      <c r="F121" s="348">
        <v>7531.895714285718</v>
      </c>
      <c r="G121" s="422">
        <f t="shared" si="8"/>
        <v>8.7591391221346182</v>
      </c>
      <c r="H121" s="363">
        <f t="shared" si="12"/>
        <v>0.96308215661731356</v>
      </c>
      <c r="I121" s="349">
        <v>9104.5263806930579</v>
      </c>
      <c r="J121" s="414">
        <f>I121*'[5]%Non-FF'!$AE$3/1000</f>
        <v>6.0696842537954113E-2</v>
      </c>
      <c r="K121" s="423">
        <f t="shared" si="9"/>
        <v>8.6984422795966641</v>
      </c>
      <c r="L121" s="423">
        <f>K121*'[5]FR SO Table'!$D$26</f>
        <v>8.6984422795966641</v>
      </c>
      <c r="M121" s="429">
        <v>18</v>
      </c>
      <c r="N121" s="423">
        <f t="shared" si="10"/>
        <v>156.57196103273995</v>
      </c>
      <c r="O121" s="423">
        <f>N121*'[5]FR SO Table'!$D$26</f>
        <v>156.57196103273995</v>
      </c>
      <c r="P121" s="415">
        <f>O121*F162</f>
        <v>0</v>
      </c>
      <c r="Q121" s="417">
        <f>G121*M121*'[5]FR SO Table'!$D$26*$F$156</f>
        <v>9582.8485651801566</v>
      </c>
      <c r="R121" s="341" t="s">
        <v>810</v>
      </c>
      <c r="S121" s="400">
        <f>E121*VLOOKUP(R121,'[5]FR SO Table'!$A$35:$B$42,2,FALSE)</f>
        <v>11975.43544563642</v>
      </c>
      <c r="T121" s="400">
        <f t="shared" si="11"/>
        <v>202474.15786924545</v>
      </c>
    </row>
    <row r="122" spans="1:20" s="424" customFormat="1" ht="12.45" customHeight="1" x14ac:dyDescent="0.3">
      <c r="A122" s="1062"/>
      <c r="B122" s="1063"/>
      <c r="C122" s="429" t="s">
        <v>903</v>
      </c>
      <c r="D122" s="430">
        <v>82.8</v>
      </c>
      <c r="E122" s="430">
        <v>99.466226475963794</v>
      </c>
      <c r="F122" s="348">
        <v>6275.0379999999986</v>
      </c>
      <c r="G122" s="422">
        <f t="shared" si="8"/>
        <v>10.925552117307095</v>
      </c>
      <c r="H122" s="363">
        <f t="shared" si="12"/>
        <v>1.201282928453669</v>
      </c>
      <c r="I122" s="349">
        <v>11208.545463598019</v>
      </c>
      <c r="J122" s="414">
        <f>I122*'[5]%Non-FF'!$AE$3/1000</f>
        <v>7.4723636423987272E-2</v>
      </c>
      <c r="K122" s="423">
        <f t="shared" si="9"/>
        <v>10.850828480883107</v>
      </c>
      <c r="L122" s="423">
        <f>K122*'[5]FR SO Table'!$D$26</f>
        <v>10.850828480883107</v>
      </c>
      <c r="M122" s="429">
        <v>18</v>
      </c>
      <c r="N122" s="423">
        <f t="shared" si="10"/>
        <v>195.31491265589594</v>
      </c>
      <c r="O122" s="423">
        <f>N122*'[5]FR SO Table'!$D$26</f>
        <v>195.31491265589594</v>
      </c>
      <c r="P122" s="415">
        <f>O122*F162</f>
        <v>0</v>
      </c>
      <c r="Q122" s="417">
        <f>G122*M122*'[5]FR SO Table'!$D$26*$F$156</f>
        <v>11952.991038418655</v>
      </c>
      <c r="R122" s="341" t="s">
        <v>810</v>
      </c>
      <c r="S122" s="400">
        <f>E122*VLOOKUP(R122,'[5]FR SO Table'!$A$35:$B$42,2,FALSE)</f>
        <v>14937.340561027864</v>
      </c>
      <c r="T122" s="400">
        <f t="shared" si="11"/>
        <v>248781.02680447814</v>
      </c>
    </row>
    <row r="123" spans="1:20" s="424" customFormat="1" ht="12.45" customHeight="1" x14ac:dyDescent="0.3">
      <c r="A123" s="1062"/>
      <c r="B123" s="1063"/>
      <c r="C123" s="429" t="s">
        <v>904</v>
      </c>
      <c r="D123" s="430">
        <v>82.8</v>
      </c>
      <c r="E123" s="430">
        <v>108.43112619739848</v>
      </c>
      <c r="F123" s="348">
        <v>6490.8959999999961</v>
      </c>
      <c r="G123" s="422">
        <f t="shared" si="8"/>
        <v>11.910273088466443</v>
      </c>
      <c r="H123" s="363">
        <f t="shared" si="12"/>
        <v>1.3095546642197886</v>
      </c>
      <c r="I123" s="349">
        <v>12219.632388226666</v>
      </c>
      <c r="J123" s="414">
        <f>I123*'[5]%Non-FF'!$AE$3/1000</f>
        <v>8.1464215921511637E-2</v>
      </c>
      <c r="K123" s="423">
        <f t="shared" si="9"/>
        <v>11.828808872544931</v>
      </c>
      <c r="L123" s="423">
        <f>K123*'[5]FR SO Table'!$D$26</f>
        <v>11.828808872544931</v>
      </c>
      <c r="M123" s="429">
        <v>18</v>
      </c>
      <c r="N123" s="423">
        <f t="shared" si="10"/>
        <v>212.91855970580875</v>
      </c>
      <c r="O123" s="423">
        <f>N123*'[5]FR SO Table'!$D$26</f>
        <v>212.91855970580875</v>
      </c>
      <c r="P123" s="415">
        <f>O123*F164</f>
        <v>0</v>
      </c>
      <c r="Q123" s="417">
        <f>G123*M123*'[5]FR SO Table'!$D$26*$F$156</f>
        <v>13030.315169705827</v>
      </c>
      <c r="R123" s="341" t="s">
        <v>810</v>
      </c>
      <c r="S123" s="400">
        <f>E123*VLOOKUP(R123,'[5]FR SO Table'!$A$35:$B$42,2,FALSE)</f>
        <v>16283.644376694319</v>
      </c>
      <c r="T123" s="400">
        <f t="shared" si="11"/>
        <v>269227.98099363933</v>
      </c>
    </row>
    <row r="124" spans="1:20" s="424" customFormat="1" ht="12.45" customHeight="1" x14ac:dyDescent="0.3">
      <c r="A124" s="1062"/>
      <c r="B124" s="1063"/>
      <c r="C124" s="429" t="s">
        <v>905</v>
      </c>
      <c r="D124" s="430" t="s">
        <v>695</v>
      </c>
      <c r="E124" s="430">
        <v>10.692383179182265</v>
      </c>
      <c r="F124" s="348">
        <v>1517.3183720930233</v>
      </c>
      <c r="G124" s="422">
        <f t="shared" si="8"/>
        <v>1.1744709115973491</v>
      </c>
      <c r="H124" s="363" t="e">
        <f t="shared" si="12"/>
        <v>#VALUE!</v>
      </c>
      <c r="I124" s="349">
        <v>1485.3205196312565</v>
      </c>
      <c r="J124" s="414">
        <f>I124*'[5]%Non-FF'!$AE$3/1000</f>
        <v>9.9021367975417728E-3</v>
      </c>
      <c r="K124" s="423">
        <f t="shared" si="9"/>
        <v>1.1645687747998072</v>
      </c>
      <c r="L124" s="423">
        <f>K124*'[5]FR SO Table'!$D$26</f>
        <v>1.1645687747998072</v>
      </c>
      <c r="M124" s="429">
        <v>18</v>
      </c>
      <c r="N124" s="423">
        <f t="shared" si="10"/>
        <v>20.962237946396531</v>
      </c>
      <c r="O124" s="423">
        <f>N124*'[5]FR SO Table'!$D$26</f>
        <v>20.962237946396531</v>
      </c>
      <c r="P124" s="415">
        <f>O124*F156</f>
        <v>1274.0848223819812</v>
      </c>
      <c r="Q124" s="417">
        <f>G124*M124*'[5]FR SO Table'!$D$26*F156</f>
        <v>1284.9181561239639</v>
      </c>
      <c r="R124" s="341" t="s">
        <v>810</v>
      </c>
      <c r="S124" s="400">
        <f>E124*VLOOKUP(R124,'[5]FR SO Table'!$A$35:$B$42,2,FALSE)</f>
        <v>1605.7286439336967</v>
      </c>
      <c r="T124" s="400">
        <f t="shared" si="11"/>
        <v>28616.91298635121</v>
      </c>
    </row>
    <row r="125" spans="1:20" s="424" customFormat="1" ht="12.45" customHeight="1" x14ac:dyDescent="0.3">
      <c r="A125" s="1062"/>
      <c r="B125" s="1063"/>
      <c r="C125" s="429" t="s">
        <v>906</v>
      </c>
      <c r="D125" s="430" t="s">
        <v>695</v>
      </c>
      <c r="E125" s="430">
        <v>13.484571082319405</v>
      </c>
      <c r="F125" s="348">
        <v>1687.8831034482755</v>
      </c>
      <c r="G125" s="422">
        <f t="shared" si="8"/>
        <v>1.4811699343496711</v>
      </c>
      <c r="H125" s="363" t="e">
        <f t="shared" si="12"/>
        <v>#VALUE!</v>
      </c>
      <c r="I125" s="349">
        <v>1899.9536584242016</v>
      </c>
      <c r="J125" s="414">
        <f>I125*'[5]%Non-FF'!$AE$3/1000</f>
        <v>1.2666357722828092E-2</v>
      </c>
      <c r="K125" s="423">
        <f t="shared" si="9"/>
        <v>1.4685035766268431</v>
      </c>
      <c r="L125" s="423">
        <f>K125*'[5]FR SO Table'!$D$26</f>
        <v>1.4685035766268431</v>
      </c>
      <c r="M125" s="429">
        <v>18</v>
      </c>
      <c r="N125" s="423">
        <f t="shared" si="10"/>
        <v>26.433064379283174</v>
      </c>
      <c r="O125" s="423">
        <f>N125*'[5]FR SO Table'!$D$26</f>
        <v>26.433064379283174</v>
      </c>
      <c r="P125" s="415">
        <f>O125*F156</f>
        <v>1606.6016529728313</v>
      </c>
      <c r="Q125" s="417">
        <f>G125*M125*'[5]FR SO Table'!$D$26*F156</f>
        <v>1620.4591549759143</v>
      </c>
      <c r="R125" s="341" t="s">
        <v>810</v>
      </c>
      <c r="S125" s="400">
        <f>E125*VLOOKUP(R125,'[5]FR SO Table'!$A$35:$B$42,2,FALSE)</f>
        <v>2025.0454622873169</v>
      </c>
      <c r="T125" s="400">
        <f t="shared" si="11"/>
        <v>35989.119217025924</v>
      </c>
    </row>
    <row r="126" spans="1:20" s="424" customFormat="1" ht="12.45" customHeight="1" x14ac:dyDescent="0.3">
      <c r="A126" s="1062"/>
      <c r="B126" s="1063"/>
      <c r="C126" s="429" t="s">
        <v>907</v>
      </c>
      <c r="D126" s="430" t="s">
        <v>695</v>
      </c>
      <c r="E126" s="430">
        <v>18.303213467750325</v>
      </c>
      <c r="F126" s="348">
        <v>1802.9074999999993</v>
      </c>
      <c r="G126" s="422">
        <f t="shared" si="8"/>
        <v>2.0104584213258265</v>
      </c>
      <c r="H126" s="363" t="e">
        <f t="shared" si="12"/>
        <v>#VALUE!</v>
      </c>
      <c r="I126" s="349">
        <v>2525.8419849346028</v>
      </c>
      <c r="J126" s="414">
        <f>I126*'[5]%Non-FF'!$AE$3/1000</f>
        <v>1.6838946566230795E-2</v>
      </c>
      <c r="K126" s="423">
        <f t="shared" si="9"/>
        <v>1.9936194747595957</v>
      </c>
      <c r="L126" s="423">
        <f>K126*'[5]FR SO Table'!$D$26</f>
        <v>1.9936194747595957</v>
      </c>
      <c r="M126" s="429">
        <v>18</v>
      </c>
      <c r="N126" s="423">
        <f t="shared" si="10"/>
        <v>35.885150545672722</v>
      </c>
      <c r="O126" s="423">
        <f>N126*'[5]FR SO Table'!$D$26</f>
        <v>35.885150545672722</v>
      </c>
      <c r="P126" s="415">
        <f>O126*F156</f>
        <v>2181.0994501659879</v>
      </c>
      <c r="Q126" s="417">
        <f>G126*M126*'[5]FR SO Table'!$D$26*F156</f>
        <v>2199.5219312673071</v>
      </c>
      <c r="R126" s="341" t="s">
        <v>810</v>
      </c>
      <c r="S126" s="400">
        <f>E126*VLOOKUP(R126,'[5]FR SO Table'!$A$35:$B$42,2,FALSE)</f>
        <v>2748.6850825194051</v>
      </c>
      <c r="T126" s="400">
        <f t="shared" si="11"/>
        <v>48643.202183174377</v>
      </c>
    </row>
    <row r="127" spans="1:20" s="424" customFormat="1" ht="12.45" customHeight="1" x14ac:dyDescent="0.3">
      <c r="A127" s="1062"/>
      <c r="B127" s="1063"/>
      <c r="C127" s="429" t="s">
        <v>908</v>
      </c>
      <c r="D127" s="430" t="s">
        <v>695</v>
      </c>
      <c r="E127" s="430">
        <v>19.663936201318126</v>
      </c>
      <c r="F127" s="348">
        <v>2110.7422500000011</v>
      </c>
      <c r="G127" s="422">
        <f t="shared" si="8"/>
        <v>2.1599226934664024</v>
      </c>
      <c r="H127" s="363" t="e">
        <f t="shared" si="12"/>
        <v>#VALUE!</v>
      </c>
      <c r="I127" s="349">
        <v>2791.2467814427137</v>
      </c>
      <c r="J127" s="414">
        <f>I127*'[5]%Non-FF'!$AE$3/1000</f>
        <v>1.8608311876284877E-2</v>
      </c>
      <c r="K127" s="423">
        <f t="shared" si="9"/>
        <v>2.1413143815901177</v>
      </c>
      <c r="L127" s="423">
        <f>K127*'[5]FR SO Table'!$D$26</f>
        <v>2.1413143815901177</v>
      </c>
      <c r="M127" s="429">
        <v>18</v>
      </c>
      <c r="N127" s="423">
        <f t="shared" si="10"/>
        <v>38.543658868622117</v>
      </c>
      <c r="O127" s="423">
        <f>N127*'[5]FR SO Table'!$D$26</f>
        <v>38.543658868622117</v>
      </c>
      <c r="P127" s="415">
        <f>O127*F156</f>
        <v>2342.6835860348524</v>
      </c>
      <c r="Q127" s="417">
        <f>G127*M127*'[5]FR SO Table'!$D$26*F156</f>
        <v>2363.0418235599827</v>
      </c>
      <c r="R127" s="341" t="s">
        <v>810</v>
      </c>
      <c r="S127" s="400">
        <f>E127*VLOOKUP(R127,'[5]FR SO Table'!$A$35:$B$42,2,FALSE)</f>
        <v>2953.0316190329499</v>
      </c>
      <c r="T127" s="400">
        <f t="shared" si="11"/>
        <v>52165.452342338176</v>
      </c>
    </row>
    <row r="128" spans="1:20" s="424" customFormat="1" ht="12.45" customHeight="1" x14ac:dyDescent="0.3">
      <c r="A128" s="1062"/>
      <c r="B128" s="1063"/>
      <c r="C128" s="429" t="s">
        <v>909</v>
      </c>
      <c r="D128" s="430" t="s">
        <v>695</v>
      </c>
      <c r="E128" s="430">
        <v>25.757943551922075</v>
      </c>
      <c r="F128" s="348">
        <v>3239.909009126467</v>
      </c>
      <c r="G128" s="422">
        <f t="shared" si="8"/>
        <v>2.8292995992884533</v>
      </c>
      <c r="H128" s="363" t="e">
        <f t="shared" si="12"/>
        <v>#VALUE!</v>
      </c>
      <c r="I128" s="349">
        <v>3673.6414705003658</v>
      </c>
      <c r="J128" s="414">
        <f>I128*'[5]%Non-FF'!$AE$3/1000</f>
        <v>2.4490943136669264E-2</v>
      </c>
      <c r="K128" s="423">
        <f t="shared" si="9"/>
        <v>2.804808656151784</v>
      </c>
      <c r="L128" s="423">
        <f>K128*'[5]FR SO Table'!$D$26</f>
        <v>2.804808656151784</v>
      </c>
      <c r="M128" s="429">
        <v>18</v>
      </c>
      <c r="N128" s="423">
        <f t="shared" si="10"/>
        <v>50.486555810732114</v>
      </c>
      <c r="O128" s="423">
        <f>N128*'[5]FR SO Table'!$D$26</f>
        <v>50.486555810732114</v>
      </c>
      <c r="P128" s="415">
        <f>O128*F156</f>
        <v>3068.5728621762978</v>
      </c>
      <c r="Q128" s="417">
        <f>G128*M128*'[5]FR SO Table'!$D$26*$F$156</f>
        <v>3095.3669336055395</v>
      </c>
      <c r="R128" s="341" t="s">
        <v>810</v>
      </c>
      <c r="S128" s="400">
        <f>E128*VLOOKUP(R128,'[5]FR SO Table'!$A$35:$B$42,2,FALSE)</f>
        <v>3868.1991729098982</v>
      </c>
      <c r="T128" s="400">
        <f t="shared" si="11"/>
        <v>67922.339884647314</v>
      </c>
    </row>
    <row r="129" spans="1:20" s="424" customFormat="1" ht="12.45" customHeight="1" x14ac:dyDescent="0.3">
      <c r="A129" s="1062"/>
      <c r="B129" s="1063"/>
      <c r="C129" s="429" t="s">
        <v>910</v>
      </c>
      <c r="D129" s="430" t="s">
        <v>695</v>
      </c>
      <c r="E129" s="430">
        <v>37.083082036617533</v>
      </c>
      <c r="F129" s="348">
        <v>3601.0405991735533</v>
      </c>
      <c r="G129" s="422">
        <f t="shared" si="8"/>
        <v>4.0732735101732791</v>
      </c>
      <c r="H129" s="363" t="e">
        <f t="shared" si="12"/>
        <v>#VALUE!</v>
      </c>
      <c r="I129" s="349">
        <v>5101.3746309438875</v>
      </c>
      <c r="J129" s="414">
        <f>I129*'[5]%Non-FF'!$AE$3/1000</f>
        <v>3.4009164206292804E-2</v>
      </c>
      <c r="K129" s="423">
        <f t="shared" si="9"/>
        <v>4.0392643459669859</v>
      </c>
      <c r="L129" s="423">
        <f>K129*'[5]FR SO Table'!$D$26</f>
        <v>4.0392643459669859</v>
      </c>
      <c r="M129" s="429">
        <v>18</v>
      </c>
      <c r="N129" s="423">
        <f t="shared" si="10"/>
        <v>72.706758227405743</v>
      </c>
      <c r="O129" s="423">
        <f>N129*'[5]FR SO Table'!$D$26</f>
        <v>72.706758227405743</v>
      </c>
      <c r="P129" s="415">
        <f>O129*F156</f>
        <v>4419.1167650617208</v>
      </c>
      <c r="Q129" s="417">
        <f>G129*M129*'[5]FR SO Table'!$D$26*$F$156</f>
        <v>4456.3241510699745</v>
      </c>
      <c r="R129" s="341" t="s">
        <v>810</v>
      </c>
      <c r="S129" s="400">
        <f>E129*VLOOKUP(R129,'[5]FR SO Table'!$A$35:$B$42,2,FALSE)</f>
        <v>5568.951844849038</v>
      </c>
      <c r="T129" s="400">
        <f t="shared" si="11"/>
        <v>96832.016047811339</v>
      </c>
    </row>
    <row r="130" spans="1:20" s="424" customFormat="1" ht="13.2" customHeight="1" x14ac:dyDescent="0.3">
      <c r="A130" s="1062"/>
      <c r="B130" s="1063"/>
      <c r="C130" s="429" t="s">
        <v>911</v>
      </c>
      <c r="D130" s="430" t="s">
        <v>695</v>
      </c>
      <c r="E130" s="430">
        <v>38.620252137313329</v>
      </c>
      <c r="F130" s="348">
        <v>4460.787149002741</v>
      </c>
      <c r="G130" s="422">
        <f t="shared" si="8"/>
        <v>4.2421190836240479</v>
      </c>
      <c r="H130" s="363" t="e">
        <f t="shared" si="12"/>
        <v>#VALUE!</v>
      </c>
      <c r="I130" s="349">
        <v>5508.7250902700143</v>
      </c>
      <c r="J130" s="414">
        <f>I130*'[5]%Non-FF'!$AE$3/1000</f>
        <v>3.6724833935133663E-2</v>
      </c>
      <c r="K130" s="423">
        <f t="shared" si="9"/>
        <v>4.2053942496889141</v>
      </c>
      <c r="L130" s="423">
        <f>K130*'[5]FR SO Table'!$D$26</f>
        <v>4.2053942496889141</v>
      </c>
      <c r="M130" s="429">
        <v>18</v>
      </c>
      <c r="N130" s="423">
        <f t="shared" si="10"/>
        <v>75.697096494400455</v>
      </c>
      <c r="O130" s="423">
        <f>N130*'[5]FR SO Table'!$D$26</f>
        <v>75.697096494400455</v>
      </c>
      <c r="P130" s="415">
        <f>O130*F158</f>
        <v>0</v>
      </c>
      <c r="Q130" s="417">
        <f>G130*M130*'[5]FR SO Table'!$D$26*$F$156</f>
        <v>4641.0479622480534</v>
      </c>
      <c r="R130" s="341" t="s">
        <v>810</v>
      </c>
      <c r="S130" s="400">
        <f>E130*VLOOKUP(R130,'[5]FR SO Table'!$A$35:$B$42,2,FALSE)</f>
        <v>5799.7963647210299</v>
      </c>
      <c r="T130" s="400">
        <f t="shared" si="11"/>
        <v>100562.39651464304</v>
      </c>
    </row>
    <row r="131" spans="1:20" s="424" customFormat="1" ht="13.2" customHeight="1" x14ac:dyDescent="0.3">
      <c r="A131" s="1062"/>
      <c r="B131" s="1063"/>
      <c r="C131" s="429" t="s">
        <v>912</v>
      </c>
      <c r="D131" s="430" t="s">
        <v>695</v>
      </c>
      <c r="E131" s="430">
        <v>53.114848384565569</v>
      </c>
      <c r="F131" s="348">
        <v>5079.3700982800983</v>
      </c>
      <c r="G131" s="422">
        <f t="shared" ref="G131:G137" si="13">E131/$G$156</f>
        <v>5.8342320281816313</v>
      </c>
      <c r="H131" s="363" t="e">
        <f t="shared" si="12"/>
        <v>#VALUE!</v>
      </c>
      <c r="I131" s="349">
        <v>7266.8700119654304</v>
      </c>
      <c r="J131" s="414">
        <f>I131*'[5]%Non-FF'!$AE$3/1000</f>
        <v>4.8445800079769848E-2</v>
      </c>
      <c r="K131" s="423">
        <f t="shared" si="9"/>
        <v>5.7857862281018617</v>
      </c>
      <c r="L131" s="423">
        <f>K131*'[5]FR SO Table'!$D$26</f>
        <v>5.7857862281018617</v>
      </c>
      <c r="M131" s="429">
        <v>18</v>
      </c>
      <c r="N131" s="423">
        <f t="shared" si="10"/>
        <v>104.14415210583351</v>
      </c>
      <c r="O131" s="423">
        <f>N131*'[5]FR SO Table'!$D$26</f>
        <v>104.14415210583351</v>
      </c>
      <c r="P131" s="415">
        <f>O131*F158</f>
        <v>0</v>
      </c>
      <c r="Q131" s="417">
        <f>G131*M131*'[5]FR SO Table'!$D$26*$F$156</f>
        <v>6382.8832081118317</v>
      </c>
      <c r="R131" s="341" t="s">
        <v>810</v>
      </c>
      <c r="S131" s="400">
        <f>E131*VLOOKUP(R131,'[5]FR SO Table'!$A$35:$B$42,2,FALSE)</f>
        <v>7976.5223561521352</v>
      </c>
      <c r="T131" s="400">
        <f t="shared" si="11"/>
        <v>136621.68027757513</v>
      </c>
    </row>
    <row r="132" spans="1:20" s="424" customFormat="1" ht="13.2" customHeight="1" x14ac:dyDescent="0.3">
      <c r="A132" s="1062"/>
      <c r="B132" s="1063"/>
      <c r="C132" s="429" t="s">
        <v>913</v>
      </c>
      <c r="D132" s="430" t="s">
        <v>695</v>
      </c>
      <c r="E132" s="430">
        <v>50.148277734679802</v>
      </c>
      <c r="F132" s="348">
        <v>5497.8879093717733</v>
      </c>
      <c r="G132" s="422">
        <f t="shared" si="13"/>
        <v>5.5083784857952338</v>
      </c>
      <c r="H132" s="363" t="e">
        <f t="shared" si="12"/>
        <v>#VALUE!</v>
      </c>
      <c r="I132" s="349">
        <v>7204.711481078306</v>
      </c>
      <c r="J132" s="414">
        <f>I132*'[5]%Non-FF'!$AE$3/1000</f>
        <v>4.8031409873855679E-2</v>
      </c>
      <c r="K132" s="423">
        <f t="shared" si="9"/>
        <v>5.4603470759213781</v>
      </c>
      <c r="L132" s="423">
        <f>K132*'[5]FR SO Table'!$D$26</f>
        <v>5.4603470759213781</v>
      </c>
      <c r="M132" s="429">
        <v>18</v>
      </c>
      <c r="N132" s="423">
        <f t="shared" si="10"/>
        <v>98.286247366584803</v>
      </c>
      <c r="O132" s="423">
        <f>N132*'[5]FR SO Table'!$D$26</f>
        <v>98.286247366584803</v>
      </c>
      <c r="P132" s="415">
        <f>O132*F160</f>
        <v>0</v>
      </c>
      <c r="Q132" s="417">
        <f>G132*M132*'[5]FR SO Table'!$D$26*$F$156</f>
        <v>6026.3863985994176</v>
      </c>
      <c r="R132" s="341" t="s">
        <v>810</v>
      </c>
      <c r="S132" s="400">
        <f>E132*VLOOKUP(R132,'[5]FR SO Table'!$A$35:$B$42,2,FALSE)</f>
        <v>7531.0176088055396</v>
      </c>
      <c r="T132" s="400">
        <f t="shared" si="11"/>
        <v>129047.25987485598</v>
      </c>
    </row>
    <row r="133" spans="1:20" s="424" customFormat="1" ht="13.2" customHeight="1" x14ac:dyDescent="0.3">
      <c r="A133" s="1062"/>
      <c r="B133" s="1063"/>
      <c r="C133" s="429" t="s">
        <v>914</v>
      </c>
      <c r="D133" s="430" t="s">
        <v>695</v>
      </c>
      <c r="E133" s="430">
        <v>61.932636240707666</v>
      </c>
      <c r="F133" s="348">
        <v>6019.0168325242721</v>
      </c>
      <c r="G133" s="422">
        <f t="shared" si="13"/>
        <v>6.8027939631708776</v>
      </c>
      <c r="H133" s="363" t="e">
        <f t="shared" si="12"/>
        <v>#VALUE!</v>
      </c>
      <c r="I133" s="349">
        <v>8680.3177186907669</v>
      </c>
      <c r="J133" s="414">
        <f>I133*'[5]%Non-FF'!$AE$3/1000</f>
        <v>5.7868784791272158E-2</v>
      </c>
      <c r="K133" s="423">
        <f t="shared" si="9"/>
        <v>6.7449251783796056</v>
      </c>
      <c r="L133" s="423">
        <f>K133*'[5]FR SO Table'!$D$26</f>
        <v>6.7449251783796056</v>
      </c>
      <c r="M133" s="429">
        <v>18</v>
      </c>
      <c r="N133" s="423">
        <f t="shared" si="10"/>
        <v>121.4086532108329</v>
      </c>
      <c r="O133" s="423">
        <f>N133*'[5]FR SO Table'!$D$26</f>
        <v>121.4086532108329</v>
      </c>
      <c r="P133" s="415">
        <f>O133*F160</f>
        <v>0</v>
      </c>
      <c r="Q133" s="417">
        <f>G133*M133*'[5]FR SO Table'!$D$26*$F$156</f>
        <v>7442.528707467467</v>
      </c>
      <c r="R133" s="341" t="s">
        <v>810</v>
      </c>
      <c r="S133" s="400">
        <f>E133*VLOOKUP(R133,'[5]FR SO Table'!$A$35:$B$42,2,FALSE)</f>
        <v>9300.7336474482745</v>
      </c>
      <c r="T133" s="400">
        <f t="shared" si="11"/>
        <v>157725.20688485666</v>
      </c>
    </row>
    <row r="134" spans="1:20" s="424" customFormat="1" ht="13.2" customHeight="1" x14ac:dyDescent="0.3">
      <c r="A134" s="1062"/>
      <c r="B134" s="1063"/>
      <c r="C134" s="429" t="s">
        <v>915</v>
      </c>
      <c r="D134" s="430" t="s">
        <v>695</v>
      </c>
      <c r="E134" s="430">
        <v>60.406034008233092</v>
      </c>
      <c r="F134" s="348">
        <v>7531.895714285718</v>
      </c>
      <c r="G134" s="422">
        <f t="shared" si="13"/>
        <v>6.6351091836811396</v>
      </c>
      <c r="H134" s="363" t="e">
        <f t="shared" si="12"/>
        <v>#VALUE!</v>
      </c>
      <c r="I134" s="349">
        <v>8768.2739823797747</v>
      </c>
      <c r="J134" s="414">
        <f>I134*'[5]%Non-FF'!$AE$3/1000</f>
        <v>5.8455159882532207E-2</v>
      </c>
      <c r="K134" s="423">
        <f t="shared" si="9"/>
        <v>6.5766540237986071</v>
      </c>
      <c r="L134" s="423">
        <f>K134*'[5]FR SO Table'!$D$26</f>
        <v>6.5766540237986071</v>
      </c>
      <c r="M134" s="429">
        <v>18</v>
      </c>
      <c r="N134" s="423">
        <f t="shared" si="10"/>
        <v>118.37977242837493</v>
      </c>
      <c r="O134" s="423">
        <f>N134*'[5]FR SO Table'!$D$26</f>
        <v>118.37977242837493</v>
      </c>
      <c r="P134" s="415">
        <f>O134*F162</f>
        <v>0</v>
      </c>
      <c r="Q134" s="417">
        <f>G134*M134*'[5]FR SO Table'!$D$26*$F$156</f>
        <v>7259.0748513145136</v>
      </c>
      <c r="R134" s="341" t="s">
        <v>810</v>
      </c>
      <c r="S134" s="400">
        <f>E134*VLOOKUP(R134,'[5]FR SO Table'!$A$35:$B$42,2,FALSE)</f>
        <v>9071.4761571864055</v>
      </c>
      <c r="T134" s="400">
        <f t="shared" si="11"/>
        <v>153741.62822485491</v>
      </c>
    </row>
    <row r="135" spans="1:20" s="424" customFormat="1" ht="13.2" customHeight="1" x14ac:dyDescent="0.3">
      <c r="A135" s="1062"/>
      <c r="B135" s="1063"/>
      <c r="C135" s="429" t="s">
        <v>916</v>
      </c>
      <c r="D135" s="430" t="s">
        <v>695</v>
      </c>
      <c r="E135" s="430">
        <v>75.34636264527559</v>
      </c>
      <c r="F135" s="348">
        <v>6275.0379999999986</v>
      </c>
      <c r="G135" s="422">
        <f t="shared" si="13"/>
        <v>8.2761821886286899</v>
      </c>
      <c r="H135" s="363" t="e">
        <f t="shared" si="12"/>
        <v>#VALUE!</v>
      </c>
      <c r="I135" s="349">
        <v>10572.885913573624</v>
      </c>
      <c r="J135" s="414">
        <f>I135*'[5]%Non-FF'!$AE$3/1000</f>
        <v>7.0485906090491282E-2</v>
      </c>
      <c r="K135" s="423">
        <f t="shared" si="9"/>
        <v>8.2056962825381987</v>
      </c>
      <c r="L135" s="423">
        <f>K135*'[5]FR SO Table'!$D$26</f>
        <v>8.2056962825381987</v>
      </c>
      <c r="M135" s="429">
        <v>18</v>
      </c>
      <c r="N135" s="423">
        <f t="shared" si="10"/>
        <v>147.70253308568758</v>
      </c>
      <c r="O135" s="423">
        <f>N135*'[5]FR SO Table'!$D$26</f>
        <v>147.70253308568758</v>
      </c>
      <c r="P135" s="415">
        <f>O135*F162</f>
        <v>0</v>
      </c>
      <c r="Q135" s="417">
        <f>G135*M135*'[5]FR SO Table'!$D$26*$F$156</f>
        <v>9054.4743616473334</v>
      </c>
      <c r="R135" s="341" t="s">
        <v>810</v>
      </c>
      <c r="S135" s="400">
        <f>E135*VLOOKUP(R135,'[5]FR SO Table'!$A$35:$B$42,2,FALSE)</f>
        <v>11315.140010254263</v>
      </c>
      <c r="T135" s="400">
        <f t="shared" si="11"/>
        <v>189316.47805363298</v>
      </c>
    </row>
    <row r="136" spans="1:20" s="424" customFormat="1" ht="13.2" customHeight="1" x14ac:dyDescent="0.3">
      <c r="A136" s="1060"/>
      <c r="B136" s="1061"/>
      <c r="C136" s="429" t="s">
        <v>917</v>
      </c>
      <c r="D136" s="430" t="s">
        <v>695</v>
      </c>
      <c r="E136" s="430">
        <v>82.13733692289108</v>
      </c>
      <c r="F136" s="348">
        <v>6490.8959999999961</v>
      </c>
      <c r="G136" s="422">
        <f t="shared" si="13"/>
        <v>9.0221152156075455</v>
      </c>
      <c r="H136" s="363" t="e">
        <f t="shared" si="12"/>
        <v>#VALUE!</v>
      </c>
      <c r="I136" s="349">
        <v>11527.938478880253</v>
      </c>
      <c r="J136" s="414">
        <f>I136*'[5]%Non-FF'!$AE$3/1000</f>
        <v>7.6852923192535519E-2</v>
      </c>
      <c r="K136" s="423">
        <f t="shared" si="9"/>
        <v>8.9452622924150091</v>
      </c>
      <c r="L136" s="423">
        <f>K136*'[5]FR SO Table'!$D$26</f>
        <v>8.9452622924150091</v>
      </c>
      <c r="M136" s="429">
        <v>18</v>
      </c>
      <c r="N136" s="423">
        <f t="shared" si="10"/>
        <v>161.01472126347016</v>
      </c>
      <c r="O136" s="423">
        <f>N136*'[5]FR SO Table'!$D$26</f>
        <v>161.01472126347016</v>
      </c>
      <c r="P136" s="415">
        <f>O136*F164</f>
        <v>0</v>
      </c>
      <c r="Q136" s="417">
        <f>G136*M136*'[5]FR SO Table'!$D$26*$F$156</f>
        <v>9870.5549304832784</v>
      </c>
      <c r="R136" s="341" t="s">
        <v>810</v>
      </c>
      <c r="S136" s="400">
        <f>E136*VLOOKUP(R136,'[5]FR SO Table'!$A$35:$B$42,2,FALSE)</f>
        <v>12334.974572395169</v>
      </c>
      <c r="T136" s="400">
        <f t="shared" si="11"/>
        <v>204965.92294201805</v>
      </c>
    </row>
    <row r="137" spans="1:20" s="424" customFormat="1" x14ac:dyDescent="0.3">
      <c r="A137" s="990" t="s">
        <v>769</v>
      </c>
      <c r="B137" s="991" t="s">
        <v>808</v>
      </c>
      <c r="C137" s="429" t="s">
        <v>918</v>
      </c>
      <c r="D137" s="430">
        <v>2.1190000000000002</v>
      </c>
      <c r="E137" s="430">
        <v>2.1190000000000002</v>
      </c>
      <c r="F137" s="348" t="s">
        <v>695</v>
      </c>
      <c r="G137" s="422">
        <f t="shared" si="13"/>
        <v>0.23275483304042183</v>
      </c>
      <c r="H137" s="363">
        <f>E137/D137</f>
        <v>1</v>
      </c>
      <c r="I137" s="349">
        <v>258.18</v>
      </c>
      <c r="J137" s="414">
        <f>I137*'[5]%Non-FF'!$AF$3/1000</f>
        <v>2.0654400000000303E-3</v>
      </c>
      <c r="K137" s="423">
        <f t="shared" si="9"/>
        <v>0.2306893930404218</v>
      </c>
      <c r="L137" s="423">
        <f>K137*'[5]FR SO Table'!$D$27</f>
        <v>0.2306893930404218</v>
      </c>
      <c r="M137" s="429">
        <v>15</v>
      </c>
      <c r="N137" s="423">
        <f t="shared" si="10"/>
        <v>3.4603408956063268</v>
      </c>
      <c r="O137" s="423">
        <f>N137*'[5]FR SO Table'!$D$27</f>
        <v>3.4603408956063268</v>
      </c>
      <c r="P137" s="415">
        <f>O137*F156</f>
        <v>210.31951963495254</v>
      </c>
      <c r="Q137" s="417">
        <f>G137*M137*'[5]FR SO Table'!$D$27*F156</f>
        <v>212.20258128295259</v>
      </c>
      <c r="R137" s="410" t="s">
        <v>866</v>
      </c>
      <c r="S137" s="400">
        <f>E137*VLOOKUP(R137,'[5]FR SO Table'!$A$35:$B$42,2,FALSE)</f>
        <v>294.64695000000006</v>
      </c>
      <c r="T137" s="400">
        <f t="shared" si="11"/>
        <v>4410.5756160538804</v>
      </c>
    </row>
    <row r="138" spans="1:20" s="424" customFormat="1" x14ac:dyDescent="0.3">
      <c r="A138" s="990" t="s">
        <v>919</v>
      </c>
      <c r="B138" s="991" t="s">
        <v>808</v>
      </c>
      <c r="C138" s="429" t="s">
        <v>920</v>
      </c>
      <c r="D138" s="430" t="s">
        <v>695</v>
      </c>
      <c r="E138" s="430" t="s">
        <v>695</v>
      </c>
      <c r="F138" s="348" t="s">
        <v>695</v>
      </c>
      <c r="G138" s="432" t="s">
        <v>921</v>
      </c>
      <c r="H138" s="363" t="s">
        <v>695</v>
      </c>
      <c r="I138" s="366"/>
      <c r="J138" s="433"/>
      <c r="K138" s="434" t="str">
        <f>G138</f>
        <v>Custom Input from Tool</v>
      </c>
      <c r="L138" s="423" t="e">
        <f>K138*'[5]FR SO Table'!$D$28</f>
        <v>#VALUE!</v>
      </c>
      <c r="M138" s="429">
        <v>10</v>
      </c>
      <c r="N138" s="423" t="e">
        <f t="shared" si="10"/>
        <v>#VALUE!</v>
      </c>
      <c r="O138" s="423" t="e">
        <f>N138*'[5]FR SO Table'!$D$28</f>
        <v>#VALUE!</v>
      </c>
      <c r="P138" s="415" t="e">
        <f>O138*F156</f>
        <v>#VALUE!</v>
      </c>
      <c r="Q138" s="435" t="e">
        <f>G138*M138*'[5]FR SO Table'!$D$28*F156</f>
        <v>#VALUE!</v>
      </c>
      <c r="R138" s="436" t="s">
        <v>695</v>
      </c>
      <c r="S138" s="400" t="e">
        <f>E138*VLOOKUP(R138,'[5]FR SO Table'!$A$35:$B$42,2,FALSE)</f>
        <v>#VALUE!</v>
      </c>
      <c r="T138" s="400" t="e">
        <f t="shared" ref="T138:T147" si="14">S138*M138*(1-J138)</f>
        <v>#VALUE!</v>
      </c>
    </row>
    <row r="139" spans="1:20" s="424" customFormat="1" x14ac:dyDescent="0.3">
      <c r="A139" s="1055" t="s">
        <v>770</v>
      </c>
      <c r="B139" s="1057" t="s">
        <v>808</v>
      </c>
      <c r="C139" s="429" t="s">
        <v>922</v>
      </c>
      <c r="D139" s="430">
        <v>2.06</v>
      </c>
      <c r="E139" s="430">
        <v>2.06</v>
      </c>
      <c r="F139" s="348">
        <v>7499</v>
      </c>
      <c r="G139" s="432">
        <f>E139/$G$156</f>
        <v>0.226274165202109</v>
      </c>
      <c r="H139" s="363">
        <f>D139/E139</f>
        <v>1</v>
      </c>
      <c r="I139" s="349">
        <v>90.12370967741937</v>
      </c>
      <c r="J139" s="414">
        <f>I139*'[5]%Non-FF'!$AI$3/1000</f>
        <v>1.0814845161290433E-3</v>
      </c>
      <c r="K139" s="434">
        <f>G139-J139</f>
        <v>0.22519268068597995</v>
      </c>
      <c r="L139" s="423">
        <f>K139*'[5]FR SO Table'!$D$29</f>
        <v>0.22519268068597995</v>
      </c>
      <c r="M139" s="429">
        <v>10</v>
      </c>
      <c r="N139" s="423">
        <f t="shared" si="10"/>
        <v>2.2519268068597995</v>
      </c>
      <c r="O139" s="423">
        <f>N139*'[5]FR SO Table'!$D$29</f>
        <v>2.2519268068597995</v>
      </c>
      <c r="P139" s="415">
        <f>O139*F156</f>
        <v>136.87211132093861</v>
      </c>
      <c r="Q139" s="417">
        <f>G139*M139*'[5]FR SO Table'!$D$29*F156</f>
        <v>137.52943760984186</v>
      </c>
      <c r="R139" s="436" t="s">
        <v>843</v>
      </c>
      <c r="S139" s="400">
        <f>E139*VLOOKUP(R139,'[5]FR SO Table'!$A$35:$B$42,2,FALSE)</f>
        <v>323.83199999999999</v>
      </c>
      <c r="T139" s="400">
        <f t="shared" si="14"/>
        <v>3234.8178070617287</v>
      </c>
    </row>
    <row r="140" spans="1:20" s="424" customFormat="1" x14ac:dyDescent="0.3">
      <c r="A140" s="1055"/>
      <c r="B140" s="1057"/>
      <c r="C140" s="429" t="s">
        <v>923</v>
      </c>
      <c r="D140" s="430">
        <v>7.9</v>
      </c>
      <c r="E140" s="430">
        <v>7.9</v>
      </c>
      <c r="F140" s="348">
        <v>18919</v>
      </c>
      <c r="G140" s="432">
        <f>E140/$G$156</f>
        <v>0.86775043936731122</v>
      </c>
      <c r="H140" s="363">
        <f>D140/E140</f>
        <v>1</v>
      </c>
      <c r="I140" s="349">
        <v>231.89397201291709</v>
      </c>
      <c r="J140" s="414">
        <f>I140*'[5]%Non-FF'!$AI$3/1000</f>
        <v>2.7827276641550331E-3</v>
      </c>
      <c r="K140" s="434">
        <f>G140-J140</f>
        <v>0.86496771170315623</v>
      </c>
      <c r="L140" s="423">
        <f>K140*'[5]FR SO Table'!$D$29</f>
        <v>0.86496771170315623</v>
      </c>
      <c r="M140" s="429">
        <v>10</v>
      </c>
      <c r="N140" s="423">
        <f t="shared" si="10"/>
        <v>8.6496771170315618</v>
      </c>
      <c r="O140" s="423">
        <f>N140*'[5]FR SO Table'!$D$29</f>
        <v>8.6496771170315618</v>
      </c>
      <c r="P140" s="415">
        <f>O140*$F$156</f>
        <v>525.7273751731783</v>
      </c>
      <c r="Q140" s="417">
        <f>G140*M140*'[5]FR SO Table'!$D$29*$F$156</f>
        <v>527.41871704745176</v>
      </c>
      <c r="R140" s="436" t="s">
        <v>843</v>
      </c>
      <c r="S140" s="400">
        <f>E140*VLOOKUP(R140,'[5]FR SO Table'!$A$35:$B$42,2,FALSE)</f>
        <v>1241.8799999999999</v>
      </c>
      <c r="T140" s="400">
        <f t="shared" si="14"/>
        <v>12384.241861684392</v>
      </c>
    </row>
    <row r="141" spans="1:20" s="424" customFormat="1" x14ac:dyDescent="0.3">
      <c r="A141" s="1055" t="s">
        <v>771</v>
      </c>
      <c r="B141" s="1057" t="s">
        <v>808</v>
      </c>
      <c r="C141" s="429" t="s">
        <v>925</v>
      </c>
      <c r="D141" s="430">
        <f t="shared" ref="D141:D146" si="15">E141</f>
        <v>1.383289</v>
      </c>
      <c r="E141" s="430">
        <v>1.383289</v>
      </c>
      <c r="F141" s="348">
        <v>271.94600000000003</v>
      </c>
      <c r="G141" s="432">
        <f t="shared" ref="G141:G146" si="16">E141/$G$156</f>
        <v>0.15194299209138842</v>
      </c>
      <c r="H141" s="363">
        <f t="shared" ref="H141:H146" si="17">D141/E141</f>
        <v>1</v>
      </c>
      <c r="I141" s="349">
        <v>0.70499999999999996</v>
      </c>
      <c r="J141" s="414">
        <f>I141*'[5]%Non-FF'!$AJ$3/1000</f>
        <v>1.0575000000000088E-5</v>
      </c>
      <c r="K141" s="434">
        <f t="shared" ref="K141:K146" si="18">G141-J141</f>
        <v>0.15193241709138841</v>
      </c>
      <c r="L141" s="423">
        <f>K141*'[5]FR SO Table'!$D$30</f>
        <v>0.15193241709138841</v>
      </c>
      <c r="M141" s="429">
        <v>8</v>
      </c>
      <c r="N141" s="423">
        <f t="shared" si="10"/>
        <v>1.2154593367311073</v>
      </c>
      <c r="O141" s="423">
        <f>N141*'[5]FR SO Table'!$D$30</f>
        <v>1.2154593367311073</v>
      </c>
      <c r="P141" s="415">
        <f t="shared" ref="P141:P146" si="19">O141*$F$156</f>
        <v>73.8756184865167</v>
      </c>
      <c r="Q141" s="417">
        <f>G141*M141*'[5]FR SO Table'!$D$30*$F$156</f>
        <v>73.880760474516705</v>
      </c>
      <c r="R141" s="436" t="s">
        <v>843</v>
      </c>
      <c r="S141" s="400">
        <f>E141*VLOOKUP(R141,'[5]FR SO Table'!$A$35:$B$42,2,FALSE)</f>
        <v>217.45303079999999</v>
      </c>
      <c r="T141" s="400">
        <f t="shared" si="14"/>
        <v>1739.6058498735943</v>
      </c>
    </row>
    <row r="142" spans="1:20" s="424" customFormat="1" x14ac:dyDescent="0.3">
      <c r="A142" s="1055"/>
      <c r="B142" s="1057"/>
      <c r="C142" s="429" t="s">
        <v>926</v>
      </c>
      <c r="D142" s="430">
        <f t="shared" si="15"/>
        <v>13.832890000000001</v>
      </c>
      <c r="E142" s="430">
        <v>13.832890000000001</v>
      </c>
      <c r="F142" s="348">
        <v>594.93499999999995</v>
      </c>
      <c r="G142" s="432">
        <f t="shared" si="16"/>
        <v>1.5194299209138842</v>
      </c>
      <c r="H142" s="363">
        <f t="shared" si="17"/>
        <v>1</v>
      </c>
      <c r="I142" s="349">
        <v>58.978499999999997</v>
      </c>
      <c r="J142" s="414">
        <f>I142*'[5]%Non-FF'!$AO$3/1000</f>
        <v>2.3001615000000021E-3</v>
      </c>
      <c r="K142" s="434">
        <f t="shared" si="18"/>
        <v>1.5171297594138842</v>
      </c>
      <c r="L142" s="423">
        <f>K142*'[5]FR SO Table'!$D$30</f>
        <v>1.5171297594138842</v>
      </c>
      <c r="M142" s="429">
        <v>2</v>
      </c>
      <c r="N142" s="423">
        <f t="shared" si="10"/>
        <v>3.0342595188277683</v>
      </c>
      <c r="O142" s="423">
        <f>N142*'[5]FR SO Table'!$D$30</f>
        <v>3.0342595188277683</v>
      </c>
      <c r="P142" s="415">
        <f t="shared" si="19"/>
        <v>184.42229355435177</v>
      </c>
      <c r="Q142" s="417">
        <f>G142*M142*'[5]FR SO Table'!$D$30*$F$156</f>
        <v>184.70190118629176</v>
      </c>
      <c r="R142" s="436" t="s">
        <v>843</v>
      </c>
      <c r="S142" s="400">
        <f>E142*VLOOKUP(R142,'[5]FR SO Table'!$A$35:$B$42,2,FALSE)</f>
        <v>2174.5303079999999</v>
      </c>
      <c r="T142" s="400">
        <f t="shared" si="14"/>
        <v>4339.0570742099098</v>
      </c>
    </row>
    <row r="143" spans="1:20" s="424" customFormat="1" x14ac:dyDescent="0.3">
      <c r="A143" s="1055"/>
      <c r="B143" s="1057"/>
      <c r="C143" s="429" t="s">
        <v>927</v>
      </c>
      <c r="D143" s="430">
        <f t="shared" si="15"/>
        <v>1.383289</v>
      </c>
      <c r="E143" s="430">
        <v>1.383289</v>
      </c>
      <c r="F143" s="348">
        <v>383.94599999999997</v>
      </c>
      <c r="G143" s="432">
        <f t="shared" si="16"/>
        <v>0.15194299209138842</v>
      </c>
      <c r="H143" s="363">
        <f t="shared" si="17"/>
        <v>1</v>
      </c>
      <c r="I143" s="349">
        <v>1.0183333333333333</v>
      </c>
      <c r="J143" s="414">
        <f>I143*'[5]%Non-FF'!$AJ$3/1000</f>
        <v>1.5275000000000127E-5</v>
      </c>
      <c r="K143" s="434">
        <f t="shared" si="18"/>
        <v>0.15192771709138841</v>
      </c>
      <c r="L143" s="423">
        <f>K143*'[5]FR SO Table'!$D$30</f>
        <v>0.15192771709138841</v>
      </c>
      <c r="M143" s="429">
        <v>8</v>
      </c>
      <c r="N143" s="423">
        <f t="shared" si="10"/>
        <v>1.2154217367311073</v>
      </c>
      <c r="O143" s="423">
        <f>N143*'[5]FR SO Table'!$D$30</f>
        <v>1.2154217367311073</v>
      </c>
      <c r="P143" s="415">
        <f t="shared" si="19"/>
        <v>73.873333158516701</v>
      </c>
      <c r="Q143" s="417">
        <f>G143*M143*'[5]FR SO Table'!$D$30*$F$156</f>
        <v>73.880760474516705</v>
      </c>
      <c r="R143" s="436" t="s">
        <v>843</v>
      </c>
      <c r="S143" s="400">
        <f>E143*VLOOKUP(R143,'[5]FR SO Table'!$A$35:$B$42,2,FALSE)</f>
        <v>217.45303079999999</v>
      </c>
      <c r="T143" s="400">
        <f t="shared" si="14"/>
        <v>1739.5976736396362</v>
      </c>
    </row>
    <row r="144" spans="1:20" s="424" customFormat="1" x14ac:dyDescent="0.3">
      <c r="A144" s="1055"/>
      <c r="B144" s="1057"/>
      <c r="C144" s="429" t="s">
        <v>928</v>
      </c>
      <c r="D144" s="430">
        <f t="shared" si="15"/>
        <v>13.832890000000001</v>
      </c>
      <c r="E144" s="430">
        <v>13.832890000000001</v>
      </c>
      <c r="F144" s="348">
        <v>777.45</v>
      </c>
      <c r="G144" s="432">
        <f t="shared" si="16"/>
        <v>1.5194299209138842</v>
      </c>
      <c r="H144" s="363">
        <f t="shared" si="17"/>
        <v>1</v>
      </c>
      <c r="I144" s="349">
        <v>130.44149999999999</v>
      </c>
      <c r="J144" s="414">
        <f>I144*'[5]%Non-FF'!$AO$3/1000</f>
        <v>5.0872185000000042E-3</v>
      </c>
      <c r="K144" s="434">
        <f t="shared" si="18"/>
        <v>1.5143427024138842</v>
      </c>
      <c r="L144" s="423">
        <f>K144*'[5]FR SO Table'!$D$30</f>
        <v>1.5143427024138842</v>
      </c>
      <c r="M144" s="429">
        <v>2</v>
      </c>
      <c r="N144" s="423">
        <f t="shared" si="10"/>
        <v>3.0286854048277685</v>
      </c>
      <c r="O144" s="423">
        <f>N144*'[5]FR SO Table'!$D$30</f>
        <v>3.0286854048277685</v>
      </c>
      <c r="P144" s="415">
        <f t="shared" si="19"/>
        <v>184.08349890543178</v>
      </c>
      <c r="Q144" s="417">
        <f>G144*M144*'[5]FR SO Table'!$D$30*$F$156</f>
        <v>184.70190118629176</v>
      </c>
      <c r="R144" s="436" t="s">
        <v>843</v>
      </c>
      <c r="S144" s="400">
        <f>E144*VLOOKUP(R144,'[5]FR SO Table'!$A$35:$B$42,2,FALSE)</f>
        <v>2174.5303079999999</v>
      </c>
      <c r="T144" s="400">
        <f t="shared" si="14"/>
        <v>4326.9359943766631</v>
      </c>
    </row>
    <row r="145" spans="1:20" s="424" customFormat="1" x14ac:dyDescent="0.3">
      <c r="A145" s="1055"/>
      <c r="B145" s="1057"/>
      <c r="C145" s="429" t="s">
        <v>970</v>
      </c>
      <c r="D145" s="430">
        <f t="shared" si="15"/>
        <v>2.3816628000000004</v>
      </c>
      <c r="E145" s="430">
        <v>2.3816628000000004</v>
      </c>
      <c r="F145" s="348">
        <v>3506.0714285714284</v>
      </c>
      <c r="G145" s="432">
        <f t="shared" si="16"/>
        <v>0.26160619507908617</v>
      </c>
      <c r="H145" s="363">
        <f t="shared" si="17"/>
        <v>1</v>
      </c>
      <c r="I145" s="349">
        <v>81</v>
      </c>
      <c r="J145" s="414">
        <f>I145*'[5]%Non-FF'!$AI$3/1000</f>
        <v>9.7200000000000986E-4</v>
      </c>
      <c r="K145" s="434">
        <f t="shared" si="18"/>
        <v>0.26063419507908614</v>
      </c>
      <c r="L145" s="423">
        <f>K145*'[5]FR SO Table'!$D$30</f>
        <v>0.26063419507908614</v>
      </c>
      <c r="M145" s="429">
        <v>10</v>
      </c>
      <c r="N145" s="423">
        <f t="shared" si="10"/>
        <v>2.6063419507908616</v>
      </c>
      <c r="O145" s="423">
        <f>N145*'[5]FR SO Table'!$D$30</f>
        <v>2.6063419507908616</v>
      </c>
      <c r="P145" s="415">
        <f t="shared" si="19"/>
        <v>158.41346376906858</v>
      </c>
      <c r="Q145" s="417">
        <f>G145*M145*'[5]FR SO Table'!$D$30*$F$156</f>
        <v>159.00424536906857</v>
      </c>
      <c r="R145" s="436" t="s">
        <v>843</v>
      </c>
      <c r="S145" s="400">
        <f>E145*VLOOKUP(R145,'[5]FR SO Table'!$A$35:$B$42,2,FALSE)</f>
        <v>374.39739216000004</v>
      </c>
      <c r="T145" s="400">
        <f t="shared" si="14"/>
        <v>3740.334778948205</v>
      </c>
    </row>
    <row r="146" spans="1:20" s="424" customFormat="1" x14ac:dyDescent="0.3">
      <c r="A146" s="1056"/>
      <c r="B146" s="1058"/>
      <c r="C146" s="419" t="s">
        <v>971</v>
      </c>
      <c r="D146" s="430">
        <f t="shared" si="15"/>
        <v>38.15953064</v>
      </c>
      <c r="E146" s="420">
        <v>38.15953064</v>
      </c>
      <c r="F146" s="353">
        <v>24000</v>
      </c>
      <c r="G146" s="432">
        <f t="shared" si="16"/>
        <v>4.1915125922671352</v>
      </c>
      <c r="H146" s="363">
        <f t="shared" si="17"/>
        <v>1</v>
      </c>
      <c r="I146" s="437">
        <v>2595.6</v>
      </c>
      <c r="J146" s="414">
        <f>I146*'[5]%Non-FF'!$AL$3/1000</f>
        <v>5.1912000000000333E-2</v>
      </c>
      <c r="K146" s="434">
        <f t="shared" si="18"/>
        <v>4.1396005922671346</v>
      </c>
      <c r="L146" s="423">
        <f>K146*'[5]FR SO Table'!$D$30</f>
        <v>4.1396005922671346</v>
      </c>
      <c r="M146" s="419">
        <v>6</v>
      </c>
      <c r="N146" s="423">
        <f t="shared" si="10"/>
        <v>24.837603553602808</v>
      </c>
      <c r="O146" s="423">
        <f>N146*'[5]FR SO Table'!$D$30</f>
        <v>24.837603553602808</v>
      </c>
      <c r="P146" s="415">
        <f t="shared" si="19"/>
        <v>1509.6295439879786</v>
      </c>
      <c r="Q146" s="417">
        <f>G146*M146*'[5]FR SO Table'!$D$30*$F$156</f>
        <v>1528.560812147979</v>
      </c>
      <c r="R146" s="436" t="s">
        <v>843</v>
      </c>
      <c r="S146" s="400">
        <f>E146*VLOOKUP(R146,'[5]FR SO Table'!$A$35:$B$42,2,FALSE)</f>
        <v>5998.6782166079993</v>
      </c>
      <c r="T146" s="400">
        <f t="shared" si="14"/>
        <v>34123.648998164652</v>
      </c>
    </row>
    <row r="147" spans="1:20" s="424" customFormat="1" x14ac:dyDescent="0.3">
      <c r="A147" s="990" t="s">
        <v>931</v>
      </c>
      <c r="B147" s="991" t="s">
        <v>808</v>
      </c>
      <c r="C147" s="429" t="s">
        <v>932</v>
      </c>
      <c r="D147" s="430" t="s">
        <v>695</v>
      </c>
      <c r="E147" s="430" t="s">
        <v>695</v>
      </c>
      <c r="F147" s="348" t="s">
        <v>695</v>
      </c>
      <c r="G147" s="432" t="s">
        <v>921</v>
      </c>
      <c r="H147" s="363" t="s">
        <v>695</v>
      </c>
      <c r="I147" s="366"/>
      <c r="J147" s="433"/>
      <c r="K147" s="434" t="str">
        <f>G147</f>
        <v>Custom Input from Tool</v>
      </c>
      <c r="L147" s="423" t="e">
        <f>K147*'[5]FR SO Table'!$D$28</f>
        <v>#VALUE!</v>
      </c>
      <c r="M147" s="429">
        <v>1</v>
      </c>
      <c r="N147" s="423" t="e">
        <f t="shared" si="10"/>
        <v>#VALUE!</v>
      </c>
      <c r="O147" s="423" t="e">
        <f>N147*'[5]FR SO Table'!$D$28</f>
        <v>#VALUE!</v>
      </c>
      <c r="P147" s="438" t="e">
        <f>O147*F156</f>
        <v>#VALUE!</v>
      </c>
      <c r="Q147" s="435" t="e">
        <f>G147*M147*'[5]FR SO Table'!$D$28*F156</f>
        <v>#VALUE!</v>
      </c>
      <c r="R147" s="436" t="s">
        <v>695</v>
      </c>
      <c r="S147" s="439" t="e">
        <f>E147*VLOOKUP(R147,'[5]FR SO Table'!$A$35:$B$42,2,FALSE)</f>
        <v>#VALUE!</v>
      </c>
      <c r="T147" s="439" t="e">
        <f t="shared" si="14"/>
        <v>#VALUE!</v>
      </c>
    </row>
    <row r="148" spans="1:20" x14ac:dyDescent="0.3">
      <c r="A148" t="s">
        <v>938</v>
      </c>
      <c r="B148" s="440"/>
      <c r="G148" s="441"/>
      <c r="H148" s="371"/>
      <c r="I148" s="372"/>
      <c r="J148" s="47"/>
      <c r="K148" s="47"/>
      <c r="L148" s="47"/>
      <c r="N148" s="47"/>
      <c r="O148" s="47"/>
      <c r="P148" s="373"/>
      <c r="Q148" s="342"/>
      <c r="R148" s="342"/>
    </row>
    <row r="149" spans="1:20" x14ac:dyDescent="0.3">
      <c r="A149" t="s">
        <v>939</v>
      </c>
      <c r="G149" s="441"/>
      <c r="P149" s="373"/>
    </row>
    <row r="150" spans="1:20" x14ac:dyDescent="0.3">
      <c r="A150" t="s">
        <v>940</v>
      </c>
      <c r="G150" s="441"/>
      <c r="P150" s="373"/>
    </row>
    <row r="151" spans="1:20" x14ac:dyDescent="0.3">
      <c r="A151" t="s">
        <v>941</v>
      </c>
      <c r="G151" s="441"/>
      <c r="P151" s="373"/>
    </row>
    <row r="152" spans="1:20" x14ac:dyDescent="0.3">
      <c r="A152" t="s">
        <v>942</v>
      </c>
      <c r="G152" s="441"/>
      <c r="P152" s="373"/>
    </row>
    <row r="153" spans="1:20" x14ac:dyDescent="0.3">
      <c r="I153" s="442"/>
      <c r="J153" s="442"/>
    </row>
    <row r="154" spans="1:20" x14ac:dyDescent="0.3">
      <c r="I154" s="443"/>
      <c r="J154" s="444"/>
    </row>
    <row r="155" spans="1:20" x14ac:dyDescent="0.3">
      <c r="B155" s="1059" t="s">
        <v>943</v>
      </c>
      <c r="C155" s="1059"/>
      <c r="F155" s="410" t="s">
        <v>944</v>
      </c>
      <c r="G155" s="410" t="s">
        <v>945</v>
      </c>
      <c r="I155" s="443"/>
      <c r="J155" s="445"/>
    </row>
    <row r="156" spans="1:20" x14ac:dyDescent="0.3">
      <c r="B156" s="446"/>
      <c r="C156" s="410" t="s">
        <v>946</v>
      </c>
      <c r="F156" s="447">
        <v>60.78</v>
      </c>
      <c r="G156" s="379">
        <v>9.1039999999999992</v>
      </c>
      <c r="I156" s="443"/>
      <c r="J156" s="445"/>
    </row>
    <row r="157" spans="1:20" x14ac:dyDescent="0.3">
      <c r="B157" s="448"/>
      <c r="C157" s="410" t="s">
        <v>947</v>
      </c>
    </row>
    <row r="158" spans="1:20" x14ac:dyDescent="0.3">
      <c r="G158" s="424"/>
      <c r="I158" s="449"/>
      <c r="J158" s="450"/>
    </row>
    <row r="159" spans="1:20" x14ac:dyDescent="0.3">
      <c r="I159" s="450"/>
    </row>
    <row r="162" spans="9:11" x14ac:dyDescent="0.3">
      <c r="K162" s="383"/>
    </row>
    <row r="163" spans="9:11" x14ac:dyDescent="0.3">
      <c r="I163" s="450"/>
      <c r="K163" s="450"/>
    </row>
    <row r="164" spans="9:11" x14ac:dyDescent="0.3">
      <c r="K164" s="384"/>
    </row>
    <row r="165" spans="9:11" x14ac:dyDescent="0.3">
      <c r="I165" s="450"/>
      <c r="J165" s="384"/>
    </row>
    <row r="166" spans="9:11" x14ac:dyDescent="0.3">
      <c r="I166" s="450"/>
      <c r="J166" s="450"/>
    </row>
    <row r="167" spans="9:11" x14ac:dyDescent="0.3">
      <c r="I167" s="451"/>
    </row>
    <row r="168" spans="9:11" x14ac:dyDescent="0.3">
      <c r="I168" s="452"/>
    </row>
    <row r="170" spans="9:11" x14ac:dyDescent="0.3">
      <c r="I170" s="453"/>
    </row>
    <row r="171" spans="9:11" x14ac:dyDescent="0.3">
      <c r="I171" s="453"/>
    </row>
    <row r="172" spans="9:11" x14ac:dyDescent="0.3">
      <c r="I172" s="453"/>
      <c r="J172" s="388"/>
    </row>
    <row r="175" spans="9:11" x14ac:dyDescent="0.3">
      <c r="I175" s="389"/>
    </row>
    <row r="176" spans="9:11" x14ac:dyDescent="0.3">
      <c r="I176" s="389"/>
    </row>
    <row r="177" spans="9:9" x14ac:dyDescent="0.3">
      <c r="I177" s="389"/>
    </row>
    <row r="178" spans="9:9" x14ac:dyDescent="0.3">
      <c r="I178" s="454"/>
    </row>
    <row r="179" spans="9:9" x14ac:dyDescent="0.3">
      <c r="I179" s="389"/>
    </row>
    <row r="181" spans="9:9" x14ac:dyDescent="0.3">
      <c r="I181" s="388"/>
    </row>
    <row r="183" spans="9:9" x14ac:dyDescent="0.3">
      <c r="I183" s="389"/>
    </row>
    <row r="184" spans="9:9" x14ac:dyDescent="0.3">
      <c r="I184" s="389"/>
    </row>
  </sheetData>
  <mergeCells count="46">
    <mergeCell ref="A9:A14"/>
    <mergeCell ref="B9:B14"/>
    <mergeCell ref="E1:H1"/>
    <mergeCell ref="I1:J1"/>
    <mergeCell ref="K1:Q1"/>
    <mergeCell ref="A3:A8"/>
    <mergeCell ref="B3:B8"/>
    <mergeCell ref="A15:A20"/>
    <mergeCell ref="B15:B20"/>
    <mergeCell ref="A21:A26"/>
    <mergeCell ref="B21:B26"/>
    <mergeCell ref="A27:A32"/>
    <mergeCell ref="B27:B32"/>
    <mergeCell ref="A33:A38"/>
    <mergeCell ref="B33:B38"/>
    <mergeCell ref="A39:A44"/>
    <mergeCell ref="B39:B44"/>
    <mergeCell ref="A45:A50"/>
    <mergeCell ref="B45:B50"/>
    <mergeCell ref="A82:A85"/>
    <mergeCell ref="A51:A56"/>
    <mergeCell ref="B51:B56"/>
    <mergeCell ref="A57:A60"/>
    <mergeCell ref="B57:B60"/>
    <mergeCell ref="A61:A64"/>
    <mergeCell ref="B61:B64"/>
    <mergeCell ref="A65:A68"/>
    <mergeCell ref="B65:B68"/>
    <mergeCell ref="A69:A72"/>
    <mergeCell ref="B69:B72"/>
    <mergeCell ref="A78:A80"/>
    <mergeCell ref="A86:A87"/>
    <mergeCell ref="B86:B87"/>
    <mergeCell ref="A89:A106"/>
    <mergeCell ref="B89:B106"/>
    <mergeCell ref="A107:A108"/>
    <mergeCell ref="B107:B108"/>
    <mergeCell ref="A141:A146"/>
    <mergeCell ref="B141:B146"/>
    <mergeCell ref="B155:C155"/>
    <mergeCell ref="A109:A110"/>
    <mergeCell ref="B109:B110"/>
    <mergeCell ref="A111:A136"/>
    <mergeCell ref="B111:B136"/>
    <mergeCell ref="A139:A140"/>
    <mergeCell ref="B139:B140"/>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FD5-FF52-453C-B39B-7BE9921046F7}">
  <sheetPr>
    <tabColor rgb="FFFF0000"/>
  </sheetPr>
  <dimension ref="A1:W148"/>
  <sheetViews>
    <sheetView zoomScale="80" zoomScaleNormal="80" workbookViewId="0">
      <pane ySplit="1" topLeftCell="A83" activePane="bottomLeft" state="frozen"/>
      <selection pane="bottomLeft" activeCell="J3" sqref="J3"/>
    </sheetView>
  </sheetViews>
  <sheetFormatPr defaultColWidth="19" defaultRowHeight="13.2" x14ac:dyDescent="0.25"/>
  <cols>
    <col min="1" max="1" width="24.6640625" style="317" customWidth="1"/>
    <col min="2" max="2" width="19" style="317" customWidth="1"/>
    <col min="3" max="3" width="32.33203125" style="317" customWidth="1"/>
    <col min="4" max="6" width="19" style="317" customWidth="1"/>
    <col min="7" max="7" width="21.88671875" style="317" customWidth="1"/>
    <col min="8" max="17" width="19" style="317" customWidth="1"/>
    <col min="18" max="18" width="21.6640625" style="317" bestFit="1" customWidth="1"/>
    <col min="19" max="16384" width="19" style="317"/>
  </cols>
  <sheetData>
    <row r="1" spans="1:22" ht="13.2" customHeight="1" x14ac:dyDescent="0.25">
      <c r="D1" s="318" t="s">
        <v>786</v>
      </c>
      <c r="E1" s="1051" t="s">
        <v>787</v>
      </c>
      <c r="F1" s="1051"/>
      <c r="G1" s="1051"/>
      <c r="H1" s="1051"/>
      <c r="I1" s="1086" t="s">
        <v>788</v>
      </c>
      <c r="J1" s="1087"/>
      <c r="K1" s="1088" t="s">
        <v>789</v>
      </c>
      <c r="L1" s="1089"/>
      <c r="M1" s="1089"/>
      <c r="N1" s="1089"/>
      <c r="O1" s="1089"/>
      <c r="P1" s="1089"/>
      <c r="Q1" s="1090"/>
      <c r="R1" s="319"/>
    </row>
    <row r="2" spans="1:22" ht="57.75" customHeight="1" x14ac:dyDescent="0.25">
      <c r="A2" s="320" t="s">
        <v>790</v>
      </c>
      <c r="B2" s="320" t="s">
        <v>791</v>
      </c>
      <c r="C2" s="320" t="s">
        <v>61</v>
      </c>
      <c r="D2" s="318" t="s">
        <v>737</v>
      </c>
      <c r="E2" s="321" t="s">
        <v>793</v>
      </c>
      <c r="F2" s="321" t="s">
        <v>794</v>
      </c>
      <c r="G2" s="321" t="s">
        <v>795</v>
      </c>
      <c r="H2" s="321" t="s">
        <v>796</v>
      </c>
      <c r="I2" s="322" t="s">
        <v>797</v>
      </c>
      <c r="J2" s="322" t="s">
        <v>798</v>
      </c>
      <c r="K2" s="323" t="s">
        <v>799</v>
      </c>
      <c r="L2" s="324" t="s">
        <v>800</v>
      </c>
      <c r="M2" s="325" t="s">
        <v>801</v>
      </c>
      <c r="N2" s="325" t="s">
        <v>740</v>
      </c>
      <c r="O2" s="326" t="s">
        <v>802</v>
      </c>
      <c r="P2" s="327" t="s">
        <v>803</v>
      </c>
      <c r="Q2" s="327" t="s">
        <v>804</v>
      </c>
      <c r="R2" s="328"/>
    </row>
    <row r="3" spans="1:22" ht="14.4" x14ac:dyDescent="0.3">
      <c r="A3" s="1048" t="s">
        <v>741</v>
      </c>
      <c r="B3" s="1083" t="s">
        <v>808</v>
      </c>
      <c r="C3" s="329" t="s">
        <v>948</v>
      </c>
      <c r="D3" s="330">
        <v>82.8</v>
      </c>
      <c r="E3" s="331">
        <v>20.710808797885711</v>
      </c>
      <c r="F3" s="332">
        <v>3494.932571428571</v>
      </c>
      <c r="G3" s="333">
        <f t="shared" ref="G3:G66" si="0">E3/$G$120</f>
        <v>2.2479983499278968</v>
      </c>
      <c r="H3" s="334">
        <f t="shared" ref="H3:H31" si="1">E3/D3</f>
        <v>0.25013054103726706</v>
      </c>
      <c r="I3" s="335">
        <v>2408.2335811495018</v>
      </c>
      <c r="J3" s="336">
        <v>0.79471708177933542</v>
      </c>
      <c r="K3" s="336">
        <v>1.4532812681485614</v>
      </c>
      <c r="L3" s="336">
        <v>1.2788875159707342</v>
      </c>
      <c r="M3" s="329">
        <v>15</v>
      </c>
      <c r="N3" s="336">
        <v>21.799219022228421</v>
      </c>
      <c r="O3" s="336">
        <v>19.183312739561014</v>
      </c>
      <c r="P3" s="337">
        <v>1324.9565321710434</v>
      </c>
      <c r="Q3" s="338">
        <v>1803.5600841537521</v>
      </c>
      <c r="R3" s="339"/>
    </row>
    <row r="4" spans="1:22" ht="14.4" x14ac:dyDescent="0.3">
      <c r="A4" s="1049"/>
      <c r="B4" s="1084"/>
      <c r="C4" s="329" t="s">
        <v>949</v>
      </c>
      <c r="D4" s="330">
        <v>82.8</v>
      </c>
      <c r="E4" s="331">
        <v>28.282237204235166</v>
      </c>
      <c r="F4" s="332">
        <v>3991.6851800554014</v>
      </c>
      <c r="G4" s="333">
        <f t="shared" si="0"/>
        <v>3.0698184309383665</v>
      </c>
      <c r="H4" s="334">
        <f t="shared" si="1"/>
        <v>0.34157291309462762</v>
      </c>
      <c r="I4" s="335">
        <v>3288.6322330506009</v>
      </c>
      <c r="J4" s="336">
        <v>1.0852486369066983</v>
      </c>
      <c r="K4" s="336">
        <v>1.9845697940316682</v>
      </c>
      <c r="L4" s="336">
        <v>1.7464214187478682</v>
      </c>
      <c r="M4" s="329">
        <v>15</v>
      </c>
      <c r="N4" s="336">
        <v>29.768546910475024</v>
      </c>
      <c r="O4" s="336">
        <v>26.196321281218026</v>
      </c>
      <c r="P4" s="337">
        <v>1809.3322812186721</v>
      </c>
      <c r="Q4" s="338">
        <v>2462.9030478681275</v>
      </c>
      <c r="S4" s="340"/>
      <c r="T4" s="340"/>
      <c r="U4" s="340"/>
      <c r="V4" s="340"/>
    </row>
    <row r="5" spans="1:22" ht="14.4" x14ac:dyDescent="0.3">
      <c r="A5" s="1049"/>
      <c r="B5" s="1084"/>
      <c r="C5" s="329" t="s">
        <v>950</v>
      </c>
      <c r="D5" s="330">
        <v>82.8</v>
      </c>
      <c r="E5" s="331">
        <v>35.123496813461543</v>
      </c>
      <c r="F5" s="332">
        <v>3754.1466666666665</v>
      </c>
      <c r="G5" s="333">
        <f t="shared" si="0"/>
        <v>3.8123843279563165</v>
      </c>
      <c r="H5" s="334">
        <f t="shared" si="1"/>
        <v>0.4241968214186177</v>
      </c>
      <c r="I5" s="335">
        <v>4084.1275364490166</v>
      </c>
      <c r="J5" s="336">
        <v>1.3477620870281752</v>
      </c>
      <c r="K5" s="336">
        <v>2.4646222409281413</v>
      </c>
      <c r="L5" s="336">
        <v>2.1688675720167647</v>
      </c>
      <c r="M5" s="329">
        <v>15</v>
      </c>
      <c r="N5" s="336">
        <v>36.969333613922117</v>
      </c>
      <c r="O5" s="336">
        <v>32.53301358025147</v>
      </c>
      <c r="P5" s="337">
        <v>2246.9960970541865</v>
      </c>
      <c r="Q5" s="338">
        <v>3058.6606967820412</v>
      </c>
      <c r="S5" s="340"/>
      <c r="T5" s="340"/>
      <c r="U5" s="340"/>
      <c r="V5" s="340"/>
    </row>
    <row r="6" spans="1:22" ht="14.4" x14ac:dyDescent="0.3">
      <c r="A6" s="1049"/>
      <c r="B6" s="1084"/>
      <c r="C6" s="329" t="s">
        <v>951</v>
      </c>
      <c r="D6" s="330">
        <v>82.8</v>
      </c>
      <c r="E6" s="331">
        <v>49.55582941120322</v>
      </c>
      <c r="F6" s="332">
        <v>4342.6274193548397</v>
      </c>
      <c r="G6" s="333">
        <f t="shared" si="0"/>
        <v>5.3789025736679932</v>
      </c>
      <c r="H6" s="334">
        <f t="shared" si="1"/>
        <v>0.59850035520776834</v>
      </c>
      <c r="I6" s="335">
        <v>5762.3057454887476</v>
      </c>
      <c r="J6" s="336">
        <v>1.9015608960112866</v>
      </c>
      <c r="K6" s="336">
        <v>3.4773416776567068</v>
      </c>
      <c r="L6" s="336">
        <v>3.0600606763379026</v>
      </c>
      <c r="M6" s="329">
        <v>15</v>
      </c>
      <c r="N6" s="336">
        <v>52.160125164850598</v>
      </c>
      <c r="O6" s="336">
        <v>45.900910145068529</v>
      </c>
      <c r="P6" s="337">
        <v>3170.2924075196192</v>
      </c>
      <c r="Q6" s="338">
        <v>4315.4720192435361</v>
      </c>
      <c r="S6" s="340"/>
      <c r="T6" s="340"/>
      <c r="U6" s="340"/>
      <c r="V6" s="340"/>
    </row>
    <row r="7" spans="1:22" ht="14.4" x14ac:dyDescent="0.3">
      <c r="A7" s="1049"/>
      <c r="B7" s="1084"/>
      <c r="C7" s="329" t="s">
        <v>952</v>
      </c>
      <c r="D7" s="330">
        <v>82.8</v>
      </c>
      <c r="E7" s="331">
        <v>65.030340962812474</v>
      </c>
      <c r="F7" s="332">
        <v>5036.2559999999994</v>
      </c>
      <c r="G7" s="333">
        <f t="shared" si="0"/>
        <v>7.0585412963000627</v>
      </c>
      <c r="H7" s="334">
        <f t="shared" si="1"/>
        <v>0.7853905913383149</v>
      </c>
      <c r="I7" s="335">
        <v>7561.6675538154041</v>
      </c>
      <c r="J7" s="336">
        <v>2.4953502927590829</v>
      </c>
      <c r="K7" s="336">
        <v>4.5631910035409797</v>
      </c>
      <c r="L7" s="336">
        <v>4.0156080831160628</v>
      </c>
      <c r="M7" s="329">
        <v>15</v>
      </c>
      <c r="N7" s="336">
        <v>68.447865053114697</v>
      </c>
      <c r="O7" s="336">
        <v>60.234121246740941</v>
      </c>
      <c r="P7" s="337">
        <v>4160.2612379283109</v>
      </c>
      <c r="Q7" s="338">
        <v>5663.0394478563558</v>
      </c>
      <c r="S7" s="340"/>
      <c r="T7" s="340"/>
      <c r="U7" s="340"/>
      <c r="V7" s="340"/>
    </row>
    <row r="8" spans="1:22" ht="14.4" x14ac:dyDescent="0.3">
      <c r="A8" s="1049"/>
      <c r="B8" s="1084"/>
      <c r="C8" s="329" t="s">
        <v>953</v>
      </c>
      <c r="D8" s="330">
        <v>82.8</v>
      </c>
      <c r="E8" s="331">
        <v>45.961548274237771</v>
      </c>
      <c r="F8" s="332">
        <v>5481.4246666666677</v>
      </c>
      <c r="G8" s="333">
        <f t="shared" si="0"/>
        <v>4.9887711141037423</v>
      </c>
      <c r="H8" s="334">
        <f t="shared" si="1"/>
        <v>0.55509116273234027</v>
      </c>
      <c r="I8" s="335">
        <v>5344.3660783997411</v>
      </c>
      <c r="J8" s="336">
        <v>1.7636408058719144</v>
      </c>
      <c r="K8" s="336">
        <v>3.2251303082318277</v>
      </c>
      <c r="L8" s="336">
        <v>2.8381146712440088</v>
      </c>
      <c r="M8" s="329">
        <v>15</v>
      </c>
      <c r="N8" s="336">
        <v>48.376954623477417</v>
      </c>
      <c r="O8" s="336">
        <v>42.571720068660134</v>
      </c>
      <c r="P8" s="337">
        <v>2587.5091457731628</v>
      </c>
      <c r="Q8" s="338">
        <v>4002.471109760977</v>
      </c>
      <c r="R8" s="341"/>
    </row>
    <row r="9" spans="1:22" ht="14.4" x14ac:dyDescent="0.3">
      <c r="A9" s="1048" t="s">
        <v>742</v>
      </c>
      <c r="B9" s="1083" t="s">
        <v>808</v>
      </c>
      <c r="C9" s="329" t="s">
        <v>948</v>
      </c>
      <c r="D9" s="330">
        <v>82.8</v>
      </c>
      <c r="E9" s="331">
        <v>15.936967369973054</v>
      </c>
      <c r="F9" s="332">
        <v>3494.932571428571</v>
      </c>
      <c r="G9" s="333">
        <f t="shared" si="0"/>
        <v>1.7298347302695165</v>
      </c>
      <c r="H9" s="334">
        <f t="shared" si="1"/>
        <v>0.19247545132817698</v>
      </c>
      <c r="I9" s="335">
        <v>1853.1357406945415</v>
      </c>
      <c r="J9" s="336">
        <v>0.61153479442919867</v>
      </c>
      <c r="K9" s="336">
        <v>1.1182999358403178</v>
      </c>
      <c r="L9" s="336">
        <v>0.98410394353947983</v>
      </c>
      <c r="M9" s="329">
        <v>15</v>
      </c>
      <c r="N9" s="336">
        <v>16.774499037604766</v>
      </c>
      <c r="O9" s="336">
        <v>14.761559153092197</v>
      </c>
      <c r="P9" s="337">
        <v>897.20756532494374</v>
      </c>
      <c r="Q9" s="338">
        <v>1387.8394847563122</v>
      </c>
      <c r="R9" s="342"/>
    </row>
    <row r="10" spans="1:22" ht="14.4" x14ac:dyDescent="0.3">
      <c r="A10" s="1049"/>
      <c r="B10" s="1084"/>
      <c r="C10" s="329" t="s">
        <v>949</v>
      </c>
      <c r="D10" s="330">
        <v>82.8</v>
      </c>
      <c r="E10" s="331">
        <v>21.763181528658961</v>
      </c>
      <c r="F10" s="332">
        <v>3991.6851800554014</v>
      </c>
      <c r="G10" s="333">
        <f t="shared" si="0"/>
        <v>2.3622252826070729</v>
      </c>
      <c r="H10" s="334">
        <f t="shared" si="1"/>
        <v>0.26284035662631594</v>
      </c>
      <c r="I10" s="335">
        <v>2530.6025033324377</v>
      </c>
      <c r="J10" s="336">
        <v>0.83509882609970432</v>
      </c>
      <c r="K10" s="336">
        <v>1.5271264565073686</v>
      </c>
      <c r="L10" s="336">
        <v>1.3438712817264844</v>
      </c>
      <c r="M10" s="329">
        <v>15</v>
      </c>
      <c r="N10" s="336">
        <v>22.906896847610529</v>
      </c>
      <c r="O10" s="336">
        <v>20.158069225897268</v>
      </c>
      <c r="P10" s="337">
        <v>1225.207447550036</v>
      </c>
      <c r="Q10" s="338">
        <v>1895.2038953345245</v>
      </c>
      <c r="R10" s="342"/>
    </row>
    <row r="11" spans="1:22" ht="14.4" x14ac:dyDescent="0.3">
      <c r="A11" s="1049"/>
      <c r="B11" s="1084"/>
      <c r="C11" s="329" t="s">
        <v>950</v>
      </c>
      <c r="D11" s="330">
        <v>82.8</v>
      </c>
      <c r="E11" s="331">
        <v>27.027530797958661</v>
      </c>
      <c r="F11" s="332">
        <v>3754.1466666666665</v>
      </c>
      <c r="G11" s="333">
        <f t="shared" si="0"/>
        <v>2.9336297403623863</v>
      </c>
      <c r="H11" s="334">
        <f t="shared" si="1"/>
        <v>0.32641945408162637</v>
      </c>
      <c r="I11" s="335">
        <v>3142.7361392975181</v>
      </c>
      <c r="J11" s="336">
        <v>1.037102925968181</v>
      </c>
      <c r="K11" s="336">
        <v>1.8965268143942053</v>
      </c>
      <c r="L11" s="336">
        <v>1.6689435966669008</v>
      </c>
      <c r="M11" s="329">
        <v>15</v>
      </c>
      <c r="N11" s="336">
        <v>28.447902215913079</v>
      </c>
      <c r="O11" s="336">
        <v>25.034153950003514</v>
      </c>
      <c r="P11" s="337">
        <v>1521.5758770812135</v>
      </c>
      <c r="Q11" s="338">
        <v>2353.6394061737815</v>
      </c>
      <c r="R11" s="342"/>
    </row>
    <row r="12" spans="1:22" ht="14.4" x14ac:dyDescent="0.3">
      <c r="A12" s="1049"/>
      <c r="B12" s="1084"/>
      <c r="C12" s="329" t="s">
        <v>951</v>
      </c>
      <c r="D12" s="330">
        <v>82.8</v>
      </c>
      <c r="E12" s="331">
        <v>38.133210731920876</v>
      </c>
      <c r="F12" s="332">
        <v>4342.6274193548397</v>
      </c>
      <c r="G12" s="333">
        <f t="shared" si="0"/>
        <v>4.139065530437521</v>
      </c>
      <c r="H12" s="334">
        <f t="shared" si="1"/>
        <v>0.46054602333237776</v>
      </c>
      <c r="I12" s="335">
        <v>4434.0942711535909</v>
      </c>
      <c r="J12" s="336">
        <v>1.4632511094806848</v>
      </c>
      <c r="K12" s="336">
        <v>2.6758144209568364</v>
      </c>
      <c r="L12" s="336">
        <v>2.3547166904420163</v>
      </c>
      <c r="M12" s="329">
        <v>15</v>
      </c>
      <c r="N12" s="336">
        <v>40.137216314352543</v>
      </c>
      <c r="O12" s="336">
        <v>35.320750356630242</v>
      </c>
      <c r="P12" s="337">
        <v>2146.7952066759863</v>
      </c>
      <c r="Q12" s="338">
        <v>3320.7557188079022</v>
      </c>
      <c r="R12" s="342"/>
    </row>
    <row r="13" spans="1:22" ht="14.4" x14ac:dyDescent="0.3">
      <c r="A13" s="1049"/>
      <c r="B13" s="1084"/>
      <c r="C13" s="329" t="s">
        <v>952</v>
      </c>
      <c r="D13" s="330">
        <v>82.8</v>
      </c>
      <c r="E13" s="331">
        <v>50.040847370884201</v>
      </c>
      <c r="F13" s="332">
        <v>5036.2559999999994</v>
      </c>
      <c r="G13" s="333">
        <f t="shared" si="0"/>
        <v>5.4315475275028984</v>
      </c>
      <c r="H13" s="334">
        <f t="shared" si="1"/>
        <v>0.60435806003483339</v>
      </c>
      <c r="I13" s="335">
        <v>5818.7031826609536</v>
      </c>
      <c r="J13" s="336">
        <v>1.9201720502781146</v>
      </c>
      <c r="K13" s="336">
        <v>3.5113754772247838</v>
      </c>
      <c r="L13" s="336">
        <v>3.0900104199578102</v>
      </c>
      <c r="M13" s="329">
        <v>15</v>
      </c>
      <c r="N13" s="336">
        <v>52.67063215837176</v>
      </c>
      <c r="O13" s="336">
        <v>46.350156299367157</v>
      </c>
      <c r="P13" s="337">
        <v>2817.162499875536</v>
      </c>
      <c r="Q13" s="338">
        <v>4357.7088551254656</v>
      </c>
      <c r="R13" s="342"/>
    </row>
    <row r="14" spans="1:22" ht="14.4" x14ac:dyDescent="0.3">
      <c r="A14" s="1050"/>
      <c r="B14" s="1085"/>
      <c r="C14" s="329" t="s">
        <v>953</v>
      </c>
      <c r="D14" s="330">
        <v>82.8</v>
      </c>
      <c r="E14" s="331">
        <v>35.367411397025968</v>
      </c>
      <c r="F14" s="332">
        <v>5481.4246666666677</v>
      </c>
      <c r="G14" s="333">
        <f t="shared" si="0"/>
        <v>3.8388593723028297</v>
      </c>
      <c r="H14" s="334">
        <f t="shared" si="1"/>
        <v>0.42714264972253585</v>
      </c>
      <c r="I14" s="335">
        <v>4112.4896973286013</v>
      </c>
      <c r="J14" s="336">
        <v>1.3571216001184383</v>
      </c>
      <c r="K14" s="336">
        <v>2.4817377721843914</v>
      </c>
      <c r="L14" s="336">
        <v>2.1839292395222647</v>
      </c>
      <c r="M14" s="329">
        <v>15</v>
      </c>
      <c r="N14" s="336">
        <v>37.226066582765874</v>
      </c>
      <c r="O14" s="336">
        <v>32.758938592833971</v>
      </c>
      <c r="P14" s="337">
        <v>1991.0882876724488</v>
      </c>
      <c r="Q14" s="338">
        <v>3079.9015189610718</v>
      </c>
      <c r="R14" s="342"/>
    </row>
    <row r="15" spans="1:22" ht="14.4" x14ac:dyDescent="0.3">
      <c r="A15" s="1048" t="s">
        <v>743</v>
      </c>
      <c r="B15" s="1083" t="s">
        <v>808</v>
      </c>
      <c r="C15" s="329" t="s">
        <v>948</v>
      </c>
      <c r="D15" s="330">
        <v>82.8</v>
      </c>
      <c r="E15" s="331">
        <v>16.775755126287429</v>
      </c>
      <c r="F15" s="332">
        <v>3494.932571428571</v>
      </c>
      <c r="G15" s="333">
        <f t="shared" si="0"/>
        <v>1.8208786634415968</v>
      </c>
      <c r="H15" s="334">
        <f t="shared" si="1"/>
        <v>0.20260573824018635</v>
      </c>
      <c r="I15" s="335">
        <v>1950.6692007310967</v>
      </c>
      <c r="J15" s="336">
        <v>0.64372083624126186</v>
      </c>
      <c r="K15" s="336">
        <v>1.1771578272003349</v>
      </c>
      <c r="L15" s="336">
        <v>1.0358988879362949</v>
      </c>
      <c r="M15" s="329">
        <v>15</v>
      </c>
      <c r="N15" s="336">
        <v>17.657367408005022</v>
      </c>
      <c r="O15" s="336">
        <v>15.538483319044422</v>
      </c>
      <c r="P15" s="337">
        <v>944.42901613152003</v>
      </c>
      <c r="Q15" s="338">
        <v>1460.8836681645396</v>
      </c>
      <c r="R15" s="342"/>
    </row>
    <row r="16" spans="1:22" ht="14.4" x14ac:dyDescent="0.3">
      <c r="A16" s="1049"/>
      <c r="B16" s="1084"/>
      <c r="C16" s="329" t="s">
        <v>949</v>
      </c>
      <c r="D16" s="330">
        <v>82.8</v>
      </c>
      <c r="E16" s="331">
        <v>22.908612135430484</v>
      </c>
      <c r="F16" s="332">
        <v>3991.6851800554014</v>
      </c>
      <c r="G16" s="333">
        <f t="shared" si="0"/>
        <v>2.4865529290600765</v>
      </c>
      <c r="H16" s="334">
        <f t="shared" si="1"/>
        <v>0.27667405960664837</v>
      </c>
      <c r="I16" s="335">
        <v>2663.7921087709869</v>
      </c>
      <c r="J16" s="336">
        <v>0.8790513958944256</v>
      </c>
      <c r="K16" s="336">
        <v>1.6075015331656508</v>
      </c>
      <c r="L16" s="336">
        <v>1.414601349185773</v>
      </c>
      <c r="M16" s="329">
        <v>15</v>
      </c>
      <c r="N16" s="336">
        <v>24.112522997484763</v>
      </c>
      <c r="O16" s="336">
        <v>21.219020237786594</v>
      </c>
      <c r="P16" s="337">
        <v>1289.6920500526692</v>
      </c>
      <c r="Q16" s="338">
        <v>1994.9514687731835</v>
      </c>
      <c r="S16" s="340"/>
      <c r="T16" s="340"/>
      <c r="U16" s="340"/>
      <c r="V16" s="340"/>
    </row>
    <row r="17" spans="1:23" ht="14.4" x14ac:dyDescent="0.3">
      <c r="A17" s="1049"/>
      <c r="B17" s="1084"/>
      <c r="C17" s="329" t="s">
        <v>950</v>
      </c>
      <c r="D17" s="330">
        <v>82.8</v>
      </c>
      <c r="E17" s="331">
        <v>28.450032418903852</v>
      </c>
      <c r="F17" s="332">
        <v>3754.1466666666665</v>
      </c>
      <c r="G17" s="333">
        <f t="shared" si="0"/>
        <v>3.0880313056446167</v>
      </c>
      <c r="H17" s="334">
        <f t="shared" si="1"/>
        <v>0.34359942534908033</v>
      </c>
      <c r="I17" s="335">
        <v>3308.1433045237036</v>
      </c>
      <c r="J17" s="336">
        <v>1.0916872904928221</v>
      </c>
      <c r="K17" s="336">
        <v>1.9963440151517946</v>
      </c>
      <c r="L17" s="336">
        <v>1.7567827333335795</v>
      </c>
      <c r="M17" s="329">
        <v>15</v>
      </c>
      <c r="N17" s="336">
        <v>29.945160227276919</v>
      </c>
      <c r="O17" s="336">
        <v>26.351741000003692</v>
      </c>
      <c r="P17" s="337">
        <v>1601.6588179802245</v>
      </c>
      <c r="Q17" s="338">
        <v>2477.5151643934537</v>
      </c>
      <c r="S17" s="340"/>
      <c r="T17" s="340"/>
      <c r="U17" s="340"/>
      <c r="V17" s="340"/>
    </row>
    <row r="18" spans="1:23" ht="14.4" x14ac:dyDescent="0.3">
      <c r="A18" s="1049"/>
      <c r="B18" s="1084"/>
      <c r="C18" s="329" t="s">
        <v>951</v>
      </c>
      <c r="D18" s="330">
        <v>82.8</v>
      </c>
      <c r="E18" s="331">
        <v>40.140221823074612</v>
      </c>
      <c r="F18" s="332">
        <v>4342.6274193548397</v>
      </c>
      <c r="G18" s="333">
        <f t="shared" si="0"/>
        <v>4.3569110846710748</v>
      </c>
      <c r="H18" s="334">
        <f t="shared" si="1"/>
        <v>0.48478528771829243</v>
      </c>
      <c r="I18" s="335">
        <v>4667.4676538458862</v>
      </c>
      <c r="J18" s="336">
        <v>1.5402643257691422</v>
      </c>
      <c r="K18" s="336">
        <v>2.8166467589019328</v>
      </c>
      <c r="L18" s="336">
        <v>2.4786491478337012</v>
      </c>
      <c r="M18" s="329">
        <v>15</v>
      </c>
      <c r="N18" s="336">
        <v>42.249701383528993</v>
      </c>
      <c r="O18" s="336">
        <v>37.179737217505519</v>
      </c>
      <c r="P18" s="337">
        <v>2259.7844280799854</v>
      </c>
      <c r="Q18" s="338">
        <v>3495.5323355872656</v>
      </c>
      <c r="S18" s="340"/>
      <c r="T18" s="340"/>
      <c r="U18" s="340"/>
      <c r="V18" s="340"/>
    </row>
    <row r="19" spans="1:23" ht="14.4" x14ac:dyDescent="0.3">
      <c r="A19" s="1049"/>
      <c r="B19" s="1084"/>
      <c r="C19" s="329" t="s">
        <v>952</v>
      </c>
      <c r="D19" s="330">
        <v>82.8</v>
      </c>
      <c r="E19" s="331">
        <v>52.674576179878109</v>
      </c>
      <c r="F19" s="332">
        <v>5036.2559999999994</v>
      </c>
      <c r="G19" s="333">
        <f t="shared" si="0"/>
        <v>5.7174184500030512</v>
      </c>
      <c r="H19" s="334">
        <f t="shared" si="1"/>
        <v>0.63616637898403516</v>
      </c>
      <c r="I19" s="335">
        <v>6124.9507185904777</v>
      </c>
      <c r="J19" s="336">
        <v>2.0212337371348572</v>
      </c>
      <c r="K19" s="336">
        <v>3.6961847128681939</v>
      </c>
      <c r="L19" s="336">
        <v>3.2526425473240113</v>
      </c>
      <c r="M19" s="329">
        <v>15</v>
      </c>
      <c r="N19" s="336">
        <v>55.442770693022908</v>
      </c>
      <c r="O19" s="336">
        <v>48.789638209860165</v>
      </c>
      <c r="P19" s="337">
        <v>2965.4342103953009</v>
      </c>
      <c r="Q19" s="338">
        <v>4587.0619527636482</v>
      </c>
      <c r="S19" s="340"/>
      <c r="T19" s="340"/>
      <c r="U19" s="340"/>
      <c r="V19" s="340"/>
    </row>
    <row r="20" spans="1:23" ht="14.4" x14ac:dyDescent="0.3">
      <c r="A20" s="1049"/>
      <c r="B20" s="1084"/>
      <c r="C20" s="329" t="s">
        <v>953</v>
      </c>
      <c r="D20" s="330">
        <v>82.8</v>
      </c>
      <c r="E20" s="331">
        <v>37.228854102132594</v>
      </c>
      <c r="F20" s="332">
        <v>5481.4246666666677</v>
      </c>
      <c r="G20" s="333">
        <f t="shared" si="0"/>
        <v>4.0409046024240309</v>
      </c>
      <c r="H20" s="334">
        <f t="shared" si="1"/>
        <v>0.44962384181319559</v>
      </c>
      <c r="I20" s="335">
        <v>4328.9365235037903</v>
      </c>
      <c r="J20" s="336">
        <v>1.4285490527562505</v>
      </c>
      <c r="K20" s="336">
        <v>2.6123555496677806</v>
      </c>
      <c r="L20" s="336">
        <v>2.2988728837076473</v>
      </c>
      <c r="M20" s="329">
        <v>15</v>
      </c>
      <c r="N20" s="336">
        <v>39.185333245016707</v>
      </c>
      <c r="O20" s="336">
        <v>34.483093255614705</v>
      </c>
      <c r="P20" s="337">
        <v>2095.882408076262</v>
      </c>
      <c r="Q20" s="338">
        <v>3242.0015989063909</v>
      </c>
      <c r="R20" s="342"/>
    </row>
    <row r="21" spans="1:23" ht="14.4" x14ac:dyDescent="0.3">
      <c r="A21" s="1048" t="s">
        <v>744</v>
      </c>
      <c r="B21" s="1083" t="s">
        <v>808</v>
      </c>
      <c r="C21" s="329" t="s">
        <v>948</v>
      </c>
      <c r="D21" s="330">
        <v>82.8</v>
      </c>
      <c r="E21" s="331">
        <v>19.675268357991424</v>
      </c>
      <c r="F21" s="332">
        <v>3494.932571428571</v>
      </c>
      <c r="G21" s="333">
        <f t="shared" si="0"/>
        <v>2.1355984324315016</v>
      </c>
      <c r="H21" s="334">
        <f t="shared" si="1"/>
        <v>0.23762401398540367</v>
      </c>
      <c r="I21" s="335">
        <v>2287.8219020920264</v>
      </c>
      <c r="J21" s="336">
        <v>0.75498122769036868</v>
      </c>
      <c r="K21" s="336">
        <v>1.3806172047411329</v>
      </c>
      <c r="L21" s="336">
        <v>1.2149431401721971</v>
      </c>
      <c r="M21" s="329">
        <v>15</v>
      </c>
      <c r="N21" s="336">
        <v>20.709258071116995</v>
      </c>
      <c r="O21" s="336">
        <v>18.224147102582958</v>
      </c>
      <c r="P21" s="337">
        <v>1107.6636608949923</v>
      </c>
      <c r="Q21" s="338">
        <v>1713.3820799460643</v>
      </c>
      <c r="R21" s="342"/>
    </row>
    <row r="22" spans="1:23" ht="14.4" x14ac:dyDescent="0.3">
      <c r="A22" s="1049"/>
      <c r="B22" s="1084"/>
      <c r="C22" s="329" t="s">
        <v>949</v>
      </c>
      <c r="D22" s="330">
        <v>82.8</v>
      </c>
      <c r="E22" s="331">
        <v>26.868125344023408</v>
      </c>
      <c r="F22" s="332">
        <v>3991.6851800554014</v>
      </c>
      <c r="G22" s="333">
        <f t="shared" si="0"/>
        <v>2.916327509391448</v>
      </c>
      <c r="H22" s="334">
        <f t="shared" si="1"/>
        <v>0.32449426743989623</v>
      </c>
      <c r="I22" s="335">
        <v>3124.2006213980708</v>
      </c>
      <c r="J22" s="336">
        <v>1.0309862050613634</v>
      </c>
      <c r="K22" s="336">
        <v>1.8853413043300846</v>
      </c>
      <c r="L22" s="336">
        <v>1.6591003478104747</v>
      </c>
      <c r="M22" s="329">
        <v>15</v>
      </c>
      <c r="N22" s="336">
        <v>28.280119564951271</v>
      </c>
      <c r="O22" s="336">
        <v>24.886505217157122</v>
      </c>
      <c r="P22" s="337">
        <v>1512.6017870988098</v>
      </c>
      <c r="Q22" s="338">
        <v>2339.7578954747214</v>
      </c>
      <c r="R22" s="342"/>
    </row>
    <row r="23" spans="1:23" ht="14.4" x14ac:dyDescent="0.3">
      <c r="A23" s="1049"/>
      <c r="B23" s="1084"/>
      <c r="C23" s="329" t="s">
        <v>950</v>
      </c>
      <c r="D23" s="330">
        <v>82.8</v>
      </c>
      <c r="E23" s="331">
        <v>33.367321972788467</v>
      </c>
      <c r="F23" s="332">
        <v>3754.1466666666665</v>
      </c>
      <c r="G23" s="333">
        <f t="shared" si="0"/>
        <v>3.621765111558501</v>
      </c>
      <c r="H23" s="334">
        <f t="shared" si="1"/>
        <v>0.40298698034768682</v>
      </c>
      <c r="I23" s="335">
        <v>3879.9211596265654</v>
      </c>
      <c r="J23" s="336">
        <v>1.2803739826767664</v>
      </c>
      <c r="K23" s="336">
        <v>2.3413911288817344</v>
      </c>
      <c r="L23" s="336">
        <v>2.0604241934159266</v>
      </c>
      <c r="M23" s="329">
        <v>15</v>
      </c>
      <c r="N23" s="336">
        <v>35.120866933226019</v>
      </c>
      <c r="O23" s="336">
        <v>30.9063629012389</v>
      </c>
      <c r="P23" s="337">
        <v>1878.4887371373004</v>
      </c>
      <c r="Q23" s="338">
        <v>2905.7276619429394</v>
      </c>
      <c r="R23" s="342"/>
    </row>
    <row r="24" spans="1:23" ht="14.4" x14ac:dyDescent="0.3">
      <c r="A24" s="1049"/>
      <c r="B24" s="1084"/>
      <c r="C24" s="329" t="s">
        <v>951</v>
      </c>
      <c r="D24" s="330">
        <v>82.8</v>
      </c>
      <c r="E24" s="331">
        <v>47.078037940643057</v>
      </c>
      <c r="F24" s="332">
        <v>4342.6274193548397</v>
      </c>
      <c r="G24" s="333">
        <f t="shared" si="0"/>
        <v>5.1099574449845937</v>
      </c>
      <c r="H24" s="334">
        <f t="shared" si="1"/>
        <v>0.56857533744737998</v>
      </c>
      <c r="I24" s="335">
        <v>5474.1904582143097</v>
      </c>
      <c r="J24" s="336">
        <v>1.8064828512107221</v>
      </c>
      <c r="K24" s="336">
        <v>3.3034745937738714</v>
      </c>
      <c r="L24" s="336">
        <v>2.9070576425210071</v>
      </c>
      <c r="M24" s="329">
        <v>15</v>
      </c>
      <c r="N24" s="336">
        <v>49.552118906608072</v>
      </c>
      <c r="O24" s="336">
        <v>43.60586463781511</v>
      </c>
      <c r="P24" s="337">
        <v>2650.3644526864023</v>
      </c>
      <c r="Q24" s="338">
        <v>4099.6984182813603</v>
      </c>
      <c r="R24" s="342"/>
    </row>
    <row r="25" spans="1:23" ht="14.4" x14ac:dyDescent="0.3">
      <c r="A25" s="1049"/>
      <c r="B25" s="1084"/>
      <c r="C25" s="329" t="s">
        <v>952</v>
      </c>
      <c r="D25" s="330">
        <v>82.8</v>
      </c>
      <c r="E25" s="331">
        <v>61.778823914671847</v>
      </c>
      <c r="F25" s="332">
        <v>5036.2559999999994</v>
      </c>
      <c r="G25" s="333">
        <f t="shared" si="0"/>
        <v>6.7056142314850593</v>
      </c>
      <c r="H25" s="334">
        <f t="shared" si="1"/>
        <v>0.74612106177139914</v>
      </c>
      <c r="I25" s="335">
        <v>7183.5841761246338</v>
      </c>
      <c r="J25" s="336">
        <v>2.3705827781211286</v>
      </c>
      <c r="K25" s="336">
        <v>4.3350314533639303</v>
      </c>
      <c r="L25" s="336">
        <v>3.8148276789602593</v>
      </c>
      <c r="M25" s="329">
        <v>15</v>
      </c>
      <c r="N25" s="336">
        <v>65.025471800458959</v>
      </c>
      <c r="O25" s="336">
        <v>57.222415184403893</v>
      </c>
      <c r="P25" s="337">
        <v>3477.9783949080688</v>
      </c>
      <c r="Q25" s="338">
        <v>5379.8874754635381</v>
      </c>
      <c r="R25" s="342"/>
    </row>
    <row r="26" spans="1:23" ht="14.4" x14ac:dyDescent="0.3">
      <c r="A26" s="1050"/>
      <c r="B26" s="1085"/>
      <c r="C26" s="329" t="s">
        <v>953</v>
      </c>
      <c r="D26" s="330">
        <v>82.8</v>
      </c>
      <c r="E26" s="331">
        <v>43.663470860525884</v>
      </c>
      <c r="F26" s="332">
        <v>5481.4246666666677</v>
      </c>
      <c r="G26" s="333">
        <f t="shared" si="0"/>
        <v>4.7393325583985551</v>
      </c>
      <c r="H26" s="334">
        <f t="shared" si="1"/>
        <v>0.52733660459572329</v>
      </c>
      <c r="I26" s="335">
        <v>5077.1477744797539</v>
      </c>
      <c r="J26" s="336">
        <v>1.6754587655783186</v>
      </c>
      <c r="K26" s="336">
        <v>3.0638737928202362</v>
      </c>
      <c r="L26" s="336">
        <v>2.6962089376818081</v>
      </c>
      <c r="M26" s="329">
        <v>15</v>
      </c>
      <c r="N26" s="336">
        <v>45.95810689230354</v>
      </c>
      <c r="O26" s="336">
        <v>40.44313406522712</v>
      </c>
      <c r="P26" s="337">
        <v>2458.1336884845045</v>
      </c>
      <c r="Q26" s="338">
        <v>3802.3475542729275</v>
      </c>
      <c r="R26" s="342"/>
    </row>
    <row r="27" spans="1:23" ht="14.4" x14ac:dyDescent="0.3">
      <c r="A27" s="1049" t="s">
        <v>745</v>
      </c>
      <c r="B27" s="1084" t="s">
        <v>808</v>
      </c>
      <c r="C27" s="329" t="s">
        <v>954</v>
      </c>
      <c r="D27" s="330">
        <v>82.8</v>
      </c>
      <c r="E27" s="331">
        <v>11.78674929950976</v>
      </c>
      <c r="F27" s="332">
        <v>2759.8</v>
      </c>
      <c r="G27" s="333">
        <f t="shared" si="0"/>
        <v>1.2793606099543862</v>
      </c>
      <c r="H27" s="334">
        <f t="shared" si="1"/>
        <v>0.14235204468006957</v>
      </c>
      <c r="I27" s="335">
        <v>1370.552244129042</v>
      </c>
      <c r="J27" s="336">
        <v>0.45228224056258381</v>
      </c>
      <c r="K27" s="336">
        <v>0.82707836939180235</v>
      </c>
      <c r="L27" s="336">
        <v>0.72782896506478612</v>
      </c>
      <c r="M27" s="329">
        <v>15</v>
      </c>
      <c r="N27" s="336">
        <v>12.406175540877035</v>
      </c>
      <c r="O27" s="336">
        <v>10.917434475971792</v>
      </c>
      <c r="P27" s="337">
        <v>663.56166744956556</v>
      </c>
      <c r="Q27" s="343">
        <v>1026.4258999239642</v>
      </c>
      <c r="R27" s="342"/>
    </row>
    <row r="28" spans="1:23" ht="14.4" x14ac:dyDescent="0.3">
      <c r="A28" s="1049"/>
      <c r="B28" s="1084"/>
      <c r="C28" s="329" t="s">
        <v>955</v>
      </c>
      <c r="D28" s="330">
        <v>82.8</v>
      </c>
      <c r="E28" s="331">
        <v>14.02565136094344</v>
      </c>
      <c r="F28" s="332">
        <v>2763.7148469387757</v>
      </c>
      <c r="G28" s="333">
        <f t="shared" si="0"/>
        <v>1.52237613816818</v>
      </c>
      <c r="H28" s="334">
        <f t="shared" si="1"/>
        <v>0.16939192464907538</v>
      </c>
      <c r="I28" s="335">
        <v>1630.8896931329584</v>
      </c>
      <c r="J28" s="336">
        <v>0.53819359873387618</v>
      </c>
      <c r="K28" s="336">
        <v>0.98418253943430378</v>
      </c>
      <c r="L28" s="336">
        <v>0.86608063470218744</v>
      </c>
      <c r="M28" s="329">
        <v>15</v>
      </c>
      <c r="N28" s="336">
        <v>14.762738091514557</v>
      </c>
      <c r="O28" s="336">
        <v>12.991209520532811</v>
      </c>
      <c r="P28" s="337">
        <v>789.60571465798432</v>
      </c>
      <c r="Q28" s="343">
        <v>1221.3962861477783</v>
      </c>
      <c r="R28" s="342"/>
    </row>
    <row r="29" spans="1:23" ht="14.4" x14ac:dyDescent="0.3">
      <c r="A29" s="1049"/>
      <c r="B29" s="1084"/>
      <c r="C29" s="329" t="s">
        <v>956</v>
      </c>
      <c r="D29" s="330">
        <v>82.8</v>
      </c>
      <c r="E29" s="331">
        <v>15.704198164785319</v>
      </c>
      <c r="F29" s="332">
        <v>2761.0533464566915</v>
      </c>
      <c r="G29" s="333">
        <f t="shared" si="0"/>
        <v>1.7045694306724541</v>
      </c>
      <c r="H29" s="334">
        <f t="shared" si="1"/>
        <v>0.18966422904330096</v>
      </c>
      <c r="I29" s="335">
        <v>1826.0695540448048</v>
      </c>
      <c r="J29" s="336">
        <v>0.60260295283478549</v>
      </c>
      <c r="K29" s="336">
        <v>1.1019664778376685</v>
      </c>
      <c r="L29" s="336">
        <v>0.96973050049714848</v>
      </c>
      <c r="M29" s="329">
        <v>15</v>
      </c>
      <c r="N29" s="336">
        <v>16.52949716756503</v>
      </c>
      <c r="O29" s="336">
        <v>14.545957507457228</v>
      </c>
      <c r="P29" s="337">
        <v>884.10329730325032</v>
      </c>
      <c r="Q29" s="343">
        <v>1367.5692359507875</v>
      </c>
      <c r="R29" s="342"/>
    </row>
    <row r="30" spans="1:23" ht="14.4" x14ac:dyDescent="0.3">
      <c r="A30" s="1049"/>
      <c r="B30" s="1084"/>
      <c r="C30" s="329" t="s">
        <v>957</v>
      </c>
      <c r="D30" s="330">
        <v>82.8</v>
      </c>
      <c r="E30" s="331">
        <v>22.383672633038064</v>
      </c>
      <c r="F30" s="332">
        <v>2894.4784401114207</v>
      </c>
      <c r="G30" s="333">
        <f t="shared" si="0"/>
        <v>2.4295748000692572</v>
      </c>
      <c r="H30" s="334">
        <f t="shared" si="1"/>
        <v>0.27033421054393797</v>
      </c>
      <c r="I30" s="335">
        <v>2602.7526317486117</v>
      </c>
      <c r="J30" s="336">
        <v>0.85890836847704177</v>
      </c>
      <c r="K30" s="336">
        <v>1.5706664315922154</v>
      </c>
      <c r="L30" s="336">
        <v>1.3821864598011497</v>
      </c>
      <c r="M30" s="329">
        <v>15</v>
      </c>
      <c r="N30" s="336">
        <v>23.559996473883231</v>
      </c>
      <c r="O30" s="336">
        <v>20.732796897017245</v>
      </c>
      <c r="P30" s="337">
        <v>1260.1393954007083</v>
      </c>
      <c r="Q30" s="343">
        <v>1949.2381437963654</v>
      </c>
      <c r="R30" s="342"/>
      <c r="T30" s="344"/>
      <c r="U30" s="344"/>
      <c r="V30" s="344"/>
      <c r="W30" s="344"/>
    </row>
    <row r="31" spans="1:23" ht="14.4" x14ac:dyDescent="0.3">
      <c r="A31" s="1049"/>
      <c r="B31" s="1084"/>
      <c r="C31" s="329" t="s">
        <v>948</v>
      </c>
      <c r="D31" s="330">
        <v>82.8</v>
      </c>
      <c r="E31" s="331">
        <v>22.832077841585114</v>
      </c>
      <c r="F31" s="332">
        <v>3132.3553684210528</v>
      </c>
      <c r="G31" s="333">
        <f t="shared" si="0"/>
        <v>2.4782457225209069</v>
      </c>
      <c r="H31" s="334">
        <f t="shared" si="1"/>
        <v>0.27574973238629369</v>
      </c>
      <c r="I31" s="335">
        <v>2654.8927722773392</v>
      </c>
      <c r="J31" s="336">
        <v>0.87611461485152187</v>
      </c>
      <c r="K31" s="336">
        <v>1.6021311076693849</v>
      </c>
      <c r="L31" s="336">
        <v>1.4098753747490589</v>
      </c>
      <c r="M31" s="329">
        <v>15</v>
      </c>
      <c r="N31" s="336">
        <v>24.031966615040773</v>
      </c>
      <c r="O31" s="336">
        <v>21.148130621235882</v>
      </c>
      <c r="P31" s="337">
        <v>1285.3833791587169</v>
      </c>
      <c r="Q31" s="343">
        <v>1988.2866301956337</v>
      </c>
      <c r="R31" s="342"/>
      <c r="T31" s="340"/>
      <c r="U31" s="340"/>
      <c r="V31" s="340"/>
      <c r="W31" s="340"/>
    </row>
    <row r="32" spans="1:23" ht="14.4" x14ac:dyDescent="0.3">
      <c r="A32" s="1049"/>
      <c r="B32" s="1084"/>
      <c r="C32" s="329" t="s">
        <v>949</v>
      </c>
      <c r="D32" s="330">
        <v>82.8</v>
      </c>
      <c r="E32" s="331">
        <v>28.473280505259833</v>
      </c>
      <c r="F32" s="332">
        <v>3426.4881818181802</v>
      </c>
      <c r="G32" s="333">
        <f t="shared" si="0"/>
        <v>3.090554705878632</v>
      </c>
      <c r="H32" s="334">
        <f>E32/D32</f>
        <v>0.34388019933888686</v>
      </c>
      <c r="I32" s="335">
        <v>3310.8465703790507</v>
      </c>
      <c r="J32" s="336">
        <v>1.0925793682250866</v>
      </c>
      <c r="K32" s="336">
        <v>1.9979753376535454</v>
      </c>
      <c r="L32" s="336">
        <v>1.7582182971351201</v>
      </c>
      <c r="M32" s="329">
        <v>15</v>
      </c>
      <c r="N32" s="336">
        <v>29.96963006480318</v>
      </c>
      <c r="O32" s="336">
        <v>26.373274457026803</v>
      </c>
      <c r="P32" s="337">
        <v>1602.9676214980891</v>
      </c>
      <c r="Q32" s="343">
        <v>2479.5396783076035</v>
      </c>
      <c r="R32" s="342"/>
      <c r="T32" s="340"/>
      <c r="U32" s="340"/>
      <c r="V32" s="340"/>
      <c r="W32" s="340"/>
    </row>
    <row r="33" spans="1:23" ht="14.4" x14ac:dyDescent="0.3">
      <c r="A33" s="1049" t="s">
        <v>746</v>
      </c>
      <c r="B33" s="1084" t="s">
        <v>808</v>
      </c>
      <c r="C33" s="329" t="s">
        <v>954</v>
      </c>
      <c r="D33" s="330">
        <v>82.8</v>
      </c>
      <c r="E33" s="331">
        <v>9.0699035859727601</v>
      </c>
      <c r="F33" s="332">
        <v>2759.8</v>
      </c>
      <c r="G33" s="333">
        <f t="shared" si="0"/>
        <v>0.98446798935990021</v>
      </c>
      <c r="H33" s="334">
        <f t="shared" ref="H33:H38" si="2">E33/D33</f>
        <v>0.10953989838131353</v>
      </c>
      <c r="I33" s="335">
        <v>1054.6399518572978</v>
      </c>
      <c r="J33" s="336">
        <v>0.34803118411290823</v>
      </c>
      <c r="K33" s="336">
        <v>0.63643680524699198</v>
      </c>
      <c r="L33" s="336">
        <v>0.56006438861735297</v>
      </c>
      <c r="M33" s="329">
        <v>15</v>
      </c>
      <c r="N33" s="336">
        <v>9.5465520787048792</v>
      </c>
      <c r="O33" s="336">
        <v>8.4009658292602953</v>
      </c>
      <c r="P33" s="337">
        <v>510.61070310244077</v>
      </c>
      <c r="Q33" s="343">
        <v>789.83472999149069</v>
      </c>
      <c r="R33" s="342"/>
      <c r="T33" s="345"/>
      <c r="U33" s="345"/>
      <c r="V33" s="345"/>
      <c r="W33" s="345"/>
    </row>
    <row r="34" spans="1:23" ht="14.4" x14ac:dyDescent="0.3">
      <c r="A34" s="1049"/>
      <c r="B34" s="1084"/>
      <c r="C34" s="329" t="s">
        <v>955</v>
      </c>
      <c r="D34" s="330">
        <v>82.8</v>
      </c>
      <c r="E34" s="331">
        <v>10.792738722245977</v>
      </c>
      <c r="F34" s="332">
        <v>2763.7148469387757</v>
      </c>
      <c r="G34" s="333">
        <f t="shared" si="0"/>
        <v>1.1714684383204144</v>
      </c>
      <c r="H34" s="334">
        <f t="shared" si="2"/>
        <v>0.1303470860174635</v>
      </c>
      <c r="I34" s="335">
        <v>1254.9696188658115</v>
      </c>
      <c r="J34" s="336">
        <v>0.41413997422571774</v>
      </c>
      <c r="K34" s="336">
        <v>0.75732846409469667</v>
      </c>
      <c r="L34" s="336">
        <v>0.66644904840333319</v>
      </c>
      <c r="M34" s="329">
        <v>15</v>
      </c>
      <c r="N34" s="336">
        <v>11.359926961420451</v>
      </c>
      <c r="O34" s="336">
        <v>9.996735726049998</v>
      </c>
      <c r="P34" s="337">
        <v>607.60159742931887</v>
      </c>
      <c r="Q34" s="343">
        <v>939.86444219071529</v>
      </c>
      <c r="R34" s="342"/>
      <c r="S34" s="346"/>
    </row>
    <row r="35" spans="1:23" ht="14.4" x14ac:dyDescent="0.3">
      <c r="A35" s="1049"/>
      <c r="B35" s="1084"/>
      <c r="C35" s="329" t="s">
        <v>956</v>
      </c>
      <c r="D35" s="330">
        <v>82.8</v>
      </c>
      <c r="E35" s="331">
        <v>12.084380487802303</v>
      </c>
      <c r="F35" s="332">
        <v>2761.0533464566915</v>
      </c>
      <c r="G35" s="333">
        <f t="shared" si="0"/>
        <v>1.3116661769024536</v>
      </c>
      <c r="H35" s="334">
        <f t="shared" si="2"/>
        <v>0.1459466242488201</v>
      </c>
      <c r="I35" s="335">
        <v>1405.1605218374773</v>
      </c>
      <c r="J35" s="336">
        <v>0.46370297220636747</v>
      </c>
      <c r="K35" s="336">
        <v>0.8479632046960861</v>
      </c>
      <c r="L35" s="336">
        <v>0.74620762013255582</v>
      </c>
      <c r="M35" s="329">
        <v>15</v>
      </c>
      <c r="N35" s="336">
        <v>12.719448070441292</v>
      </c>
      <c r="O35" s="336">
        <v>11.193114301988338</v>
      </c>
      <c r="P35" s="337">
        <v>680.31748727485115</v>
      </c>
      <c r="Q35" s="343">
        <v>1052.3445270641312</v>
      </c>
      <c r="R35" s="342"/>
      <c r="S35" s="346"/>
    </row>
    <row r="36" spans="1:23" ht="14.4" x14ac:dyDescent="0.3">
      <c r="A36" s="1049"/>
      <c r="B36" s="1084"/>
      <c r="C36" s="329" t="s">
        <v>957</v>
      </c>
      <c r="D36" s="330">
        <v>82.8</v>
      </c>
      <c r="E36" s="331">
        <v>17.224236091122791</v>
      </c>
      <c r="F36" s="332">
        <v>2894.4784401114207</v>
      </c>
      <c r="G36" s="333">
        <f t="shared" si="0"/>
        <v>1.8695578086532934</v>
      </c>
      <c r="H36" s="334">
        <f t="shared" si="2"/>
        <v>0.20802217501356027</v>
      </c>
      <c r="I36" s="335">
        <v>2002.8181501305567</v>
      </c>
      <c r="J36" s="336">
        <v>0.66092998954308357</v>
      </c>
      <c r="K36" s="336">
        <v>1.2086278191102098</v>
      </c>
      <c r="L36" s="336">
        <v>1.0635924808169848</v>
      </c>
      <c r="M36" s="329">
        <v>15</v>
      </c>
      <c r="N36" s="336">
        <v>18.129417286653148</v>
      </c>
      <c r="O36" s="336">
        <v>15.953887212254772</v>
      </c>
      <c r="P36" s="337">
        <v>969.67726476084511</v>
      </c>
      <c r="Q36" s="343">
        <v>1499.9387516513027</v>
      </c>
      <c r="R36" s="342"/>
      <c r="S36" s="346"/>
    </row>
    <row r="37" spans="1:23" ht="14.4" x14ac:dyDescent="0.3">
      <c r="A37" s="1049"/>
      <c r="B37" s="1084"/>
      <c r="C37" s="329" t="s">
        <v>948</v>
      </c>
      <c r="D37" s="330">
        <v>82.8</v>
      </c>
      <c r="E37" s="331">
        <v>17.569283899099744</v>
      </c>
      <c r="F37" s="332">
        <v>3132.3553684210528</v>
      </c>
      <c r="G37" s="333">
        <f t="shared" si="0"/>
        <v>1.9070100834798378</v>
      </c>
      <c r="H37" s="334">
        <f t="shared" si="2"/>
        <v>0.21218941907125297</v>
      </c>
      <c r="I37" s="335">
        <v>2042.9399882674124</v>
      </c>
      <c r="J37" s="336">
        <v>0.67417019612824602</v>
      </c>
      <c r="K37" s="336">
        <v>1.2328398873515918</v>
      </c>
      <c r="L37" s="336">
        <v>1.0848991008694009</v>
      </c>
      <c r="M37" s="329">
        <v>15</v>
      </c>
      <c r="N37" s="336">
        <v>18.492598310273877</v>
      </c>
      <c r="O37" s="336">
        <v>16.273486513041014</v>
      </c>
      <c r="P37" s="337">
        <v>989.1025102626329</v>
      </c>
      <c r="Q37" s="343">
        <v>1529.9865619355401</v>
      </c>
      <c r="R37" s="342"/>
      <c r="S37" s="346"/>
    </row>
    <row r="38" spans="1:23" ht="14.4" x14ac:dyDescent="0.3">
      <c r="A38" s="1049"/>
      <c r="B38" s="1084"/>
      <c r="C38" s="329" t="s">
        <v>949</v>
      </c>
      <c r="D38" s="330">
        <v>82.8</v>
      </c>
      <c r="E38" s="331">
        <v>21.910189348797442</v>
      </c>
      <c r="F38" s="332">
        <v>3426.4881818181802</v>
      </c>
      <c r="G38" s="333">
        <f t="shared" si="0"/>
        <v>2.3781818461736073</v>
      </c>
      <c r="H38" s="334">
        <f t="shared" si="2"/>
        <v>0.26461581339127344</v>
      </c>
      <c r="I38" s="335">
        <v>2547.6964359066797</v>
      </c>
      <c r="J38" s="336">
        <v>0.8407398238492042</v>
      </c>
      <c r="K38" s="336">
        <v>1.5374420223244032</v>
      </c>
      <c r="L38" s="336">
        <v>1.352948979645475</v>
      </c>
      <c r="M38" s="329">
        <v>15</v>
      </c>
      <c r="N38" s="336">
        <v>23.061630334866049</v>
      </c>
      <c r="O38" s="336">
        <v>20.294234694682125</v>
      </c>
      <c r="P38" s="337">
        <v>1233.4835847427796</v>
      </c>
      <c r="Q38" s="343">
        <v>1908.0057824577009</v>
      </c>
      <c r="R38" s="342"/>
      <c r="S38" s="346"/>
    </row>
    <row r="39" spans="1:23" ht="14.4" x14ac:dyDescent="0.3">
      <c r="A39" s="1049" t="s">
        <v>747</v>
      </c>
      <c r="B39" s="1084" t="s">
        <v>808</v>
      </c>
      <c r="C39" s="329" t="s">
        <v>954</v>
      </c>
      <c r="D39" s="330">
        <v>82.8</v>
      </c>
      <c r="E39" s="331">
        <v>9.5472669326029056</v>
      </c>
      <c r="F39" s="332">
        <v>2759.8</v>
      </c>
      <c r="G39" s="333">
        <f t="shared" si="0"/>
        <v>1.0362820940630528</v>
      </c>
      <c r="H39" s="334">
        <f t="shared" ref="H39:H44" si="3">E39/D39</f>
        <v>0.11530515619085635</v>
      </c>
      <c r="I39" s="335">
        <v>1110.1473177445241</v>
      </c>
      <c r="J39" s="336">
        <v>0.36634861485569292</v>
      </c>
      <c r="K39" s="336">
        <v>0.66993347920735991</v>
      </c>
      <c r="L39" s="336">
        <v>0.58954146170247679</v>
      </c>
      <c r="M39" s="329">
        <v>15</v>
      </c>
      <c r="N39" s="336">
        <v>10.049002188110398</v>
      </c>
      <c r="O39" s="336">
        <v>8.8431219255371509</v>
      </c>
      <c r="P39" s="337">
        <v>537.48495063414805</v>
      </c>
      <c r="Q39" s="343">
        <v>831.4049789384112</v>
      </c>
      <c r="R39" s="342"/>
    </row>
    <row r="40" spans="1:23" ht="14.4" x14ac:dyDescent="0.3">
      <c r="A40" s="1049"/>
      <c r="B40" s="1084"/>
      <c r="C40" s="329" t="s">
        <v>955</v>
      </c>
      <c r="D40" s="330">
        <v>82.8</v>
      </c>
      <c r="E40" s="331">
        <v>11.360777602364188</v>
      </c>
      <c r="F40" s="332">
        <v>2763.7148469387757</v>
      </c>
      <c r="G40" s="333">
        <f t="shared" si="0"/>
        <v>1.2331246719162259</v>
      </c>
      <c r="H40" s="334">
        <f t="shared" si="3"/>
        <v>0.13720745896575107</v>
      </c>
      <c r="I40" s="335">
        <v>1321.0206514376964</v>
      </c>
      <c r="J40" s="336">
        <v>0.43593681497443976</v>
      </c>
      <c r="K40" s="336">
        <v>0.79718785694178607</v>
      </c>
      <c r="L40" s="336">
        <v>0.70152531410877184</v>
      </c>
      <c r="M40" s="329">
        <v>15</v>
      </c>
      <c r="N40" s="336">
        <v>11.957817854126791</v>
      </c>
      <c r="O40" s="336">
        <v>10.522879711631578</v>
      </c>
      <c r="P40" s="337">
        <v>639.58062887296728</v>
      </c>
      <c r="Q40" s="343">
        <v>989.33099177970064</v>
      </c>
      <c r="R40" s="342"/>
    </row>
    <row r="41" spans="1:23" ht="14.4" x14ac:dyDescent="0.3">
      <c r="A41" s="1049"/>
      <c r="B41" s="1084"/>
      <c r="C41" s="329" t="s">
        <v>956</v>
      </c>
      <c r="D41" s="330">
        <v>82.8</v>
      </c>
      <c r="E41" s="331">
        <v>12.720400513476109</v>
      </c>
      <c r="F41" s="332">
        <v>2761.0533464566915</v>
      </c>
      <c r="G41" s="333">
        <f t="shared" si="0"/>
        <v>1.380701238844688</v>
      </c>
      <c r="H41" s="334">
        <f t="shared" si="3"/>
        <v>0.15362802552507379</v>
      </c>
      <c r="I41" s="335">
        <v>1479.116338776292</v>
      </c>
      <c r="J41" s="336">
        <v>0.48810839179617632</v>
      </c>
      <c r="K41" s="336">
        <v>0.89259284704851161</v>
      </c>
      <c r="L41" s="336">
        <v>0.78548170540269036</v>
      </c>
      <c r="M41" s="329">
        <v>15</v>
      </c>
      <c r="N41" s="336">
        <v>13.388892705727674</v>
      </c>
      <c r="O41" s="336">
        <v>11.782225581040354</v>
      </c>
      <c r="P41" s="337">
        <v>716.12367081563275</v>
      </c>
      <c r="Q41" s="343">
        <v>1107.731081120138</v>
      </c>
      <c r="R41" s="342"/>
    </row>
    <row r="42" spans="1:23" ht="14.4" x14ac:dyDescent="0.3">
      <c r="A42" s="1049"/>
      <c r="B42" s="1084"/>
      <c r="C42" s="329" t="s">
        <v>957</v>
      </c>
      <c r="D42" s="330">
        <v>82.8</v>
      </c>
      <c r="E42" s="331">
        <v>18.130774832760832</v>
      </c>
      <c r="F42" s="332">
        <v>2894.4784401114207</v>
      </c>
      <c r="G42" s="333">
        <f t="shared" si="0"/>
        <v>1.9679555880560982</v>
      </c>
      <c r="H42" s="334">
        <f t="shared" si="3"/>
        <v>0.21897071054058975</v>
      </c>
      <c r="I42" s="335">
        <v>2108.2296317163755</v>
      </c>
      <c r="J42" s="336">
        <v>0.69571577846640376</v>
      </c>
      <c r="K42" s="336">
        <v>1.2722398095896943</v>
      </c>
      <c r="L42" s="336">
        <v>1.1195710324389312</v>
      </c>
      <c r="M42" s="329">
        <v>15</v>
      </c>
      <c r="N42" s="336">
        <v>19.083597143845413</v>
      </c>
      <c r="O42" s="336">
        <v>16.793565486583965</v>
      </c>
      <c r="P42" s="337">
        <v>1020.7129102745735</v>
      </c>
      <c r="Q42" s="343">
        <v>1578.8828964750555</v>
      </c>
      <c r="R42" s="342"/>
      <c r="T42" s="344"/>
      <c r="U42" s="344"/>
      <c r="V42" s="344"/>
      <c r="W42" s="344"/>
    </row>
    <row r="43" spans="1:23" ht="14.4" x14ac:dyDescent="0.3">
      <c r="A43" s="1049"/>
      <c r="B43" s="1084"/>
      <c r="C43" s="329" t="s">
        <v>948</v>
      </c>
      <c r="D43" s="330">
        <v>82.8</v>
      </c>
      <c r="E43" s="331">
        <v>18.493983051683944</v>
      </c>
      <c r="F43" s="332">
        <v>3132.3553684210528</v>
      </c>
      <c r="G43" s="333">
        <f t="shared" si="0"/>
        <v>2.007379035241935</v>
      </c>
      <c r="H43" s="334">
        <f t="shared" si="3"/>
        <v>0.22335728323289789</v>
      </c>
      <c r="I43" s="335">
        <v>2150.4631455446447</v>
      </c>
      <c r="J43" s="336">
        <v>0.70965283802973267</v>
      </c>
      <c r="K43" s="336">
        <v>1.2977261972122023</v>
      </c>
      <c r="L43" s="336">
        <v>1.1419990535467381</v>
      </c>
      <c r="M43" s="329">
        <v>15</v>
      </c>
      <c r="N43" s="336">
        <v>19.465892958183034</v>
      </c>
      <c r="O43" s="336">
        <v>17.129985803201073</v>
      </c>
      <c r="P43" s="337">
        <v>1041.1605371185613</v>
      </c>
      <c r="Q43" s="343">
        <v>1610.5121704584635</v>
      </c>
      <c r="R43" s="342"/>
      <c r="T43" s="340"/>
      <c r="U43" s="340"/>
      <c r="V43" s="340"/>
      <c r="W43" s="340"/>
    </row>
    <row r="44" spans="1:23" ht="14.4" x14ac:dyDescent="0.3">
      <c r="A44" s="1049"/>
      <c r="B44" s="1084"/>
      <c r="C44" s="329" t="s">
        <v>949</v>
      </c>
      <c r="D44" s="330">
        <v>82.8</v>
      </c>
      <c r="E44" s="331">
        <v>23.063357209260467</v>
      </c>
      <c r="F44" s="332">
        <v>3426.4881818181802</v>
      </c>
      <c r="G44" s="333">
        <f t="shared" si="0"/>
        <v>2.5033493117616921</v>
      </c>
      <c r="H44" s="334">
        <f t="shared" si="3"/>
        <v>0.27854296146449842</v>
      </c>
      <c r="I44" s="335">
        <v>2681.7857220070314</v>
      </c>
      <c r="J44" s="336">
        <v>0.88498928826232015</v>
      </c>
      <c r="K44" s="336">
        <v>1.6183600234993718</v>
      </c>
      <c r="L44" s="336">
        <v>1.4241568206794473</v>
      </c>
      <c r="M44" s="329">
        <v>15</v>
      </c>
      <c r="N44" s="336">
        <v>24.275400352490578</v>
      </c>
      <c r="O44" s="336">
        <v>21.36235231019171</v>
      </c>
      <c r="P44" s="337">
        <v>1298.4037734134522</v>
      </c>
      <c r="Q44" s="343">
        <v>2008.4271394291588</v>
      </c>
      <c r="R44" s="342"/>
      <c r="T44" s="340"/>
      <c r="U44" s="340"/>
      <c r="V44" s="340"/>
      <c r="W44" s="340"/>
    </row>
    <row r="45" spans="1:23" ht="14.4" x14ac:dyDescent="0.3">
      <c r="A45" s="1049" t="s">
        <v>748</v>
      </c>
      <c r="B45" s="1084" t="s">
        <v>808</v>
      </c>
      <c r="C45" s="329" t="s">
        <v>954</v>
      </c>
      <c r="D45" s="330">
        <v>82.8</v>
      </c>
      <c r="E45" s="331">
        <v>11.197411834534272</v>
      </c>
      <c r="F45" s="332">
        <v>2759.8</v>
      </c>
      <c r="G45" s="333">
        <f t="shared" si="0"/>
        <v>1.2153925794566669</v>
      </c>
      <c r="H45" s="334">
        <f t="shared" ref="H45:H68" si="4">E45/D45</f>
        <v>0.13523444244606608</v>
      </c>
      <c r="I45" s="335">
        <v>1302.0246319225898</v>
      </c>
      <c r="J45" s="336">
        <v>0.42966812853445457</v>
      </c>
      <c r="K45" s="336">
        <v>0.78572445092221233</v>
      </c>
      <c r="L45" s="336">
        <v>0.69143751681154697</v>
      </c>
      <c r="M45" s="329">
        <v>15</v>
      </c>
      <c r="N45" s="336">
        <v>11.785866763833186</v>
      </c>
      <c r="O45" s="336">
        <v>10.371562752173205</v>
      </c>
      <c r="P45" s="337">
        <v>630.38358407708733</v>
      </c>
      <c r="Q45" s="343">
        <v>975.10460492776633</v>
      </c>
      <c r="R45" s="342"/>
      <c r="T45" s="345"/>
      <c r="U45" s="345"/>
      <c r="V45" s="345"/>
      <c r="W45" s="345"/>
    </row>
    <row r="46" spans="1:23" ht="14.4" x14ac:dyDescent="0.3">
      <c r="A46" s="1049"/>
      <c r="B46" s="1084"/>
      <c r="C46" s="329" t="s">
        <v>955</v>
      </c>
      <c r="D46" s="330">
        <v>82.8</v>
      </c>
      <c r="E46" s="331">
        <v>13.324368792896268</v>
      </c>
      <c r="F46" s="332">
        <v>2763.7148469387757</v>
      </c>
      <c r="G46" s="333">
        <f t="shared" si="0"/>
        <v>1.4462573312597709</v>
      </c>
      <c r="H46" s="334">
        <f t="shared" si="4"/>
        <v>0.1609223284166216</v>
      </c>
      <c r="I46" s="335">
        <v>1549.3452084763105</v>
      </c>
      <c r="J46" s="336">
        <v>0.51128391879718238</v>
      </c>
      <c r="K46" s="336">
        <v>0.93497341246258847</v>
      </c>
      <c r="L46" s="336">
        <v>0.822776602967078</v>
      </c>
      <c r="M46" s="329">
        <v>15</v>
      </c>
      <c r="N46" s="336">
        <v>14.024601186938828</v>
      </c>
      <c r="O46" s="336">
        <v>12.34164904450617</v>
      </c>
      <c r="P46" s="337">
        <v>750.12542892508498</v>
      </c>
      <c r="Q46" s="343">
        <v>1160.3264718403893</v>
      </c>
      <c r="R46" s="342"/>
      <c r="S46" s="346"/>
    </row>
    <row r="47" spans="1:23" ht="14.4" x14ac:dyDescent="0.3">
      <c r="A47" s="1049"/>
      <c r="B47" s="1084"/>
      <c r="C47" s="329" t="s">
        <v>956</v>
      </c>
      <c r="D47" s="330">
        <v>82.8</v>
      </c>
      <c r="E47" s="331">
        <v>14.918988256546053</v>
      </c>
      <c r="F47" s="332">
        <v>2761.0533464566915</v>
      </c>
      <c r="G47" s="333">
        <f t="shared" si="0"/>
        <v>1.6193409591388315</v>
      </c>
      <c r="H47" s="334">
        <f t="shared" si="4"/>
        <v>0.18018101759113592</v>
      </c>
      <c r="I47" s="335">
        <v>1734.7660763425645</v>
      </c>
      <c r="J47" s="336">
        <v>0.57247280519304611</v>
      </c>
      <c r="K47" s="336">
        <v>1.0468681539457854</v>
      </c>
      <c r="L47" s="336">
        <v>0.9212439754722912</v>
      </c>
      <c r="M47" s="329">
        <v>15</v>
      </c>
      <c r="N47" s="336">
        <v>15.70302230918678</v>
      </c>
      <c r="O47" s="336">
        <v>13.818659632084369</v>
      </c>
      <c r="P47" s="337">
        <v>839.89813243808794</v>
      </c>
      <c r="Q47" s="343">
        <v>1299.1907741532482</v>
      </c>
      <c r="R47" s="342"/>
      <c r="S47" s="346"/>
    </row>
    <row r="48" spans="1:23" ht="14.4" x14ac:dyDescent="0.3">
      <c r="A48" s="1049"/>
      <c r="B48" s="1084"/>
      <c r="C48" s="329" t="s">
        <v>957</v>
      </c>
      <c r="D48" s="330">
        <v>82.8</v>
      </c>
      <c r="E48" s="331">
        <v>21.26448900138616</v>
      </c>
      <c r="F48" s="332">
        <v>2894.4784401114207</v>
      </c>
      <c r="G48" s="333">
        <f t="shared" si="0"/>
        <v>2.308096060065794</v>
      </c>
      <c r="H48" s="334">
        <f t="shared" si="4"/>
        <v>0.25681750001674108</v>
      </c>
      <c r="I48" s="335">
        <v>2472.6150001611809</v>
      </c>
      <c r="J48" s="336">
        <v>0.81596295005318964</v>
      </c>
      <c r="K48" s="336">
        <v>1.4921331100126043</v>
      </c>
      <c r="L48" s="336">
        <v>1.3130771368110918</v>
      </c>
      <c r="M48" s="329">
        <v>15</v>
      </c>
      <c r="N48" s="336">
        <v>22.381996650189066</v>
      </c>
      <c r="O48" s="336">
        <v>19.696157052166381</v>
      </c>
      <c r="P48" s="337">
        <v>1197.1324256306727</v>
      </c>
      <c r="Q48" s="343">
        <v>1851.7762366065467</v>
      </c>
      <c r="R48" s="342"/>
      <c r="S48" s="346"/>
    </row>
    <row r="49" spans="1:19" ht="14.4" x14ac:dyDescent="0.3">
      <c r="A49" s="1049"/>
      <c r="B49" s="1084"/>
      <c r="C49" s="329" t="s">
        <v>948</v>
      </c>
      <c r="D49" s="330">
        <v>82.8</v>
      </c>
      <c r="E49" s="331">
        <v>21.690473949505858</v>
      </c>
      <c r="F49" s="332">
        <v>3132.3553684210528</v>
      </c>
      <c r="G49" s="333">
        <f t="shared" si="0"/>
        <v>2.3543334363948616</v>
      </c>
      <c r="H49" s="334">
        <f t="shared" si="4"/>
        <v>0.26196224576697896</v>
      </c>
      <c r="I49" s="335">
        <v>2522.148133663472</v>
      </c>
      <c r="J49" s="336">
        <v>0.83230888410894566</v>
      </c>
      <c r="K49" s="336">
        <v>1.5220245522859159</v>
      </c>
      <c r="L49" s="336">
        <v>1.3393816060116062</v>
      </c>
      <c r="M49" s="329">
        <v>15</v>
      </c>
      <c r="N49" s="336">
        <v>22.830368284288738</v>
      </c>
      <c r="O49" s="336">
        <v>20.090724090174092</v>
      </c>
      <c r="P49" s="337">
        <v>1221.1142102007814</v>
      </c>
      <c r="Q49" s="343">
        <v>1888.8722986858522</v>
      </c>
      <c r="R49" s="342"/>
      <c r="S49" s="346"/>
    </row>
    <row r="50" spans="1:19" ht="14.4" x14ac:dyDescent="0.3">
      <c r="A50" s="1049"/>
      <c r="B50" s="1084"/>
      <c r="C50" s="329" t="s">
        <v>949</v>
      </c>
      <c r="D50" s="330">
        <v>82.8</v>
      </c>
      <c r="E50" s="331">
        <v>27.049616479996839</v>
      </c>
      <c r="F50" s="332">
        <v>3426.4881818181802</v>
      </c>
      <c r="G50" s="333">
        <f t="shared" si="0"/>
        <v>2.9360269705847002</v>
      </c>
      <c r="H50" s="334">
        <f t="shared" si="4"/>
        <v>0.32668618937194249</v>
      </c>
      <c r="I50" s="335">
        <v>3145.304241860098</v>
      </c>
      <c r="J50" s="336">
        <v>1.0379503998138322</v>
      </c>
      <c r="K50" s="336">
        <v>1.898076570770868</v>
      </c>
      <c r="L50" s="336">
        <v>1.6703073822783641</v>
      </c>
      <c r="M50" s="329">
        <v>15</v>
      </c>
      <c r="N50" s="336">
        <v>28.47114856156302</v>
      </c>
      <c r="O50" s="336">
        <v>25.054610734175462</v>
      </c>
      <c r="P50" s="337">
        <v>1522.8192404231845</v>
      </c>
      <c r="Q50" s="343">
        <v>2355.562694392223</v>
      </c>
      <c r="R50" s="342"/>
      <c r="S50" s="346"/>
    </row>
    <row r="51" spans="1:19" ht="13.2" customHeight="1" x14ac:dyDescent="0.3">
      <c r="A51" s="1048" t="s">
        <v>751</v>
      </c>
      <c r="B51" s="1092" t="s">
        <v>808</v>
      </c>
      <c r="C51" s="329" t="s">
        <v>972</v>
      </c>
      <c r="D51" s="331">
        <v>11.6</v>
      </c>
      <c r="E51" s="331">
        <v>11.6</v>
      </c>
      <c r="F51" s="332">
        <v>1575</v>
      </c>
      <c r="G51" s="333">
        <f t="shared" si="0"/>
        <v>1.2590904157169218</v>
      </c>
      <c r="H51" s="334">
        <f t="shared" si="4"/>
        <v>1</v>
      </c>
      <c r="I51" s="335">
        <v>1565.9424891866013</v>
      </c>
      <c r="J51" s="336">
        <v>0.53603415976002877</v>
      </c>
      <c r="K51" s="336">
        <v>0.72305625595689305</v>
      </c>
      <c r="L51" s="336">
        <v>0.79536188155258236</v>
      </c>
      <c r="M51" s="329">
        <v>13</v>
      </c>
      <c r="N51" s="336">
        <v>9.3997313274396088</v>
      </c>
      <c r="O51" s="336">
        <v>10.339704460183571</v>
      </c>
      <c r="P51" s="337">
        <v>628.44723708995741</v>
      </c>
      <c r="Q51" s="338">
        <v>1094.3434711820255</v>
      </c>
      <c r="R51" s="341"/>
    </row>
    <row r="52" spans="1:19" ht="14.4" x14ac:dyDescent="0.3">
      <c r="A52" s="1049"/>
      <c r="B52" s="1093"/>
      <c r="C52" s="329" t="s">
        <v>973</v>
      </c>
      <c r="D52" s="331">
        <v>11.76</v>
      </c>
      <c r="E52" s="331">
        <v>11.76</v>
      </c>
      <c r="F52" s="332">
        <v>1703</v>
      </c>
      <c r="G52" s="333">
        <f t="shared" si="0"/>
        <v>1.276457180071638</v>
      </c>
      <c r="H52" s="334">
        <f t="shared" si="4"/>
        <v>1</v>
      </c>
      <c r="I52" s="335">
        <v>1493.7863156652577</v>
      </c>
      <c r="J52" s="336">
        <v>0.51133454651618426</v>
      </c>
      <c r="K52" s="336">
        <v>0.76512263355545373</v>
      </c>
      <c r="L52" s="336">
        <v>0.84163489691099913</v>
      </c>
      <c r="M52" s="329">
        <v>13</v>
      </c>
      <c r="N52" s="336">
        <v>9.9465942362208981</v>
      </c>
      <c r="O52" s="336">
        <v>10.941253659842989</v>
      </c>
      <c r="P52" s="337">
        <v>665.00939744525692</v>
      </c>
      <c r="Q52" s="338">
        <v>1109.4378638879846</v>
      </c>
      <c r="R52" s="341"/>
    </row>
    <row r="53" spans="1:19" ht="14.4" x14ac:dyDescent="0.3">
      <c r="A53" s="1049"/>
      <c r="B53" s="1093"/>
      <c r="C53" s="329" t="s">
        <v>974</v>
      </c>
      <c r="D53" s="331">
        <v>12.24</v>
      </c>
      <c r="E53" s="331">
        <v>12.24</v>
      </c>
      <c r="F53" s="332">
        <v>1703</v>
      </c>
      <c r="G53" s="333">
        <f t="shared" si="0"/>
        <v>1.3285574731357865</v>
      </c>
      <c r="H53" s="334">
        <f t="shared" si="4"/>
        <v>1</v>
      </c>
      <c r="I53" s="335">
        <v>1275.9487991538906</v>
      </c>
      <c r="J53" s="336">
        <v>0.4367670889411393</v>
      </c>
      <c r="K53" s="336">
        <v>0.89179038419464729</v>
      </c>
      <c r="L53" s="336">
        <v>0.98096942261411213</v>
      </c>
      <c r="M53" s="329">
        <v>13</v>
      </c>
      <c r="N53" s="336">
        <v>11.593274994530415</v>
      </c>
      <c r="O53" s="336">
        <v>12.752602493983456</v>
      </c>
      <c r="P53" s="337">
        <v>775.10317958431449</v>
      </c>
      <c r="Q53" s="338">
        <v>1154.7210420058616</v>
      </c>
      <c r="R53" s="341"/>
    </row>
    <row r="54" spans="1:19" ht="14.4" x14ac:dyDescent="0.3">
      <c r="A54" s="1049"/>
      <c r="B54" s="1093"/>
      <c r="C54" s="329" t="s">
        <v>975</v>
      </c>
      <c r="D54" s="331">
        <v>12.18</v>
      </c>
      <c r="E54" s="331">
        <v>12.18</v>
      </c>
      <c r="F54" s="332">
        <v>1575</v>
      </c>
      <c r="G54" s="333">
        <f t="shared" si="0"/>
        <v>1.322044936502768</v>
      </c>
      <c r="H54" s="334">
        <f t="shared" si="4"/>
        <v>1</v>
      </c>
      <c r="I54" s="335">
        <v>1302.0195977506571</v>
      </c>
      <c r="J54" s="336">
        <v>0.4456913238454171</v>
      </c>
      <c r="K54" s="336">
        <v>0.8763536126573509</v>
      </c>
      <c r="L54" s="336">
        <v>0.96398897392308602</v>
      </c>
      <c r="M54" s="329">
        <v>13</v>
      </c>
      <c r="N54" s="336">
        <v>11.392596964545561</v>
      </c>
      <c r="O54" s="336">
        <v>12.531856661000118</v>
      </c>
      <c r="P54" s="337">
        <v>761.68624785558723</v>
      </c>
      <c r="Q54" s="338">
        <v>1149.0606447411269</v>
      </c>
      <c r="R54" s="341"/>
    </row>
    <row r="55" spans="1:19" ht="14.4" x14ac:dyDescent="0.3">
      <c r="A55" s="1049"/>
      <c r="B55" s="1093"/>
      <c r="C55" s="329" t="s">
        <v>976</v>
      </c>
      <c r="D55" s="331">
        <v>12.31</v>
      </c>
      <c r="E55" s="331">
        <v>12.31</v>
      </c>
      <c r="F55" s="332">
        <v>1703</v>
      </c>
      <c r="G55" s="333">
        <f t="shared" si="0"/>
        <v>1.3361554325409748</v>
      </c>
      <c r="H55" s="334">
        <f t="shared" si="4"/>
        <v>1</v>
      </c>
      <c r="I55" s="335">
        <v>1242.0245770699892</v>
      </c>
      <c r="J55" s="336">
        <v>0.4251545667662654</v>
      </c>
      <c r="K55" s="336">
        <v>0.9110008657747094</v>
      </c>
      <c r="L55" s="336">
        <v>1.0021009523521804</v>
      </c>
      <c r="M55" s="329">
        <v>13</v>
      </c>
      <c r="N55" s="336">
        <v>11.843011255071222</v>
      </c>
      <c r="O55" s="336">
        <v>13.027312380578344</v>
      </c>
      <c r="P55" s="337">
        <v>791.80004649155183</v>
      </c>
      <c r="Q55" s="338">
        <v>1161.3248388147185</v>
      </c>
      <c r="R55" s="341"/>
    </row>
    <row r="56" spans="1:19" ht="14.4" x14ac:dyDescent="0.3">
      <c r="A56" s="1050"/>
      <c r="B56" s="1094"/>
      <c r="C56" s="329" t="s">
        <v>977</v>
      </c>
      <c r="D56" s="331">
        <v>12.71</v>
      </c>
      <c r="E56" s="331">
        <v>12.71</v>
      </c>
      <c r="F56" s="332">
        <v>1703</v>
      </c>
      <c r="G56" s="333">
        <f t="shared" si="0"/>
        <v>1.3795723434277654</v>
      </c>
      <c r="H56" s="334">
        <f t="shared" si="4"/>
        <v>1</v>
      </c>
      <c r="I56" s="335">
        <v>1060.9012487346956</v>
      </c>
      <c r="J56" s="336">
        <v>0.36315465822072263</v>
      </c>
      <c r="K56" s="336">
        <v>1.0164176852070428</v>
      </c>
      <c r="L56" s="336">
        <v>1.1180594537277471</v>
      </c>
      <c r="M56" s="329">
        <v>13</v>
      </c>
      <c r="N56" s="336">
        <v>13.213429907691555</v>
      </c>
      <c r="O56" s="336">
        <v>14.534772898460712</v>
      </c>
      <c r="P56" s="337">
        <v>883.42349676844208</v>
      </c>
      <c r="Q56" s="338">
        <v>1199.0608205796161</v>
      </c>
      <c r="R56" s="341"/>
    </row>
    <row r="57" spans="1:19" ht="13.2" customHeight="1" x14ac:dyDescent="0.3">
      <c r="A57" s="1048" t="s">
        <v>830</v>
      </c>
      <c r="B57" s="1092" t="s">
        <v>808</v>
      </c>
      <c r="C57" s="329" t="s">
        <v>831</v>
      </c>
      <c r="D57" s="330">
        <f>138480/1000000</f>
        <v>0.13847999999999999</v>
      </c>
      <c r="E57" s="330">
        <v>4.15E-3</v>
      </c>
      <c r="F57" s="332">
        <v>0.03</v>
      </c>
      <c r="G57" s="333">
        <f t="shared" si="0"/>
        <v>4.5045045045045051E-4</v>
      </c>
      <c r="H57" s="334">
        <f t="shared" si="4"/>
        <v>2.9968226458694399E-2</v>
      </c>
      <c r="I57" s="335">
        <v>0</v>
      </c>
      <c r="J57" s="336">
        <v>0</v>
      </c>
      <c r="K57" s="336">
        <v>4.5045045045045051E-4</v>
      </c>
      <c r="L57" s="336">
        <v>4.5045045045045051E-4</v>
      </c>
      <c r="M57" s="329">
        <v>1</v>
      </c>
      <c r="N57" s="336">
        <v>4.5045045045045051E-4</v>
      </c>
      <c r="O57" s="336">
        <v>4.5045045045045051E-4</v>
      </c>
      <c r="P57" s="337">
        <v>2.7378378378378383E-2</v>
      </c>
      <c r="Q57" s="338">
        <v>2.7378378378378383E-2</v>
      </c>
      <c r="R57" s="341"/>
    </row>
    <row r="58" spans="1:19" ht="14.4" x14ac:dyDescent="0.3">
      <c r="A58" s="1049"/>
      <c r="B58" s="1093"/>
      <c r="C58" s="329" t="s">
        <v>833</v>
      </c>
      <c r="D58" s="330">
        <f>138480/1000000</f>
        <v>0.13847999999999999</v>
      </c>
      <c r="E58" s="330">
        <v>1.11E-2</v>
      </c>
      <c r="F58" s="332">
        <v>0.08</v>
      </c>
      <c r="G58" s="333">
        <f t="shared" si="0"/>
        <v>1.2048192771084338E-3</v>
      </c>
      <c r="H58" s="334">
        <f t="shared" si="4"/>
        <v>8.0155979202772967E-2</v>
      </c>
      <c r="I58" s="335">
        <v>0</v>
      </c>
      <c r="J58" s="336">
        <v>0</v>
      </c>
      <c r="K58" s="336">
        <v>1.2048192771084338E-3</v>
      </c>
      <c r="L58" s="336">
        <v>1.2048192771084338E-3</v>
      </c>
      <c r="M58" s="329">
        <v>1</v>
      </c>
      <c r="N58" s="336">
        <v>1.2048192771084338E-3</v>
      </c>
      <c r="O58" s="336">
        <v>1.2048192771084338E-3</v>
      </c>
      <c r="P58" s="337">
        <v>7.3228915662650607E-2</v>
      </c>
      <c r="Q58" s="338">
        <v>7.3228915662650607E-2</v>
      </c>
      <c r="R58" s="341"/>
    </row>
    <row r="59" spans="1:19" ht="14.4" x14ac:dyDescent="0.3">
      <c r="A59" s="1049"/>
      <c r="B59" s="1093"/>
      <c r="C59" s="329" t="s">
        <v>834</v>
      </c>
      <c r="D59" s="330">
        <f>138480/1000000</f>
        <v>0.13847999999999999</v>
      </c>
      <c r="E59" s="330">
        <v>2.4899999999999999E-2</v>
      </c>
      <c r="F59" s="332">
        <f>0.18</f>
        <v>0.18</v>
      </c>
      <c r="G59" s="333">
        <f t="shared" si="0"/>
        <v>2.7027027027027029E-3</v>
      </c>
      <c r="H59" s="334">
        <f t="shared" si="4"/>
        <v>0.17980935875216639</v>
      </c>
      <c r="I59" s="335">
        <v>0</v>
      </c>
      <c r="J59" s="336">
        <v>0</v>
      </c>
      <c r="K59" s="336">
        <v>2.7027027027027029E-3</v>
      </c>
      <c r="L59" s="336">
        <v>2.7027027027027029E-3</v>
      </c>
      <c r="M59" s="329">
        <v>1</v>
      </c>
      <c r="N59" s="336">
        <v>2.7027027027027029E-3</v>
      </c>
      <c r="O59" s="336">
        <v>2.7027027027027029E-3</v>
      </c>
      <c r="P59" s="337">
        <v>0.16427027027027027</v>
      </c>
      <c r="Q59" s="338">
        <v>0.16427027027027027</v>
      </c>
      <c r="R59" s="341"/>
    </row>
    <row r="60" spans="1:19" ht="14.4" x14ac:dyDescent="0.3">
      <c r="A60" s="1049"/>
      <c r="B60" s="1094"/>
      <c r="C60" s="329" t="s">
        <v>835</v>
      </c>
      <c r="D60" s="330">
        <f>138480/1000000</f>
        <v>0.13847999999999999</v>
      </c>
      <c r="E60" s="330">
        <v>0.13600000000000001</v>
      </c>
      <c r="F60" s="332">
        <f>0.98</f>
        <v>0.98</v>
      </c>
      <c r="G60" s="333">
        <f t="shared" si="0"/>
        <v>1.4761749701508739E-2</v>
      </c>
      <c r="H60" s="334">
        <f t="shared" si="4"/>
        <v>0.98209127671865981</v>
      </c>
      <c r="I60" s="335">
        <v>0</v>
      </c>
      <c r="J60" s="336">
        <v>0</v>
      </c>
      <c r="K60" s="336">
        <v>1.4761749701508739E-2</v>
      </c>
      <c r="L60" s="336">
        <v>1.4761749701508739E-2</v>
      </c>
      <c r="M60" s="329">
        <v>1</v>
      </c>
      <c r="N60" s="336">
        <v>1.4761749701508739E-2</v>
      </c>
      <c r="O60" s="336">
        <v>1.4761749701508739E-2</v>
      </c>
      <c r="P60" s="337">
        <v>0.89721914685770121</v>
      </c>
      <c r="Q60" s="338">
        <v>0.89721914685770121</v>
      </c>
      <c r="R60" s="341"/>
    </row>
    <row r="61" spans="1:19" ht="14.4" x14ac:dyDescent="0.3">
      <c r="A61" s="1095" t="s">
        <v>753</v>
      </c>
      <c r="B61" s="1092" t="s">
        <v>808</v>
      </c>
      <c r="C61" s="329" t="s">
        <v>836</v>
      </c>
      <c r="D61" s="331">
        <f>E61/90%</f>
        <v>109.74666666666667</v>
      </c>
      <c r="E61" s="330">
        <v>98.772000000000006</v>
      </c>
      <c r="F61" s="332">
        <v>20000</v>
      </c>
      <c r="G61" s="333">
        <f t="shared" si="0"/>
        <v>10.720937805275156</v>
      </c>
      <c r="H61" s="334">
        <f t="shared" si="4"/>
        <v>0.9</v>
      </c>
      <c r="I61" s="335">
        <v>0</v>
      </c>
      <c r="J61" s="336">
        <v>0</v>
      </c>
      <c r="K61" s="336">
        <v>10.720937805275156</v>
      </c>
      <c r="L61" s="336">
        <v>10.720937805275156</v>
      </c>
      <c r="M61" s="329">
        <v>20</v>
      </c>
      <c r="N61" s="336">
        <v>214.41875610550312</v>
      </c>
      <c r="O61" s="336">
        <v>214.41875610550312</v>
      </c>
      <c r="P61" s="337">
        <v>13032.371996092479</v>
      </c>
      <c r="Q61" s="338">
        <v>13032.371996092479</v>
      </c>
      <c r="R61" s="341"/>
    </row>
    <row r="62" spans="1:19" ht="14.4" x14ac:dyDescent="0.3">
      <c r="A62" s="1096"/>
      <c r="B62" s="1093"/>
      <c r="C62" s="329" t="s">
        <v>837</v>
      </c>
      <c r="D62" s="331">
        <f>E62/90%</f>
        <v>80.183333333333337</v>
      </c>
      <c r="E62" s="330">
        <v>72.165000000000006</v>
      </c>
      <c r="F62" s="332">
        <v>20000</v>
      </c>
      <c r="G62" s="333">
        <f t="shared" si="0"/>
        <v>7.8329534353630752</v>
      </c>
      <c r="H62" s="334">
        <f t="shared" si="4"/>
        <v>0.9</v>
      </c>
      <c r="I62" s="335">
        <v>0</v>
      </c>
      <c r="J62" s="336">
        <v>0</v>
      </c>
      <c r="K62" s="336">
        <v>7.8329534353630752</v>
      </c>
      <c r="L62" s="336">
        <v>7.8329534353630752</v>
      </c>
      <c r="M62" s="329">
        <v>20</v>
      </c>
      <c r="N62" s="336">
        <v>156.6590687072615</v>
      </c>
      <c r="O62" s="336">
        <v>156.6590687072615</v>
      </c>
      <c r="P62" s="337">
        <v>9521.7381960273542</v>
      </c>
      <c r="Q62" s="338">
        <v>9521.7381960273542</v>
      </c>
      <c r="R62" s="341"/>
    </row>
    <row r="63" spans="1:19" ht="14.4" x14ac:dyDescent="0.3">
      <c r="A63" s="1096"/>
      <c r="B63" s="1093"/>
      <c r="C63" s="329" t="s">
        <v>964</v>
      </c>
      <c r="D63" s="331">
        <f>E63/60%</f>
        <v>109.74666666666667</v>
      </c>
      <c r="E63" s="330">
        <v>65.847999999999999</v>
      </c>
      <c r="F63" s="332">
        <v>4700</v>
      </c>
      <c r="G63" s="333">
        <f t="shared" si="0"/>
        <v>7.1472918701834374</v>
      </c>
      <c r="H63" s="334">
        <f t="shared" si="4"/>
        <v>0.6</v>
      </c>
      <c r="I63" s="335">
        <v>1066</v>
      </c>
      <c r="J63" s="336">
        <v>0.37309999999999999</v>
      </c>
      <c r="K63" s="336">
        <v>6.7741918701834374</v>
      </c>
      <c r="L63" s="336">
        <v>5.9612888457614259</v>
      </c>
      <c r="M63" s="329">
        <v>12</v>
      </c>
      <c r="N63" s="336">
        <v>81.290302442201252</v>
      </c>
      <c r="O63" s="336">
        <v>71.535466149137108</v>
      </c>
      <c r="P63" s="337">
        <v>4347.9256325445531</v>
      </c>
      <c r="Q63" s="338">
        <v>4587.3949426245536</v>
      </c>
      <c r="R63" s="341"/>
    </row>
    <row r="64" spans="1:19" ht="14.4" x14ac:dyDescent="0.3">
      <c r="A64" s="1097"/>
      <c r="B64" s="1094"/>
      <c r="C64" s="329" t="s">
        <v>965</v>
      </c>
      <c r="D64" s="331">
        <f>E64/60%</f>
        <v>80.183333333333337</v>
      </c>
      <c r="E64" s="330">
        <v>48.11</v>
      </c>
      <c r="F64" s="332">
        <v>4700</v>
      </c>
      <c r="G64" s="333">
        <f t="shared" si="0"/>
        <v>5.2219689569087162</v>
      </c>
      <c r="H64" s="334">
        <f t="shared" si="4"/>
        <v>0.6</v>
      </c>
      <c r="I64" s="335">
        <v>963</v>
      </c>
      <c r="J64" s="336">
        <v>0.33704999999999996</v>
      </c>
      <c r="K64" s="336">
        <v>4.8849189569087166</v>
      </c>
      <c r="L64" s="336">
        <v>4.2987286820796715</v>
      </c>
      <c r="M64" s="329">
        <v>12</v>
      </c>
      <c r="N64" s="336">
        <v>58.619027482904599</v>
      </c>
      <c r="O64" s="336">
        <v>51.584744184956051</v>
      </c>
      <c r="P64" s="337">
        <v>3135.3207515616286</v>
      </c>
      <c r="Q64" s="338">
        <v>3351.6518450016288</v>
      </c>
      <c r="R64" s="341"/>
    </row>
    <row r="65" spans="1:21" ht="14.4" x14ac:dyDescent="0.3">
      <c r="A65" s="1095" t="s">
        <v>168</v>
      </c>
      <c r="B65" s="1092" t="s">
        <v>808</v>
      </c>
      <c r="C65" s="329" t="s">
        <v>842</v>
      </c>
      <c r="D65" s="331">
        <v>43.5</v>
      </c>
      <c r="E65" s="347">
        <v>43.498209301364632</v>
      </c>
      <c r="F65" s="348">
        <v>15708</v>
      </c>
      <c r="G65" s="333">
        <f t="shared" si="0"/>
        <v>4.7213946924307644</v>
      </c>
      <c r="H65" s="334">
        <f t="shared" si="4"/>
        <v>0.99995883451412948</v>
      </c>
      <c r="I65" s="349">
        <v>2757.84</v>
      </c>
      <c r="J65" s="336">
        <v>1.0341900000000002</v>
      </c>
      <c r="K65" s="336">
        <v>3.6872046924307642</v>
      </c>
      <c r="L65" s="336">
        <v>3.6872046924307642</v>
      </c>
      <c r="M65" s="329">
        <v>8</v>
      </c>
      <c r="N65" s="336">
        <v>29.497637539446114</v>
      </c>
      <c r="O65" s="336">
        <v>29.497637539446114</v>
      </c>
      <c r="P65" s="337">
        <v>1792.8664096475347</v>
      </c>
      <c r="Q65" s="338">
        <v>2295.7309552475349</v>
      </c>
      <c r="R65" s="341"/>
    </row>
    <row r="66" spans="1:21" ht="14.4" x14ac:dyDescent="0.3">
      <c r="A66" s="1096"/>
      <c r="B66" s="1093"/>
      <c r="C66" s="329" t="s">
        <v>844</v>
      </c>
      <c r="D66" s="331">
        <v>43.5</v>
      </c>
      <c r="E66" s="347">
        <v>32.445634741366938</v>
      </c>
      <c r="F66" s="348">
        <v>7301</v>
      </c>
      <c r="G66" s="333">
        <f t="shared" si="0"/>
        <v>3.5217230805781981</v>
      </c>
      <c r="H66" s="334">
        <f t="shared" si="4"/>
        <v>0.74587666072107905</v>
      </c>
      <c r="I66" s="349">
        <v>1697.81</v>
      </c>
      <c r="J66" s="336">
        <v>0.63667875000000007</v>
      </c>
      <c r="K66" s="336">
        <v>2.8850443305781979</v>
      </c>
      <c r="L66" s="336">
        <v>2.8850443305781979</v>
      </c>
      <c r="M66" s="329">
        <v>8</v>
      </c>
      <c r="N66" s="336">
        <v>23.080354644625583</v>
      </c>
      <c r="O66" s="336">
        <v>23.080354644625583</v>
      </c>
      <c r="P66" s="337">
        <v>1402.823955300343</v>
      </c>
      <c r="Q66" s="338">
        <v>1712.402630700343</v>
      </c>
      <c r="R66" s="341"/>
    </row>
    <row r="67" spans="1:21" ht="14.4" x14ac:dyDescent="0.3">
      <c r="A67" s="1096"/>
      <c r="B67" s="1093"/>
      <c r="C67" s="329" t="s">
        <v>845</v>
      </c>
      <c r="D67" s="331">
        <v>43.5</v>
      </c>
      <c r="E67" s="347">
        <v>43.498209301364632</v>
      </c>
      <c r="F67" s="348">
        <v>15708</v>
      </c>
      <c r="G67" s="333">
        <f t="shared" ref="G67:G110" si="5">E67/$G$120</f>
        <v>4.7213946924307644</v>
      </c>
      <c r="H67" s="334">
        <f t="shared" si="4"/>
        <v>0.99995883451412948</v>
      </c>
      <c r="I67" s="349">
        <v>2757.84</v>
      </c>
      <c r="J67" s="336">
        <v>1.0341900000000002</v>
      </c>
      <c r="K67" s="336">
        <v>3.6872046924307642</v>
      </c>
      <c r="L67" s="336">
        <v>3.6872046924307642</v>
      </c>
      <c r="M67" s="329">
        <v>4</v>
      </c>
      <c r="N67" s="336">
        <v>14.748818769723057</v>
      </c>
      <c r="O67" s="336">
        <v>14.748818769723057</v>
      </c>
      <c r="P67" s="337"/>
      <c r="Q67" s="338"/>
      <c r="R67" s="341"/>
    </row>
    <row r="68" spans="1:21" ht="14.4" x14ac:dyDescent="0.3">
      <c r="A68" s="1097"/>
      <c r="B68" s="1094"/>
      <c r="C68" s="329" t="s">
        <v>846</v>
      </c>
      <c r="D68" s="331">
        <v>43.5</v>
      </c>
      <c r="E68" s="347">
        <v>32.445634741366938</v>
      </c>
      <c r="F68" s="348">
        <v>7301</v>
      </c>
      <c r="G68" s="333">
        <f t="shared" si="5"/>
        <v>3.5217230805781981</v>
      </c>
      <c r="H68" s="334">
        <f t="shared" si="4"/>
        <v>0.74587666072107905</v>
      </c>
      <c r="I68" s="349">
        <v>1697.81</v>
      </c>
      <c r="J68" s="336">
        <v>0.63667875000000007</v>
      </c>
      <c r="K68" s="336">
        <v>2.8850443305781979</v>
      </c>
      <c r="L68" s="336">
        <v>2.8850443305781979</v>
      </c>
      <c r="M68" s="329">
        <v>4</v>
      </c>
      <c r="N68" s="336">
        <v>11.540177322312791</v>
      </c>
      <c r="O68" s="336">
        <v>11.540177322312791</v>
      </c>
      <c r="P68" s="337"/>
      <c r="Q68" s="338"/>
      <c r="R68" s="341"/>
    </row>
    <row r="69" spans="1:21" ht="14.4" x14ac:dyDescent="0.3">
      <c r="A69" s="1095" t="s">
        <v>754</v>
      </c>
      <c r="B69" s="1092" t="s">
        <v>808</v>
      </c>
      <c r="C69" s="329" t="s">
        <v>847</v>
      </c>
      <c r="D69" s="331" t="s">
        <v>695</v>
      </c>
      <c r="E69" s="347">
        <v>15.09</v>
      </c>
      <c r="F69" s="332">
        <v>5900</v>
      </c>
      <c r="G69" s="333">
        <f t="shared" si="5"/>
        <v>1.6379029632041682</v>
      </c>
      <c r="H69" s="334" t="s">
        <v>695</v>
      </c>
      <c r="I69" s="349">
        <v>1185</v>
      </c>
      <c r="J69" s="336">
        <v>0.42896999999999996</v>
      </c>
      <c r="K69" s="336">
        <v>1.2089329632041683</v>
      </c>
      <c r="L69" s="336">
        <v>1.2089329632041683</v>
      </c>
      <c r="M69" s="329">
        <v>10</v>
      </c>
      <c r="N69" s="336">
        <v>12.089329632041682</v>
      </c>
      <c r="O69" s="336">
        <v>12.089329632041682</v>
      </c>
      <c r="P69" s="337">
        <v>734.78945503549346</v>
      </c>
      <c r="Q69" s="338">
        <v>995.5174210354935</v>
      </c>
      <c r="R69" s="341"/>
    </row>
    <row r="70" spans="1:21" ht="14.4" x14ac:dyDescent="0.3">
      <c r="A70" s="1096"/>
      <c r="B70" s="1093"/>
      <c r="C70" s="329" t="s">
        <v>848</v>
      </c>
      <c r="D70" s="331" t="s">
        <v>695</v>
      </c>
      <c r="E70" s="347">
        <v>43.15</v>
      </c>
      <c r="F70" s="332">
        <v>55000</v>
      </c>
      <c r="G70" s="333">
        <f t="shared" si="5"/>
        <v>4.6835992619125149</v>
      </c>
      <c r="H70" s="334" t="s">
        <v>695</v>
      </c>
      <c r="I70" s="349">
        <v>3389</v>
      </c>
      <c r="J70" s="336">
        <v>1.226818</v>
      </c>
      <c r="K70" s="336">
        <v>3.4567812619125151</v>
      </c>
      <c r="L70" s="336">
        <v>3.4567812619125151</v>
      </c>
      <c r="M70" s="329">
        <v>10</v>
      </c>
      <c r="N70" s="336">
        <v>34.567812619125149</v>
      </c>
      <c r="O70" s="336">
        <v>34.567812619125149</v>
      </c>
      <c r="P70" s="337">
        <v>2101.0316509904264</v>
      </c>
      <c r="Q70" s="338">
        <v>2846.6916313904267</v>
      </c>
      <c r="R70" s="341"/>
    </row>
    <row r="71" spans="1:21" ht="14.4" x14ac:dyDescent="0.3">
      <c r="A71" s="1096"/>
      <c r="B71" s="1093"/>
      <c r="C71" s="329" t="s">
        <v>849</v>
      </c>
      <c r="D71" s="331" t="s">
        <v>695</v>
      </c>
      <c r="E71" s="347">
        <v>23.03</v>
      </c>
      <c r="F71" s="332">
        <v>3200</v>
      </c>
      <c r="G71" s="333">
        <f t="shared" si="5"/>
        <v>2.4997286443069577</v>
      </c>
      <c r="H71" s="334" t="s">
        <v>695</v>
      </c>
      <c r="I71" s="349">
        <v>1809</v>
      </c>
      <c r="J71" s="336">
        <v>0.65485799999999994</v>
      </c>
      <c r="K71" s="336">
        <v>1.8448706443069578</v>
      </c>
      <c r="L71" s="336">
        <v>1.8448706443069578</v>
      </c>
      <c r="M71" s="329">
        <v>10</v>
      </c>
      <c r="N71" s="336">
        <v>18.448706443069579</v>
      </c>
      <c r="O71" s="336">
        <v>18.448706443069579</v>
      </c>
      <c r="P71" s="337">
        <v>1121.3123776097691</v>
      </c>
      <c r="Q71" s="338">
        <v>1519.335070009769</v>
      </c>
      <c r="R71" s="341"/>
    </row>
    <row r="72" spans="1:21" s="339" customFormat="1" ht="14.4" x14ac:dyDescent="0.3">
      <c r="A72" s="1097"/>
      <c r="B72" s="1094"/>
      <c r="C72" s="350" t="s">
        <v>850</v>
      </c>
      <c r="D72" s="351" t="s">
        <v>695</v>
      </c>
      <c r="E72" s="352">
        <v>1.03</v>
      </c>
      <c r="F72" s="353">
        <v>3200</v>
      </c>
      <c r="G72" s="354">
        <f t="shared" si="5"/>
        <v>0.11179854553348531</v>
      </c>
      <c r="H72" s="334" t="s">
        <v>695</v>
      </c>
      <c r="I72" s="349">
        <v>1141.43</v>
      </c>
      <c r="J72" s="336">
        <v>0.41319765999999997</v>
      </c>
      <c r="K72" s="336">
        <v>-0.30139911446651468</v>
      </c>
      <c r="L72" s="355">
        <v>-0.30139911446651468</v>
      </c>
      <c r="M72" s="350">
        <v>10</v>
      </c>
      <c r="N72" s="336">
        <v>-3.0139911446651468</v>
      </c>
      <c r="O72" s="336">
        <v>-3.0139911446651468</v>
      </c>
      <c r="P72" s="337">
        <v>-183.19038177274763</v>
      </c>
      <c r="Q72" s="338">
        <v>67.951155975252377</v>
      </c>
      <c r="R72" s="341"/>
      <c r="S72" s="317"/>
      <c r="U72" s="317"/>
    </row>
    <row r="73" spans="1:21" ht="14.4" x14ac:dyDescent="0.3">
      <c r="A73" s="995" t="s">
        <v>755</v>
      </c>
      <c r="B73" s="989" t="s">
        <v>808</v>
      </c>
      <c r="C73" s="356" t="s">
        <v>966</v>
      </c>
      <c r="D73" s="357">
        <v>82.8</v>
      </c>
      <c r="E73" s="358">
        <v>4.3600000000000003</v>
      </c>
      <c r="F73" s="359">
        <v>175</v>
      </c>
      <c r="G73" s="333">
        <f t="shared" si="5"/>
        <v>0.47324432866601551</v>
      </c>
      <c r="H73" s="334">
        <f t="shared" ref="H73:H110" si="6">E73/D73</f>
        <v>5.2657004830917883E-2</v>
      </c>
      <c r="I73" s="335">
        <v>0</v>
      </c>
      <c r="J73" s="336">
        <v>0</v>
      </c>
      <c r="K73" s="336">
        <v>0.47324432866601551</v>
      </c>
      <c r="L73" s="336">
        <v>0.47324432866601551</v>
      </c>
      <c r="M73" s="356">
        <v>10</v>
      </c>
      <c r="N73" s="336">
        <v>4.7324432866601551</v>
      </c>
      <c r="O73" s="336">
        <v>4.7324432866601551</v>
      </c>
      <c r="P73" s="337">
        <v>287.63790296320423</v>
      </c>
      <c r="Q73" s="338">
        <v>287.63790296320423</v>
      </c>
      <c r="R73" s="341"/>
    </row>
    <row r="74" spans="1:21" ht="14.4" x14ac:dyDescent="0.3">
      <c r="A74" s="995" t="s">
        <v>756</v>
      </c>
      <c r="B74" s="989" t="s">
        <v>808</v>
      </c>
      <c r="C74" s="329" t="s">
        <v>853</v>
      </c>
      <c r="D74" s="331">
        <v>38.299999999999997</v>
      </c>
      <c r="E74" s="330">
        <v>6.1589999999999998</v>
      </c>
      <c r="F74" s="332">
        <v>2825</v>
      </c>
      <c r="G74" s="333">
        <f t="shared" si="5"/>
        <v>0.66851188537935524</v>
      </c>
      <c r="H74" s="334">
        <f t="shared" si="6"/>
        <v>0.16080939947780679</v>
      </c>
      <c r="I74" s="335">
        <v>30</v>
      </c>
      <c r="J74" s="336">
        <v>1.125E-2</v>
      </c>
      <c r="K74" s="336">
        <v>0.65726188537935526</v>
      </c>
      <c r="L74" s="336">
        <v>0.65726188537935526</v>
      </c>
      <c r="M74" s="329">
        <v>8</v>
      </c>
      <c r="N74" s="336">
        <v>5.2580950830348421</v>
      </c>
      <c r="O74" s="336">
        <v>5.2580950830348421</v>
      </c>
      <c r="P74" s="337">
        <v>319.5870191468577</v>
      </c>
      <c r="Q74" s="338">
        <v>325.05721914685768</v>
      </c>
      <c r="R74" s="341"/>
    </row>
    <row r="75" spans="1:21" ht="14.4" x14ac:dyDescent="0.3">
      <c r="A75" s="995" t="s">
        <v>757</v>
      </c>
      <c r="B75" s="989" t="s">
        <v>808</v>
      </c>
      <c r="C75" s="329" t="s">
        <v>854</v>
      </c>
      <c r="D75" s="331" t="s">
        <v>695</v>
      </c>
      <c r="E75" s="331" t="s">
        <v>695</v>
      </c>
      <c r="F75" s="332">
        <v>450000</v>
      </c>
      <c r="G75" s="336" t="s">
        <v>695</v>
      </c>
      <c r="H75" s="336" t="s">
        <v>695</v>
      </c>
      <c r="I75" s="335" t="s">
        <v>695</v>
      </c>
      <c r="J75" s="336" t="s">
        <v>695</v>
      </c>
      <c r="K75" s="336" t="e">
        <v>#VALUE!</v>
      </c>
      <c r="L75" s="336" t="e">
        <v>#VALUE!</v>
      </c>
      <c r="M75" s="329">
        <v>12</v>
      </c>
      <c r="N75" s="336" t="e">
        <v>#VALUE!</v>
      </c>
      <c r="O75" s="336" t="e">
        <v>#VALUE!</v>
      </c>
      <c r="P75" s="337" t="e">
        <v>#VALUE!</v>
      </c>
      <c r="Q75" s="338" t="e">
        <v>#VALUE!</v>
      </c>
      <c r="R75" s="341"/>
    </row>
    <row r="76" spans="1:21" ht="14.4" x14ac:dyDescent="0.3">
      <c r="A76" s="995" t="s">
        <v>758</v>
      </c>
      <c r="B76" s="989" t="s">
        <v>808</v>
      </c>
      <c r="C76" s="329" t="s">
        <v>855</v>
      </c>
      <c r="D76" s="331" t="s">
        <v>695</v>
      </c>
      <c r="E76" s="331" t="s">
        <v>695</v>
      </c>
      <c r="F76" s="332">
        <v>128796</v>
      </c>
      <c r="G76" s="336" t="s">
        <v>695</v>
      </c>
      <c r="H76" s="336" t="s">
        <v>695</v>
      </c>
      <c r="I76" s="335" t="s">
        <v>695</v>
      </c>
      <c r="J76" s="336" t="s">
        <v>695</v>
      </c>
      <c r="K76" s="336" t="e">
        <v>#VALUE!</v>
      </c>
      <c r="L76" s="336" t="e">
        <v>#VALUE!</v>
      </c>
      <c r="M76" s="329">
        <v>12</v>
      </c>
      <c r="N76" s="336" t="e">
        <v>#VALUE!</v>
      </c>
      <c r="O76" s="336" t="e">
        <v>#VALUE!</v>
      </c>
      <c r="P76" s="337" t="e">
        <v>#VALUE!</v>
      </c>
      <c r="Q76" s="338" t="e">
        <v>#VALUE!</v>
      </c>
      <c r="R76" s="341"/>
    </row>
    <row r="77" spans="1:21" ht="14.4" x14ac:dyDescent="0.3">
      <c r="A77" s="995" t="s">
        <v>759</v>
      </c>
      <c r="B77" s="989" t="s">
        <v>808</v>
      </c>
      <c r="C77" s="329" t="s">
        <v>856</v>
      </c>
      <c r="D77" s="331" t="s">
        <v>695</v>
      </c>
      <c r="E77" s="331" t="s">
        <v>695</v>
      </c>
      <c r="F77" s="332">
        <v>75000</v>
      </c>
      <c r="G77" s="336" t="s">
        <v>695</v>
      </c>
      <c r="H77" s="336" t="s">
        <v>695</v>
      </c>
      <c r="I77" s="335" t="s">
        <v>695</v>
      </c>
      <c r="J77" s="336" t="s">
        <v>695</v>
      </c>
      <c r="K77" s="336" t="e">
        <v>#VALUE!</v>
      </c>
      <c r="L77" s="336" t="e">
        <v>#VALUE!</v>
      </c>
      <c r="M77" s="329">
        <v>8</v>
      </c>
      <c r="N77" s="336" t="e">
        <v>#VALUE!</v>
      </c>
      <c r="O77" s="336" t="e">
        <v>#VALUE!</v>
      </c>
      <c r="P77" s="337" t="e">
        <v>#VALUE!</v>
      </c>
      <c r="Q77" s="338" t="e">
        <v>#VALUE!</v>
      </c>
      <c r="R77" s="341"/>
    </row>
    <row r="78" spans="1:21" ht="14.4" x14ac:dyDescent="0.3">
      <c r="A78" s="1098" t="s">
        <v>760</v>
      </c>
      <c r="B78" s="989" t="s">
        <v>808</v>
      </c>
      <c r="C78" s="356" t="s">
        <v>857</v>
      </c>
      <c r="D78" s="331">
        <v>12.1</v>
      </c>
      <c r="E78" s="330">
        <v>0.1386</v>
      </c>
      <c r="F78" s="332">
        <v>8</v>
      </c>
      <c r="G78" s="333">
        <f t="shared" si="5"/>
        <v>1.5043959622272876E-2</v>
      </c>
      <c r="H78" s="334">
        <f t="shared" si="6"/>
        <v>1.1454545454545455E-2</v>
      </c>
      <c r="I78" s="335">
        <v>0</v>
      </c>
      <c r="J78" s="336">
        <v>0</v>
      </c>
      <c r="K78" s="336">
        <v>1.5043959622272876E-2</v>
      </c>
      <c r="L78" s="336">
        <v>1.3539563660045587E-2</v>
      </c>
      <c r="M78" s="329">
        <v>10</v>
      </c>
      <c r="N78" s="336">
        <v>0.15043959622272876</v>
      </c>
      <c r="O78" s="336">
        <v>0.13539563660045587</v>
      </c>
      <c r="P78" s="337">
        <v>8.2293467925757078</v>
      </c>
      <c r="Q78" s="338">
        <v>8.2293467925757078</v>
      </c>
      <c r="R78" s="341"/>
    </row>
    <row r="79" spans="1:21" ht="14.4" x14ac:dyDescent="0.3">
      <c r="A79" s="1099"/>
      <c r="B79" s="989" t="s">
        <v>808</v>
      </c>
      <c r="C79" s="356" t="s">
        <v>858</v>
      </c>
      <c r="D79" s="331">
        <v>12.1</v>
      </c>
      <c r="E79" s="330">
        <v>9.8400000000000001E-2</v>
      </c>
      <c r="F79" s="332">
        <v>8</v>
      </c>
      <c r="G79" s="333">
        <f t="shared" si="5"/>
        <v>1.0680560078150441E-2</v>
      </c>
      <c r="H79" s="334">
        <f t="shared" si="6"/>
        <v>8.1322314049586779E-3</v>
      </c>
      <c r="I79" s="335">
        <v>0</v>
      </c>
      <c r="J79" s="336">
        <v>0</v>
      </c>
      <c r="K79" s="336">
        <v>1.0680560078150441E-2</v>
      </c>
      <c r="L79" s="336">
        <v>9.6125040703353964E-3</v>
      </c>
      <c r="M79" s="329">
        <v>10</v>
      </c>
      <c r="N79" s="336">
        <v>0.10680560078150442</v>
      </c>
      <c r="O79" s="336">
        <v>9.6125040703353967E-2</v>
      </c>
      <c r="P79" s="337">
        <v>5.8424799739498541</v>
      </c>
      <c r="Q79" s="338">
        <v>5.8424799739498541</v>
      </c>
      <c r="R79" s="341"/>
    </row>
    <row r="80" spans="1:21" ht="14.4" x14ac:dyDescent="0.3">
      <c r="A80" s="1100"/>
      <c r="B80" s="989" t="s">
        <v>808</v>
      </c>
      <c r="C80" s="356" t="s">
        <v>859</v>
      </c>
      <c r="D80" s="331">
        <v>12.1</v>
      </c>
      <c r="E80" s="330">
        <v>5.7099999999999998E-2</v>
      </c>
      <c r="F80" s="332">
        <v>3</v>
      </c>
      <c r="G80" s="333">
        <f t="shared" si="5"/>
        <v>6.1977640290893305E-3</v>
      </c>
      <c r="H80" s="334">
        <f t="shared" si="6"/>
        <v>4.7190082644628095E-3</v>
      </c>
      <c r="I80" s="335">
        <v>0</v>
      </c>
      <c r="J80" s="336">
        <v>0</v>
      </c>
      <c r="K80" s="336">
        <v>6.1977640290893305E-3</v>
      </c>
      <c r="L80" s="336">
        <v>5.577987626180397E-3</v>
      </c>
      <c r="M80" s="329">
        <v>10</v>
      </c>
      <c r="N80" s="336">
        <v>6.1977640290893303E-2</v>
      </c>
      <c r="O80" s="336">
        <v>5.5779876261803966E-2</v>
      </c>
      <c r="P80" s="337">
        <v>3.3903008791924449</v>
      </c>
      <c r="Q80" s="338">
        <v>3.3903008791924449</v>
      </c>
      <c r="R80" s="341"/>
    </row>
    <row r="81" spans="1:19" ht="14.4" x14ac:dyDescent="0.3">
      <c r="A81" s="994" t="s">
        <v>761</v>
      </c>
      <c r="B81" s="989" t="s">
        <v>808</v>
      </c>
      <c r="C81" s="329" t="s">
        <v>860</v>
      </c>
      <c r="D81" s="331">
        <v>12.1</v>
      </c>
      <c r="E81" s="330">
        <v>1.6</v>
      </c>
      <c r="F81" s="332">
        <v>15</v>
      </c>
      <c r="G81" s="333">
        <f t="shared" si="5"/>
        <v>0.17366764354716163</v>
      </c>
      <c r="H81" s="334">
        <f t="shared" si="6"/>
        <v>0.13223140495867769</v>
      </c>
      <c r="I81" s="335">
        <v>0</v>
      </c>
      <c r="J81" s="336">
        <v>0</v>
      </c>
      <c r="K81" s="336">
        <v>0.17366764354716163</v>
      </c>
      <c r="L81" s="336">
        <v>0.15630087919244545</v>
      </c>
      <c r="M81" s="329">
        <v>10</v>
      </c>
      <c r="N81" s="336">
        <v>1.7366764354716162</v>
      </c>
      <c r="O81" s="336">
        <v>1.5630087919244544</v>
      </c>
      <c r="P81" s="337">
        <v>94.999674373168347</v>
      </c>
      <c r="Q81" s="338">
        <v>94.999674373168347</v>
      </c>
      <c r="R81" s="341"/>
    </row>
    <row r="82" spans="1:19" ht="14.4" x14ac:dyDescent="0.3">
      <c r="A82" s="1091" t="s">
        <v>762</v>
      </c>
      <c r="B82" s="989" t="s">
        <v>808</v>
      </c>
      <c r="C82" s="329" t="s">
        <v>861</v>
      </c>
      <c r="D82" s="331">
        <v>15.02</v>
      </c>
      <c r="E82" s="330">
        <v>7.69</v>
      </c>
      <c r="F82" s="332">
        <v>11200</v>
      </c>
      <c r="G82" s="333">
        <f t="shared" si="5"/>
        <v>0.83469011179854569</v>
      </c>
      <c r="H82" s="334">
        <f t="shared" si="6"/>
        <v>0.51198402130492682</v>
      </c>
      <c r="I82" s="335">
        <v>0</v>
      </c>
      <c r="J82" s="336">
        <v>0</v>
      </c>
      <c r="K82" s="336">
        <v>0.83469011179854569</v>
      </c>
      <c r="L82" s="336">
        <v>0.75122110061869107</v>
      </c>
      <c r="M82" s="329">
        <v>20</v>
      </c>
      <c r="N82" s="336">
        <v>16.693802235970914</v>
      </c>
      <c r="O82" s="336">
        <v>15.024422012373821</v>
      </c>
      <c r="P82" s="337">
        <v>913.1843699120808</v>
      </c>
      <c r="Q82" s="338">
        <v>913.1843699120808</v>
      </c>
      <c r="R82" s="341"/>
    </row>
    <row r="83" spans="1:19" ht="14.4" x14ac:dyDescent="0.3">
      <c r="A83" s="1091"/>
      <c r="B83" s="989" t="s">
        <v>808</v>
      </c>
      <c r="C83" s="329" t="s">
        <v>862</v>
      </c>
      <c r="D83" s="331">
        <v>15.02</v>
      </c>
      <c r="E83" s="330">
        <v>9.7799999999999994</v>
      </c>
      <c r="F83" s="332">
        <v>11200</v>
      </c>
      <c r="G83" s="333">
        <f t="shared" si="5"/>
        <v>1.0615434711820255</v>
      </c>
      <c r="H83" s="334">
        <f t="shared" si="6"/>
        <v>0.65113182423435412</v>
      </c>
      <c r="I83" s="335">
        <v>0</v>
      </c>
      <c r="J83" s="336">
        <v>0</v>
      </c>
      <c r="K83" s="336">
        <v>1.0615434711820255</v>
      </c>
      <c r="L83" s="336">
        <v>0.95538912406382293</v>
      </c>
      <c r="M83" s="329">
        <v>20</v>
      </c>
      <c r="N83" s="336">
        <v>21.23086942364051</v>
      </c>
      <c r="O83" s="336">
        <v>19.107782481276455</v>
      </c>
      <c r="P83" s="337">
        <v>1161.3710192119829</v>
      </c>
      <c r="Q83" s="338">
        <v>1161.3710192119829</v>
      </c>
      <c r="R83" s="341"/>
    </row>
    <row r="84" spans="1:19" ht="14.4" x14ac:dyDescent="0.3">
      <c r="A84" s="1091"/>
      <c r="B84" s="989" t="s">
        <v>808</v>
      </c>
      <c r="C84" s="329" t="s">
        <v>863</v>
      </c>
      <c r="D84" s="331">
        <v>15.02</v>
      </c>
      <c r="E84" s="330">
        <v>10.95</v>
      </c>
      <c r="F84" s="332">
        <v>11200</v>
      </c>
      <c r="G84" s="333">
        <f t="shared" si="5"/>
        <v>1.1885379355258874</v>
      </c>
      <c r="H84" s="334">
        <f t="shared" si="6"/>
        <v>0.72902796271637815</v>
      </c>
      <c r="I84" s="335">
        <v>0</v>
      </c>
      <c r="J84" s="336">
        <v>0</v>
      </c>
      <c r="K84" s="336">
        <v>1.1885379355258874</v>
      </c>
      <c r="L84" s="336">
        <v>1.0696841419732985</v>
      </c>
      <c r="M84" s="329">
        <v>20</v>
      </c>
      <c r="N84" s="336">
        <v>23.770758710517747</v>
      </c>
      <c r="O84" s="336">
        <v>21.393682839465971</v>
      </c>
      <c r="P84" s="337">
        <v>1300.3080429827417</v>
      </c>
      <c r="Q84" s="338">
        <v>1300.3080429827417</v>
      </c>
      <c r="R84" s="341"/>
    </row>
    <row r="85" spans="1:19" ht="14.4" x14ac:dyDescent="0.3">
      <c r="A85" s="1091"/>
      <c r="B85" s="989" t="s">
        <v>808</v>
      </c>
      <c r="C85" s="329" t="s">
        <v>864</v>
      </c>
      <c r="D85" s="331">
        <v>15.02</v>
      </c>
      <c r="E85" s="330">
        <v>11.86</v>
      </c>
      <c r="F85" s="332">
        <v>11200</v>
      </c>
      <c r="G85" s="333">
        <f t="shared" si="5"/>
        <v>1.2873114077933356</v>
      </c>
      <c r="H85" s="334">
        <f t="shared" si="6"/>
        <v>0.78961384820239677</v>
      </c>
      <c r="I85" s="335">
        <v>0</v>
      </c>
      <c r="J85" s="336">
        <v>0</v>
      </c>
      <c r="K85" s="336">
        <v>1.2873114077933356</v>
      </c>
      <c r="L85" s="336">
        <v>1.158580267014002</v>
      </c>
      <c r="M85" s="329">
        <v>20</v>
      </c>
      <c r="N85" s="336">
        <v>25.746228155866714</v>
      </c>
      <c r="O85" s="336">
        <v>23.171605340280038</v>
      </c>
      <c r="P85" s="337">
        <v>1408.3701725822207</v>
      </c>
      <c r="Q85" s="338">
        <v>1408.3701725822207</v>
      </c>
      <c r="R85" s="341"/>
    </row>
    <row r="86" spans="1:19" s="339" customFormat="1" ht="14.4" x14ac:dyDescent="0.3">
      <c r="A86" s="1104" t="s">
        <v>763</v>
      </c>
      <c r="B86" s="1101" t="s">
        <v>808</v>
      </c>
      <c r="C86" s="360" t="s">
        <v>865</v>
      </c>
      <c r="D86" s="361">
        <v>137.4</v>
      </c>
      <c r="E86" s="362">
        <v>137.4</v>
      </c>
      <c r="F86" s="348" t="s">
        <v>695</v>
      </c>
      <c r="G86" s="354">
        <f t="shared" si="5"/>
        <v>14.913708889612506</v>
      </c>
      <c r="H86" s="363">
        <f t="shared" si="6"/>
        <v>1</v>
      </c>
      <c r="I86" s="349">
        <v>13885.505186780467</v>
      </c>
      <c r="J86" s="336">
        <v>5.2070644450426755</v>
      </c>
      <c r="K86" s="355">
        <v>9.7066444445698306</v>
      </c>
      <c r="L86" s="355">
        <v>9.7066444445698306</v>
      </c>
      <c r="M86" s="360">
        <v>8</v>
      </c>
      <c r="N86" s="355">
        <v>77.653155556558644</v>
      </c>
      <c r="O86" s="355">
        <v>77.653155556558644</v>
      </c>
      <c r="P86" s="337">
        <v>4719.7587947276343</v>
      </c>
      <c r="Q86" s="338">
        <v>7251.6418104851855</v>
      </c>
      <c r="R86" s="341"/>
      <c r="S86" s="317"/>
    </row>
    <row r="87" spans="1:19" s="339" customFormat="1" ht="14.4" x14ac:dyDescent="0.3">
      <c r="A87" s="1104"/>
      <c r="B87" s="1103"/>
      <c r="C87" s="360" t="s">
        <v>867</v>
      </c>
      <c r="D87" s="361">
        <v>137.4</v>
      </c>
      <c r="E87" s="362">
        <v>137.4</v>
      </c>
      <c r="F87" s="348" t="s">
        <v>695</v>
      </c>
      <c r="G87" s="354">
        <f t="shared" si="5"/>
        <v>14.913708889612506</v>
      </c>
      <c r="H87" s="363">
        <f t="shared" si="6"/>
        <v>1</v>
      </c>
      <c r="I87" s="349">
        <v>13885.505186780467</v>
      </c>
      <c r="J87" s="336">
        <v>5.5542020747121867</v>
      </c>
      <c r="K87" s="355">
        <v>9.3595068149003193</v>
      </c>
      <c r="L87" s="355">
        <v>9.3595068149003193</v>
      </c>
      <c r="M87" s="360">
        <v>4</v>
      </c>
      <c r="N87" s="355">
        <v>37.438027259601277</v>
      </c>
      <c r="O87" s="355">
        <v>37.438027259601277</v>
      </c>
      <c r="P87" s="337">
        <v>2275.4832968385658</v>
      </c>
      <c r="Q87" s="338">
        <v>3625.8209052425927</v>
      </c>
      <c r="R87" s="341"/>
      <c r="S87" s="317"/>
    </row>
    <row r="88" spans="1:19" s="339" customFormat="1" ht="14.4" x14ac:dyDescent="0.3">
      <c r="A88" s="996" t="s">
        <v>764</v>
      </c>
      <c r="B88" s="987" t="s">
        <v>808</v>
      </c>
      <c r="C88" s="360" t="s">
        <v>868</v>
      </c>
      <c r="D88" s="361">
        <v>7.8324999999999996</v>
      </c>
      <c r="E88" s="347">
        <v>7.8324999999999996</v>
      </c>
      <c r="F88" s="348" t="s">
        <v>695</v>
      </c>
      <c r="G88" s="354">
        <f t="shared" si="5"/>
        <v>0.85015738630196469</v>
      </c>
      <c r="H88" s="363">
        <f t="shared" si="6"/>
        <v>1</v>
      </c>
      <c r="I88" s="349">
        <v>757.50812185089751</v>
      </c>
      <c r="J88" s="336">
        <v>0.2984582000092536</v>
      </c>
      <c r="K88" s="355">
        <v>0.55169918629271109</v>
      </c>
      <c r="L88" s="355">
        <v>0.55169918629271109</v>
      </c>
      <c r="M88" s="360">
        <v>5</v>
      </c>
      <c r="N88" s="355">
        <v>2.7584959314635555</v>
      </c>
      <c r="O88" s="355">
        <v>2.7584959314635555</v>
      </c>
      <c r="P88" s="337">
        <v>167.66138271435491</v>
      </c>
      <c r="Q88" s="338">
        <v>258.36282969716711</v>
      </c>
      <c r="R88" s="341"/>
      <c r="S88" s="317"/>
    </row>
    <row r="89" spans="1:19" s="339" customFormat="1" ht="14.4" x14ac:dyDescent="0.3">
      <c r="A89" s="1104" t="s">
        <v>765</v>
      </c>
      <c r="B89" s="1043" t="s">
        <v>808</v>
      </c>
      <c r="C89" s="360" t="s">
        <v>869</v>
      </c>
      <c r="D89" s="361">
        <v>82.8</v>
      </c>
      <c r="E89" s="347">
        <v>47.8808842962261</v>
      </c>
      <c r="F89" s="348">
        <v>5746</v>
      </c>
      <c r="G89" s="354">
        <f t="shared" si="5"/>
        <v>5.1971002166749267</v>
      </c>
      <c r="H89" s="363">
        <f t="shared" si="6"/>
        <v>0.57827154947132975</v>
      </c>
      <c r="I89" s="349">
        <v>4472.34711132546</v>
      </c>
      <c r="J89" s="336">
        <v>1.1932219272478646</v>
      </c>
      <c r="K89" s="355">
        <v>4.0038782894270621</v>
      </c>
      <c r="L89" s="355">
        <v>4.0038782894270621</v>
      </c>
      <c r="M89" s="360">
        <v>18</v>
      </c>
      <c r="N89" s="355">
        <v>72.069809209687122</v>
      </c>
      <c r="O89" s="355">
        <v>72.069809209687122</v>
      </c>
      <c r="P89" s="337">
        <v>4380.4030037647835</v>
      </c>
      <c r="Q89" s="343">
        <v>5685.8355210510372</v>
      </c>
      <c r="R89" s="364"/>
    </row>
    <row r="90" spans="1:19" s="339" customFormat="1" ht="14.4" x14ac:dyDescent="0.3">
      <c r="A90" s="1104"/>
      <c r="B90" s="1043"/>
      <c r="C90" s="360" t="s">
        <v>871</v>
      </c>
      <c r="D90" s="361">
        <v>82.8</v>
      </c>
      <c r="E90" s="347">
        <v>61.455281620035414</v>
      </c>
      <c r="F90" s="348">
        <v>7591</v>
      </c>
      <c r="G90" s="354">
        <f t="shared" si="5"/>
        <v>6.6704962140492148</v>
      </c>
      <c r="H90" s="363">
        <f t="shared" si="6"/>
        <v>0.74221354613569346</v>
      </c>
      <c r="I90" s="349">
        <v>5692.4423332767701</v>
      </c>
      <c r="J90" s="336">
        <v>1.5187432555177511</v>
      </c>
      <c r="K90" s="355">
        <v>5.1517529585314641</v>
      </c>
      <c r="L90" s="355">
        <v>5.1517529585314641</v>
      </c>
      <c r="M90" s="360">
        <v>18</v>
      </c>
      <c r="N90" s="355">
        <v>92.731553253566346</v>
      </c>
      <c r="O90" s="355">
        <v>92.731553253566346</v>
      </c>
      <c r="P90" s="337">
        <v>5636.2238067517628</v>
      </c>
      <c r="Q90" s="343">
        <v>7297.7896780184028</v>
      </c>
      <c r="R90" s="364"/>
    </row>
    <row r="91" spans="1:19" s="339" customFormat="1" ht="14.4" x14ac:dyDescent="0.3">
      <c r="A91" s="1104"/>
      <c r="B91" s="1043"/>
      <c r="C91" s="360" t="s">
        <v>873</v>
      </c>
      <c r="D91" s="361">
        <v>82.8</v>
      </c>
      <c r="E91" s="347">
        <v>88.126943203513477</v>
      </c>
      <c r="F91" s="348">
        <v>9542</v>
      </c>
      <c r="G91" s="354">
        <f t="shared" si="5"/>
        <v>9.5654990994804603</v>
      </c>
      <c r="H91" s="363">
        <f t="shared" si="6"/>
        <v>1.0643350628443657</v>
      </c>
      <c r="I91" s="349">
        <v>7799.1790221964402</v>
      </c>
      <c r="J91" s="336">
        <v>2.0808204712577214</v>
      </c>
      <c r="K91" s="355">
        <v>7.4846786282227384</v>
      </c>
      <c r="L91" s="355">
        <v>7.4846786282227384</v>
      </c>
      <c r="M91" s="360">
        <v>18</v>
      </c>
      <c r="N91" s="355">
        <v>134.72421530800929</v>
      </c>
      <c r="O91" s="355">
        <v>134.72421530800929</v>
      </c>
      <c r="P91" s="337">
        <v>8188.5378064208053</v>
      </c>
      <c r="Q91" s="343">
        <v>10465.038634795603</v>
      </c>
      <c r="R91" s="364"/>
    </row>
    <row r="92" spans="1:19" s="339" customFormat="1" ht="14.4" x14ac:dyDescent="0.3">
      <c r="A92" s="1104"/>
      <c r="B92" s="1043"/>
      <c r="C92" s="360" t="s">
        <v>878</v>
      </c>
      <c r="D92" s="361" t="s">
        <v>695</v>
      </c>
      <c r="E92" s="347">
        <v>50.816373549601742</v>
      </c>
      <c r="F92" s="348">
        <v>5746</v>
      </c>
      <c r="G92" s="354">
        <f t="shared" si="5"/>
        <v>5.5157249049822799</v>
      </c>
      <c r="H92" s="363" t="e">
        <f t="shared" si="6"/>
        <v>#VALUE!</v>
      </c>
      <c r="I92" s="349">
        <v>2921.2185072621</v>
      </c>
      <c r="J92" s="336">
        <v>0.77938091350748828</v>
      </c>
      <c r="K92" s="355">
        <v>4.7363439914747918</v>
      </c>
      <c r="L92" s="355">
        <v>4.7363439914747918</v>
      </c>
      <c r="M92" s="360">
        <v>18</v>
      </c>
      <c r="N92" s="355">
        <v>85.254191846546249</v>
      </c>
      <c r="O92" s="355">
        <v>85.254191846546249</v>
      </c>
      <c r="P92" s="337">
        <v>5181.7497804330815</v>
      </c>
      <c r="Q92" s="343">
        <v>6034.4236750468135</v>
      </c>
      <c r="R92" s="364"/>
    </row>
    <row r="93" spans="1:19" s="339" customFormat="1" ht="14.4" x14ac:dyDescent="0.3">
      <c r="A93" s="1104"/>
      <c r="B93" s="1043"/>
      <c r="C93" s="360" t="s">
        <v>880</v>
      </c>
      <c r="D93" s="361" t="s">
        <v>695</v>
      </c>
      <c r="E93" s="347">
        <v>65.222992292267207</v>
      </c>
      <c r="F93" s="348">
        <v>7591</v>
      </c>
      <c r="G93" s="354">
        <f t="shared" si="5"/>
        <v>7.0794521103079573</v>
      </c>
      <c r="H93" s="363" t="e">
        <f t="shared" si="6"/>
        <v>#VALUE!</v>
      </c>
      <c r="I93" s="349">
        <v>3718.1523440746701</v>
      </c>
      <c r="J93" s="336">
        <v>0.99200281090952347</v>
      </c>
      <c r="K93" s="355">
        <v>6.0874492993984335</v>
      </c>
      <c r="L93" s="355">
        <v>6.0874492993984335</v>
      </c>
      <c r="M93" s="360">
        <v>18</v>
      </c>
      <c r="N93" s="355">
        <v>109.57408738917181</v>
      </c>
      <c r="O93" s="355">
        <v>109.57408738917181</v>
      </c>
      <c r="P93" s="337">
        <v>6659.9130315138627</v>
      </c>
      <c r="Q93" s="343">
        <v>7745.2037867613171</v>
      </c>
      <c r="R93" s="364"/>
    </row>
    <row r="94" spans="1:19" s="339" customFormat="1" ht="14.4" x14ac:dyDescent="0.3">
      <c r="A94" s="1104"/>
      <c r="B94" s="1043"/>
      <c r="C94" s="360" t="s">
        <v>882</v>
      </c>
      <c r="D94" s="361" t="s">
        <v>695</v>
      </c>
      <c r="E94" s="347">
        <v>93.529844559851782</v>
      </c>
      <c r="F94" s="348">
        <v>9542</v>
      </c>
      <c r="G94" s="354">
        <f t="shared" si="5"/>
        <v>10.151942316276109</v>
      </c>
      <c r="H94" s="363" t="e">
        <f t="shared" si="6"/>
        <v>#VALUE!</v>
      </c>
      <c r="I94" s="349">
        <v>5094.2168695708397</v>
      </c>
      <c r="J94" s="336">
        <v>1.359136739528793</v>
      </c>
      <c r="K94" s="355">
        <v>8.7928055767473161</v>
      </c>
      <c r="L94" s="355">
        <v>8.7928055767473161</v>
      </c>
      <c r="M94" s="360">
        <v>18</v>
      </c>
      <c r="N94" s="355">
        <v>158.27050038145168</v>
      </c>
      <c r="O94" s="355">
        <v>158.27050038145168</v>
      </c>
      <c r="P94" s="337">
        <v>9619.6810131846341</v>
      </c>
      <c r="Q94" s="343">
        <v>11106.630971698714</v>
      </c>
      <c r="R94" s="364"/>
    </row>
    <row r="95" spans="1:19" s="339" customFormat="1" ht="14.4" x14ac:dyDescent="0.3">
      <c r="A95" s="1104" t="s">
        <v>766</v>
      </c>
      <c r="B95" s="1043" t="s">
        <v>808</v>
      </c>
      <c r="C95" s="360" t="s">
        <v>967</v>
      </c>
      <c r="D95" s="361">
        <v>108.43</v>
      </c>
      <c r="E95" s="361">
        <v>108.43</v>
      </c>
      <c r="F95" s="348" t="s">
        <v>695</v>
      </c>
      <c r="G95" s="354">
        <f t="shared" si="5"/>
        <v>11.76923911863671</v>
      </c>
      <c r="H95" s="363">
        <f t="shared" si="6"/>
        <v>1</v>
      </c>
      <c r="I95" s="349">
        <v>9533.6</v>
      </c>
      <c r="J95" s="336">
        <v>3.6363874285714286</v>
      </c>
      <c r="K95" s="355">
        <v>8.1328516900652819</v>
      </c>
      <c r="L95" s="355">
        <v>8.1328516900652819</v>
      </c>
      <c r="M95" s="360">
        <v>7</v>
      </c>
      <c r="N95" s="355">
        <v>56.929961830456975</v>
      </c>
      <c r="O95" s="355">
        <v>56.929961830456975</v>
      </c>
      <c r="P95" s="337">
        <v>3460.2030800551752</v>
      </c>
      <c r="Q95" s="343">
        <v>5007.3404754151752</v>
      </c>
      <c r="R95" s="364"/>
    </row>
    <row r="96" spans="1:19" s="339" customFormat="1" ht="14.4" x14ac:dyDescent="0.3">
      <c r="A96" s="1104"/>
      <c r="B96" s="1043"/>
      <c r="C96" s="360" t="s">
        <v>968</v>
      </c>
      <c r="D96" s="361">
        <v>2.5299999999999998</v>
      </c>
      <c r="E96" s="361">
        <v>2.5299999999999998</v>
      </c>
      <c r="F96" s="348" t="s">
        <v>695</v>
      </c>
      <c r="G96" s="354">
        <f t="shared" si="5"/>
        <v>0.27461196135894933</v>
      </c>
      <c r="H96" s="363">
        <f t="shared" si="6"/>
        <v>1</v>
      </c>
      <c r="I96" s="349">
        <v>217.9</v>
      </c>
      <c r="J96" s="336">
        <v>8.3113285714285723E-2</v>
      </c>
      <c r="K96" s="355">
        <v>0.19149867564466361</v>
      </c>
      <c r="L96" s="355">
        <v>0.19149867564466361</v>
      </c>
      <c r="M96" s="360">
        <v>7</v>
      </c>
      <c r="N96" s="355">
        <v>1.3404907295126454</v>
      </c>
      <c r="O96" s="355">
        <v>1.3404907295126454</v>
      </c>
      <c r="P96" s="337">
        <v>81.475026539778582</v>
      </c>
      <c r="Q96" s="343">
        <v>116.83640507977859</v>
      </c>
      <c r="R96" s="364"/>
    </row>
    <row r="97" spans="1:18" s="339" customFormat="1" ht="14.4" x14ac:dyDescent="0.3">
      <c r="A97" s="996" t="s">
        <v>767</v>
      </c>
      <c r="B97" s="987" t="s">
        <v>808</v>
      </c>
      <c r="C97" s="360" t="s">
        <v>969</v>
      </c>
      <c r="D97" s="361">
        <v>16.989999999999998</v>
      </c>
      <c r="E97" s="361">
        <v>16.989999999999998</v>
      </c>
      <c r="F97" s="348" t="s">
        <v>695</v>
      </c>
      <c r="G97" s="354">
        <f t="shared" si="5"/>
        <v>1.8441332899164224</v>
      </c>
      <c r="H97" s="363">
        <f t="shared" si="6"/>
        <v>1</v>
      </c>
      <c r="I97" s="349">
        <v>335.298</v>
      </c>
      <c r="J97" s="336">
        <v>0.13210741200000001</v>
      </c>
      <c r="K97" s="355">
        <v>1.7120258779164224</v>
      </c>
      <c r="L97" s="355">
        <v>1.7120258779164224</v>
      </c>
      <c r="M97" s="360">
        <v>5</v>
      </c>
      <c r="N97" s="355">
        <v>8.5601293895821122</v>
      </c>
      <c r="O97" s="355">
        <v>8.5601293895821122</v>
      </c>
      <c r="P97" s="337">
        <v>520.28466429880075</v>
      </c>
      <c r="Q97" s="343">
        <v>560.43210680560071</v>
      </c>
      <c r="R97" s="364"/>
    </row>
    <row r="98" spans="1:18" s="339" customFormat="1" ht="14.4" x14ac:dyDescent="0.3">
      <c r="A98" s="1042" t="s">
        <v>768</v>
      </c>
      <c r="B98" s="1101" t="s">
        <v>808</v>
      </c>
      <c r="C98" s="360" t="s">
        <v>895</v>
      </c>
      <c r="D98" s="361">
        <v>82.8</v>
      </c>
      <c r="E98" s="361">
        <v>16.470651735582265</v>
      </c>
      <c r="F98" s="348">
        <v>2892</v>
      </c>
      <c r="G98" s="354">
        <f t="shared" si="5"/>
        <v>1.7877620466278374</v>
      </c>
      <c r="H98" s="363">
        <f t="shared" si="6"/>
        <v>0.19892091468094525</v>
      </c>
      <c r="I98" s="349">
        <v>1721.3839679748785</v>
      </c>
      <c r="J98" s="336">
        <v>0.45926513409461717</v>
      </c>
      <c r="K98" s="355">
        <v>1.3284969125332202</v>
      </c>
      <c r="L98" s="355">
        <v>1.3284969125332202</v>
      </c>
      <c r="M98" s="360">
        <v>18</v>
      </c>
      <c r="N98" s="355">
        <v>23.912944425597964</v>
      </c>
      <c r="O98" s="355">
        <v>23.912944425597964</v>
      </c>
      <c r="P98" s="337">
        <v>1453.4287621878443</v>
      </c>
      <c r="Q98" s="343">
        <v>1955.8831894927191</v>
      </c>
      <c r="R98" s="364"/>
    </row>
    <row r="99" spans="1:18" s="339" customFormat="1" ht="14.4" x14ac:dyDescent="0.3">
      <c r="A99" s="1042"/>
      <c r="B99" s="1102"/>
      <c r="C99" s="360" t="s">
        <v>896</v>
      </c>
      <c r="D99" s="361">
        <v>82.8</v>
      </c>
      <c r="E99" s="361">
        <v>33.328591460828008</v>
      </c>
      <c r="F99" s="348">
        <v>3085</v>
      </c>
      <c r="G99" s="354">
        <f t="shared" si="5"/>
        <v>3.6175612135925337</v>
      </c>
      <c r="H99" s="363">
        <f t="shared" si="6"/>
        <v>0.4025192205414011</v>
      </c>
      <c r="I99" s="349">
        <v>3483.244253893854</v>
      </c>
      <c r="J99" s="336">
        <v>0.92932934726403338</v>
      </c>
      <c r="K99" s="355">
        <v>2.6882318663285005</v>
      </c>
      <c r="L99" s="355">
        <v>2.6882318663285005</v>
      </c>
      <c r="M99" s="360">
        <v>18</v>
      </c>
      <c r="N99" s="355">
        <v>48.38817359391301</v>
      </c>
      <c r="O99" s="355">
        <v>48.38817359391301</v>
      </c>
      <c r="P99" s="337">
        <v>2941.0331910380328</v>
      </c>
      <c r="Q99" s="343">
        <v>3957.7566701187757</v>
      </c>
      <c r="R99" s="364"/>
    </row>
    <row r="100" spans="1:18" s="339" customFormat="1" ht="14.4" x14ac:dyDescent="0.3">
      <c r="A100" s="1042"/>
      <c r="B100" s="1102"/>
      <c r="C100" s="360" t="s">
        <v>897</v>
      </c>
      <c r="D100" s="361">
        <v>82.8</v>
      </c>
      <c r="E100" s="361">
        <v>53.295855030217659</v>
      </c>
      <c r="F100" s="348">
        <v>3597</v>
      </c>
      <c r="G100" s="354">
        <f t="shared" si="5"/>
        <v>5.7848534712056514</v>
      </c>
      <c r="H100" s="363">
        <f t="shared" si="6"/>
        <v>0.64366974674175914</v>
      </c>
      <c r="I100" s="349">
        <v>5570.0668001093327</v>
      </c>
      <c r="J100" s="336">
        <v>1.486093470986434</v>
      </c>
      <c r="K100" s="355">
        <v>4.2987600002192172</v>
      </c>
      <c r="L100" s="355">
        <v>4.2987600002192172</v>
      </c>
      <c r="M100" s="360">
        <v>18</v>
      </c>
      <c r="N100" s="355">
        <v>77.377680003945912</v>
      </c>
      <c r="O100" s="355">
        <v>77.377680003945912</v>
      </c>
      <c r="P100" s="337">
        <v>4703.0153906398327</v>
      </c>
      <c r="Q100" s="343">
        <v>6328.8610916378311</v>
      </c>
      <c r="R100" s="364"/>
    </row>
    <row r="101" spans="1:18" s="339" customFormat="1" ht="14.4" x14ac:dyDescent="0.3">
      <c r="A101" s="1042"/>
      <c r="B101" s="1102"/>
      <c r="C101" s="360" t="s">
        <v>898</v>
      </c>
      <c r="D101" s="361">
        <v>82.8</v>
      </c>
      <c r="E101" s="361">
        <v>48.358805171024272</v>
      </c>
      <c r="F101" s="348">
        <v>4505</v>
      </c>
      <c r="G101" s="354">
        <f t="shared" si="5"/>
        <v>5.2489748367550497</v>
      </c>
      <c r="H101" s="363">
        <f t="shared" si="6"/>
        <v>0.58404354071285358</v>
      </c>
      <c r="I101" s="349">
        <v>5054.0848818985132</v>
      </c>
      <c r="J101" s="336">
        <v>1.3484295277487868</v>
      </c>
      <c r="K101" s="355">
        <v>3.900545309006263</v>
      </c>
      <c r="L101" s="355">
        <v>3.900545309006263</v>
      </c>
      <c r="M101" s="360">
        <v>18</v>
      </c>
      <c r="N101" s="355">
        <v>70.209815562112738</v>
      </c>
      <c r="O101" s="355">
        <v>70.209815562112738</v>
      </c>
      <c r="P101" s="337">
        <v>4267.3525898652124</v>
      </c>
      <c r="Q101" s="343">
        <v>5742.5884304034953</v>
      </c>
      <c r="R101" s="364"/>
    </row>
    <row r="102" spans="1:18" s="339" customFormat="1" ht="14.4" x14ac:dyDescent="0.3">
      <c r="A102" s="1042"/>
      <c r="B102" s="1102"/>
      <c r="C102" s="360" t="s">
        <v>899</v>
      </c>
      <c r="D102" s="361">
        <v>82.8</v>
      </c>
      <c r="E102" s="361">
        <v>56.958205985997658</v>
      </c>
      <c r="F102" s="348">
        <v>5164</v>
      </c>
      <c r="G102" s="354">
        <f t="shared" si="5"/>
        <v>6.1823733839137809</v>
      </c>
      <c r="H102" s="363">
        <f t="shared" si="6"/>
        <v>0.68790103847823258</v>
      </c>
      <c r="I102" s="349">
        <v>5952.8271378048776</v>
      </c>
      <c r="J102" s="336">
        <v>1.58821390494438</v>
      </c>
      <c r="K102" s="355">
        <v>4.5941594789694005</v>
      </c>
      <c r="L102" s="355">
        <v>4.5941594789694005</v>
      </c>
      <c r="M102" s="360">
        <v>18</v>
      </c>
      <c r="N102" s="355">
        <v>82.694870621449212</v>
      </c>
      <c r="O102" s="355">
        <v>82.694870621449212</v>
      </c>
      <c r="P102" s="337">
        <v>5026.1942363716835</v>
      </c>
      <c r="Q102" s="343">
        <v>6763.7637769370331</v>
      </c>
      <c r="R102" s="364"/>
    </row>
    <row r="103" spans="1:18" s="339" customFormat="1" ht="14.4" x14ac:dyDescent="0.3">
      <c r="A103" s="1042"/>
      <c r="B103" s="1102"/>
      <c r="C103" s="360" t="s">
        <v>900</v>
      </c>
      <c r="D103" s="361">
        <v>82.8</v>
      </c>
      <c r="E103" s="361">
        <v>67.148164847407898</v>
      </c>
      <c r="F103" s="348">
        <v>5581</v>
      </c>
      <c r="G103" s="354">
        <f t="shared" si="5"/>
        <v>7.2884147234785521</v>
      </c>
      <c r="H103" s="363">
        <f t="shared" si="6"/>
        <v>0.81096817448560266</v>
      </c>
      <c r="I103" s="349">
        <v>7017.8021066132405</v>
      </c>
      <c r="J103" s="336">
        <v>1.8723491594585671</v>
      </c>
      <c r="K103" s="355">
        <v>5.4160655640199851</v>
      </c>
      <c r="L103" s="355">
        <v>5.4160655640199851</v>
      </c>
      <c r="M103" s="360">
        <v>18</v>
      </c>
      <c r="N103" s="355">
        <v>97.489180152359737</v>
      </c>
      <c r="O103" s="355">
        <v>97.489180152359737</v>
      </c>
      <c r="P103" s="337">
        <v>5925.3923696604252</v>
      </c>
      <c r="Q103" s="343">
        <v>7973.8172440744747</v>
      </c>
      <c r="R103" s="364"/>
    </row>
    <row r="104" spans="1:18" s="339" customFormat="1" ht="14.4" x14ac:dyDescent="0.3">
      <c r="A104" s="1042"/>
      <c r="B104" s="1102"/>
      <c r="C104" s="360" t="s">
        <v>908</v>
      </c>
      <c r="D104" s="361" t="s">
        <v>695</v>
      </c>
      <c r="E104" s="361">
        <v>11.820341232458091</v>
      </c>
      <c r="F104" s="348">
        <v>2892</v>
      </c>
      <c r="G104" s="354">
        <f t="shared" si="5"/>
        <v>1.2830067548527182</v>
      </c>
      <c r="H104" s="363" t="e">
        <f t="shared" si="6"/>
        <v>#VALUE!</v>
      </c>
      <c r="I104" s="349">
        <v>1265.5053377616157</v>
      </c>
      <c r="J104" s="336">
        <v>0.33763674430423424</v>
      </c>
      <c r="K104" s="355">
        <v>0.94537001054848391</v>
      </c>
      <c r="L104" s="355">
        <v>0.94537001054848391</v>
      </c>
      <c r="M104" s="360">
        <v>18</v>
      </c>
      <c r="N104" s="355">
        <v>17.016660189872709</v>
      </c>
      <c r="O104" s="355">
        <v>17.016660189872709</v>
      </c>
      <c r="P104" s="337">
        <v>1034.2726063404632</v>
      </c>
      <c r="Q104" s="343">
        <v>1403.6607100790677</v>
      </c>
      <c r="R104" s="364"/>
    </row>
    <row r="105" spans="1:18" s="339" customFormat="1" ht="14.4" x14ac:dyDescent="0.3">
      <c r="A105" s="1042"/>
      <c r="B105" s="1102"/>
      <c r="C105" s="360" t="s">
        <v>909</v>
      </c>
      <c r="D105" s="361" t="s">
        <v>695</v>
      </c>
      <c r="E105" s="361">
        <v>23.91862387649768</v>
      </c>
      <c r="F105" s="348">
        <v>3085</v>
      </c>
      <c r="G105" s="354">
        <f t="shared" si="5"/>
        <v>2.5961819034513929</v>
      </c>
      <c r="H105" s="363" t="e">
        <f t="shared" si="6"/>
        <v>#VALUE!</v>
      </c>
      <c r="I105" s="349">
        <v>2560.7675440453968</v>
      </c>
      <c r="J105" s="336">
        <v>0.68321261925353072</v>
      </c>
      <c r="K105" s="355">
        <v>1.9129692841978621</v>
      </c>
      <c r="L105" s="355">
        <v>1.9129692841978621</v>
      </c>
      <c r="M105" s="360">
        <v>18</v>
      </c>
      <c r="N105" s="355">
        <v>34.43344711556152</v>
      </c>
      <c r="O105" s="355">
        <v>34.43344711556152</v>
      </c>
      <c r="P105" s="337">
        <v>2092.8649156838292</v>
      </c>
      <c r="Q105" s="343">
        <v>2840.3268496519618</v>
      </c>
      <c r="R105" s="364"/>
    </row>
    <row r="106" spans="1:18" s="339" customFormat="1" ht="14.4" x14ac:dyDescent="0.3">
      <c r="A106" s="1042"/>
      <c r="B106" s="1102"/>
      <c r="C106" s="360" t="s">
        <v>910</v>
      </c>
      <c r="D106" s="361" t="s">
        <v>695</v>
      </c>
      <c r="E106" s="361">
        <v>38.248346382786295</v>
      </c>
      <c r="F106" s="348">
        <v>3597</v>
      </c>
      <c r="G106" s="354">
        <f t="shared" si="5"/>
        <v>4.1515626161713124</v>
      </c>
      <c r="H106" s="363" t="e">
        <f t="shared" si="6"/>
        <v>#VALUE!</v>
      </c>
      <c r="I106" s="349">
        <v>4094.9314030848436</v>
      </c>
      <c r="J106" s="336">
        <v>1.0925274400914284</v>
      </c>
      <c r="K106" s="355">
        <v>3.0590351760798837</v>
      </c>
      <c r="L106" s="355">
        <v>3.0590351760798837</v>
      </c>
      <c r="M106" s="360">
        <v>18</v>
      </c>
      <c r="N106" s="355">
        <v>55.062633169437909</v>
      </c>
      <c r="O106" s="355">
        <v>55.062633169437909</v>
      </c>
      <c r="P106" s="337">
        <v>3346.706844038436</v>
      </c>
      <c r="Q106" s="343">
        <v>4541.9755645960622</v>
      </c>
      <c r="R106" s="364"/>
    </row>
    <row r="107" spans="1:18" s="339" customFormat="1" ht="14.4" x14ac:dyDescent="0.3">
      <c r="A107" s="1042"/>
      <c r="B107" s="1102"/>
      <c r="C107" s="360" t="s">
        <v>911</v>
      </c>
      <c r="D107" s="361" t="s">
        <v>695</v>
      </c>
      <c r="E107" s="361">
        <v>34.705219191817136</v>
      </c>
      <c r="F107" s="348">
        <v>4505</v>
      </c>
      <c r="G107" s="354">
        <f t="shared" si="5"/>
        <v>3.7669835223941321</v>
      </c>
      <c r="H107" s="363" t="e">
        <f t="shared" si="6"/>
        <v>#VALUE!</v>
      </c>
      <c r="I107" s="349">
        <v>3715.598329329971</v>
      </c>
      <c r="J107" s="336">
        <v>0.99132139993670954</v>
      </c>
      <c r="K107" s="355">
        <v>2.7756621224574225</v>
      </c>
      <c r="L107" s="355">
        <v>2.7756621224574225</v>
      </c>
      <c r="M107" s="360">
        <v>18</v>
      </c>
      <c r="N107" s="355">
        <v>49.961918204233605</v>
      </c>
      <c r="O107" s="355">
        <v>49.961918204233605</v>
      </c>
      <c r="P107" s="337">
        <v>3036.6853884533184</v>
      </c>
      <c r="Q107" s="343">
        <v>4121.2306528400768</v>
      </c>
      <c r="R107" s="364"/>
    </row>
    <row r="108" spans="1:18" s="339" customFormat="1" ht="14.4" x14ac:dyDescent="0.3">
      <c r="A108" s="1042"/>
      <c r="B108" s="1102"/>
      <c r="C108" s="360" t="s">
        <v>912</v>
      </c>
      <c r="D108" s="361" t="s">
        <v>695</v>
      </c>
      <c r="E108" s="361">
        <v>40.876672128805005</v>
      </c>
      <c r="F108" s="348">
        <v>5164</v>
      </c>
      <c r="G108" s="354">
        <f t="shared" si="5"/>
        <v>4.4368470779121898</v>
      </c>
      <c r="H108" s="363" t="e">
        <f t="shared" si="6"/>
        <v>#VALUE!</v>
      </c>
      <c r="I108" s="349">
        <v>4376.3243168384233</v>
      </c>
      <c r="J108" s="336">
        <v>1.1676030517345124</v>
      </c>
      <c r="K108" s="355">
        <v>3.2692440261776774</v>
      </c>
      <c r="L108" s="355">
        <v>3.2692440261776774</v>
      </c>
      <c r="M108" s="360">
        <v>18</v>
      </c>
      <c r="N108" s="355">
        <v>58.846392471198193</v>
      </c>
      <c r="O108" s="355">
        <v>58.846392471198193</v>
      </c>
      <c r="P108" s="337">
        <v>3576.6837343994262</v>
      </c>
      <c r="Q108" s="343">
        <v>4854.0881771190525</v>
      </c>
      <c r="R108" s="364"/>
    </row>
    <row r="109" spans="1:18" s="339" customFormat="1" ht="14.4" x14ac:dyDescent="0.3">
      <c r="A109" s="1042"/>
      <c r="B109" s="1103"/>
      <c r="C109" s="360" t="s">
        <v>913</v>
      </c>
      <c r="D109" s="361" t="s">
        <v>695</v>
      </c>
      <c r="E109" s="361">
        <v>48.189606238532335</v>
      </c>
      <c r="F109" s="348">
        <v>5581</v>
      </c>
      <c r="G109" s="354">
        <f t="shared" si="5"/>
        <v>5.2306095993196937</v>
      </c>
      <c r="H109" s="363" t="e">
        <f t="shared" si="6"/>
        <v>#VALUE!</v>
      </c>
      <c r="I109" s="349">
        <v>5159.2591719800294</v>
      </c>
      <c r="J109" s="336">
        <v>1.3764900217095963</v>
      </c>
      <c r="K109" s="355">
        <v>3.8541195776100974</v>
      </c>
      <c r="L109" s="355">
        <v>3.8541195776100974</v>
      </c>
      <c r="M109" s="360">
        <v>18</v>
      </c>
      <c r="N109" s="355">
        <v>69.374152396981756</v>
      </c>
      <c r="O109" s="355">
        <v>69.374152396981756</v>
      </c>
      <c r="P109" s="337">
        <v>4216.5609826885511</v>
      </c>
      <c r="Q109" s="343">
        <v>5722.4961260397176</v>
      </c>
      <c r="R109" s="364"/>
    </row>
    <row r="110" spans="1:18" s="339" customFormat="1" ht="14.4" x14ac:dyDescent="0.3">
      <c r="A110" s="986" t="s">
        <v>769</v>
      </c>
      <c r="B110" s="987" t="s">
        <v>808</v>
      </c>
      <c r="C110" s="360" t="s">
        <v>918</v>
      </c>
      <c r="D110" s="361">
        <v>2.1190000000000002</v>
      </c>
      <c r="E110" s="361">
        <v>2.1190000000000002</v>
      </c>
      <c r="F110" s="348" t="s">
        <v>695</v>
      </c>
      <c r="G110" s="354">
        <f t="shared" si="5"/>
        <v>0.2300010854227722</v>
      </c>
      <c r="H110" s="363">
        <f t="shared" si="6"/>
        <v>1</v>
      </c>
      <c r="I110" s="349">
        <v>258.18</v>
      </c>
      <c r="J110" s="336">
        <v>8.5199399999999995E-2</v>
      </c>
      <c r="K110" s="355">
        <v>0.14480168542277222</v>
      </c>
      <c r="L110" s="355">
        <v>0.14480168542277222</v>
      </c>
      <c r="M110" s="360">
        <v>15</v>
      </c>
      <c r="N110" s="355">
        <v>2.1720252813415835</v>
      </c>
      <c r="O110" s="355">
        <v>2.1720252813415835</v>
      </c>
      <c r="P110" s="337">
        <v>132.01569659994144</v>
      </c>
      <c r="Q110" s="343">
        <v>209.69198957994143</v>
      </c>
      <c r="R110" s="364"/>
    </row>
    <row r="111" spans="1:18" s="339" customFormat="1" ht="14.4" x14ac:dyDescent="0.3">
      <c r="A111" s="986" t="s">
        <v>919</v>
      </c>
      <c r="B111" s="987" t="s">
        <v>808</v>
      </c>
      <c r="C111" s="360"/>
      <c r="D111" s="361" t="s">
        <v>695</v>
      </c>
      <c r="E111" s="361" t="s">
        <v>695</v>
      </c>
      <c r="F111" s="348" t="s">
        <v>695</v>
      </c>
      <c r="G111" s="365" t="s">
        <v>921</v>
      </c>
      <c r="H111" s="363" t="s">
        <v>695</v>
      </c>
      <c r="I111" s="366"/>
      <c r="J111" s="367"/>
      <c r="K111" s="368" t="str">
        <f>G111</f>
        <v>Custom Input from Tool</v>
      </c>
      <c r="L111" s="355" t="e">
        <f>K111*#REF!</f>
        <v>#VALUE!</v>
      </c>
      <c r="M111" s="360">
        <v>10</v>
      </c>
      <c r="N111" s="355" t="e">
        <f>K111*M111</f>
        <v>#VALUE!</v>
      </c>
      <c r="O111" s="355" t="e">
        <f>N111*#REF!</f>
        <v>#VALUE!</v>
      </c>
      <c r="P111" s="337" t="e">
        <f>O111*60.78</f>
        <v>#VALUE!</v>
      </c>
      <c r="Q111" s="343" t="e">
        <f>G111*M111*#REF!*60.78</f>
        <v>#VALUE!</v>
      </c>
      <c r="R111" s="364"/>
    </row>
    <row r="112" spans="1:18" ht="14.4" x14ac:dyDescent="0.3">
      <c r="A112" s="317" t="s">
        <v>938</v>
      </c>
      <c r="B112" s="369"/>
      <c r="G112" s="370"/>
      <c r="H112" s="371"/>
      <c r="I112" s="372"/>
      <c r="J112" s="340"/>
      <c r="K112" s="340"/>
      <c r="L112" s="340"/>
      <c r="N112" s="340"/>
      <c r="O112" s="340"/>
      <c r="P112" s="373"/>
      <c r="Q112" s="342"/>
      <c r="R112" s="342"/>
    </row>
    <row r="113" spans="1:16" ht="14.4" x14ac:dyDescent="0.3">
      <c r="A113" s="317" t="s">
        <v>939</v>
      </c>
      <c r="G113" s="370"/>
      <c r="P113" s="373"/>
    </row>
    <row r="114" spans="1:16" ht="14.4" x14ac:dyDescent="0.3">
      <c r="A114" s="317" t="s">
        <v>940</v>
      </c>
      <c r="G114" s="370"/>
      <c r="P114" s="373"/>
    </row>
    <row r="115" spans="1:16" ht="14.4" x14ac:dyDescent="0.3">
      <c r="A115" s="317" t="s">
        <v>941</v>
      </c>
      <c r="G115" s="370"/>
      <c r="P115" s="373"/>
    </row>
    <row r="116" spans="1:16" ht="14.4" x14ac:dyDescent="0.3">
      <c r="A116" s="317" t="s">
        <v>942</v>
      </c>
      <c r="G116" s="370"/>
      <c r="P116" s="373"/>
    </row>
    <row r="117" spans="1:16" x14ac:dyDescent="0.25">
      <c r="I117" s="374"/>
      <c r="J117" s="374"/>
    </row>
    <row r="118" spans="1:16" x14ac:dyDescent="0.25">
      <c r="I118" s="375"/>
      <c r="J118" s="376"/>
    </row>
    <row r="119" spans="1:16" x14ac:dyDescent="0.25">
      <c r="B119" s="1044" t="s">
        <v>943</v>
      </c>
      <c r="C119" s="1044"/>
      <c r="G119" s="329" t="s">
        <v>945</v>
      </c>
      <c r="I119" s="375"/>
      <c r="J119" s="377"/>
    </row>
    <row r="120" spans="1:16" ht="14.4" x14ac:dyDescent="0.3">
      <c r="B120" s="378"/>
      <c r="C120" s="329" t="s">
        <v>946</v>
      </c>
      <c r="G120" s="379">
        <v>9.2129999999999992</v>
      </c>
      <c r="I120" s="375"/>
      <c r="J120" s="377"/>
    </row>
    <row r="121" spans="1:16" x14ac:dyDescent="0.25">
      <c r="B121" s="380"/>
      <c r="C121" s="329" t="s">
        <v>947</v>
      </c>
    </row>
    <row r="122" spans="1:16" x14ac:dyDescent="0.25">
      <c r="G122" s="339"/>
      <c r="I122" s="381"/>
      <c r="J122" s="382"/>
    </row>
    <row r="123" spans="1:16" x14ac:dyDescent="0.25">
      <c r="I123" s="382"/>
    </row>
    <row r="126" spans="1:16" x14ac:dyDescent="0.25">
      <c r="K126" s="383"/>
    </row>
    <row r="127" spans="1:16" x14ac:dyDescent="0.25">
      <c r="I127" s="382"/>
      <c r="K127" s="382"/>
    </row>
    <row r="128" spans="1:16" x14ac:dyDescent="0.25">
      <c r="K128" s="384"/>
    </row>
    <row r="129" spans="9:10" x14ac:dyDescent="0.25">
      <c r="I129" s="382"/>
      <c r="J129" s="384"/>
    </row>
    <row r="130" spans="9:10" x14ac:dyDescent="0.25">
      <c r="I130" s="382"/>
      <c r="J130" s="382"/>
    </row>
    <row r="131" spans="9:10" x14ac:dyDescent="0.25">
      <c r="I131" s="385"/>
    </row>
    <row r="132" spans="9:10" x14ac:dyDescent="0.25">
      <c r="I132" s="386"/>
    </row>
    <row r="134" spans="9:10" x14ac:dyDescent="0.25">
      <c r="I134" s="387"/>
    </row>
    <row r="135" spans="9:10" x14ac:dyDescent="0.25">
      <c r="I135" s="387"/>
    </row>
    <row r="136" spans="9:10" x14ac:dyDescent="0.25">
      <c r="I136" s="387"/>
      <c r="J136" s="388"/>
    </row>
    <row r="139" spans="9:10" x14ac:dyDescent="0.25">
      <c r="I139" s="389"/>
    </row>
    <row r="140" spans="9:10" x14ac:dyDescent="0.25">
      <c r="I140" s="389"/>
    </row>
    <row r="141" spans="9:10" x14ac:dyDescent="0.25">
      <c r="I141" s="389"/>
    </row>
    <row r="142" spans="9:10" ht="14.4" x14ac:dyDescent="0.25">
      <c r="I142" s="390"/>
    </row>
    <row r="143" spans="9:10" x14ac:dyDescent="0.25">
      <c r="I143" s="389"/>
    </row>
    <row r="145" spans="9:9" x14ac:dyDescent="0.25">
      <c r="I145" s="388"/>
    </row>
    <row r="147" spans="9:9" x14ac:dyDescent="0.25">
      <c r="I147" s="389"/>
    </row>
    <row r="148" spans="9:9" x14ac:dyDescent="0.25">
      <c r="I148" s="389"/>
    </row>
  </sheetData>
  <mergeCells count="40">
    <mergeCell ref="A98:A109"/>
    <mergeCell ref="B98:B109"/>
    <mergeCell ref="B119:C119"/>
    <mergeCell ref="A86:A87"/>
    <mergeCell ref="B86:B87"/>
    <mergeCell ref="A89:A94"/>
    <mergeCell ref="B89:B94"/>
    <mergeCell ref="A95:A96"/>
    <mergeCell ref="B95:B96"/>
    <mergeCell ref="A82:A85"/>
    <mergeCell ref="A51:A56"/>
    <mergeCell ref="B51:B56"/>
    <mergeCell ref="A57:A60"/>
    <mergeCell ref="B57:B60"/>
    <mergeCell ref="A61:A64"/>
    <mergeCell ref="B61:B64"/>
    <mergeCell ref="A65:A68"/>
    <mergeCell ref="B65:B68"/>
    <mergeCell ref="A69:A72"/>
    <mergeCell ref="B69:B72"/>
    <mergeCell ref="A78:A80"/>
    <mergeCell ref="A33:A38"/>
    <mergeCell ref="B33:B38"/>
    <mergeCell ref="A39:A44"/>
    <mergeCell ref="B39:B44"/>
    <mergeCell ref="A45:A50"/>
    <mergeCell ref="B45:B50"/>
    <mergeCell ref="A15:A20"/>
    <mergeCell ref="B15:B20"/>
    <mergeCell ref="A21:A26"/>
    <mergeCell ref="B21:B26"/>
    <mergeCell ref="A27:A32"/>
    <mergeCell ref="B27:B32"/>
    <mergeCell ref="A9:A14"/>
    <mergeCell ref="B9:B14"/>
    <mergeCell ref="E1:H1"/>
    <mergeCell ref="I1:J1"/>
    <mergeCell ref="K1:Q1"/>
    <mergeCell ref="A3:A8"/>
    <mergeCell ref="B3:B8"/>
  </mergeCells>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2"/>
  <sheetViews>
    <sheetView zoomScaleNormal="100" workbookViewId="0">
      <pane ySplit="1" topLeftCell="A2" activePane="bottomLeft" state="frozen"/>
      <selection pane="bottomLeft"/>
    </sheetView>
  </sheetViews>
  <sheetFormatPr defaultRowHeight="14.4" x14ac:dyDescent="0.3"/>
  <cols>
    <col min="1" max="1" width="13.5546875" style="240" customWidth="1"/>
    <col min="2" max="2" width="43.5546875" bestFit="1" customWidth="1"/>
    <col min="3" max="3" width="6.44140625" customWidth="1"/>
    <col min="4" max="4" width="21.6640625" style="1" customWidth="1"/>
    <col min="5" max="5" width="8.88671875" bestFit="1" customWidth="1"/>
    <col min="6" max="6" width="61.6640625" bestFit="1" customWidth="1"/>
    <col min="7" max="7" width="2.109375" customWidth="1"/>
    <col min="8" max="10" width="11.6640625" style="958" bestFit="1" customWidth="1"/>
    <col min="11" max="11" width="114.5546875" style="112" bestFit="1" customWidth="1"/>
  </cols>
  <sheetData>
    <row r="1" spans="1:11" ht="43.2" customHeight="1" x14ac:dyDescent="0.3">
      <c r="A1" s="972"/>
      <c r="D1" s="170" t="s">
        <v>0</v>
      </c>
      <c r="F1" s="22" t="s">
        <v>1</v>
      </c>
      <c r="H1" s="957" t="s">
        <v>2</v>
      </c>
      <c r="I1" s="957" t="s">
        <v>3</v>
      </c>
      <c r="J1" s="957" t="s">
        <v>4</v>
      </c>
      <c r="K1" s="273"/>
    </row>
    <row r="2" spans="1:11" ht="56.4" customHeight="1" x14ac:dyDescent="0.3">
      <c r="A2" s="239" t="s">
        <v>5</v>
      </c>
      <c r="B2" s="148" t="s">
        <v>6</v>
      </c>
    </row>
    <row r="3" spans="1:11" x14ac:dyDescent="0.3">
      <c r="B3" s="8"/>
    </row>
    <row r="4" spans="1:11" x14ac:dyDescent="0.3">
      <c r="B4" s="8"/>
    </row>
    <row r="5" spans="1:11" x14ac:dyDescent="0.3">
      <c r="B5" t="s">
        <v>7</v>
      </c>
      <c r="D5" s="1">
        <v>2021</v>
      </c>
      <c r="H5" s="958">
        <v>2021</v>
      </c>
      <c r="I5" s="958">
        <v>2021</v>
      </c>
      <c r="J5" s="958">
        <v>2021</v>
      </c>
    </row>
    <row r="6" spans="1:11" x14ac:dyDescent="0.3">
      <c r="A6" s="240" t="s">
        <v>8</v>
      </c>
      <c r="B6" t="s">
        <v>9</v>
      </c>
      <c r="D6" s="796">
        <v>0.04</v>
      </c>
      <c r="F6" s="670" t="s">
        <v>10</v>
      </c>
      <c r="H6" s="959">
        <v>3.3000000000000002E-2</v>
      </c>
      <c r="I6" s="959">
        <v>3.3000000000000002E-2</v>
      </c>
      <c r="J6" s="959">
        <v>3.3000000000000002E-2</v>
      </c>
      <c r="K6" s="671" t="s">
        <v>11</v>
      </c>
    </row>
    <row r="7" spans="1:11" x14ac:dyDescent="0.3">
      <c r="A7" s="240" t="s">
        <v>12</v>
      </c>
      <c r="B7" t="s">
        <v>13</v>
      </c>
      <c r="D7" s="144">
        <v>0.06</v>
      </c>
      <c r="F7" t="s">
        <v>14</v>
      </c>
      <c r="H7" s="960">
        <v>0.06</v>
      </c>
      <c r="I7" s="960">
        <v>0.06</v>
      </c>
      <c r="J7" s="960">
        <v>0.06</v>
      </c>
      <c r="K7" s="274"/>
    </row>
    <row r="8" spans="1:11" x14ac:dyDescent="0.3">
      <c r="A8" s="240" t="s">
        <v>12</v>
      </c>
      <c r="B8" t="s">
        <v>15</v>
      </c>
      <c r="D8" s="144">
        <v>-0.01</v>
      </c>
      <c r="H8" s="960">
        <v>-0.01</v>
      </c>
      <c r="I8" s="960">
        <v>-0.01</v>
      </c>
      <c r="J8" s="960">
        <v>-0.01</v>
      </c>
      <c r="K8" s="274"/>
    </row>
    <row r="9" spans="1:11" x14ac:dyDescent="0.3">
      <c r="D9" s="144"/>
      <c r="H9" s="960"/>
      <c r="I9" s="960"/>
      <c r="J9" s="960"/>
      <c r="K9" s="274"/>
    </row>
    <row r="10" spans="1:11" ht="43.2" x14ac:dyDescent="0.3">
      <c r="A10" s="240" t="s">
        <v>8</v>
      </c>
      <c r="B10" t="s">
        <v>16</v>
      </c>
      <c r="D10" s="516" t="s">
        <v>153</v>
      </c>
      <c r="F10" s="19" t="s">
        <v>17</v>
      </c>
      <c r="H10" s="961" t="s">
        <v>18</v>
      </c>
      <c r="I10" s="961" t="s">
        <v>18</v>
      </c>
      <c r="J10" s="961" t="s">
        <v>18</v>
      </c>
      <c r="K10" s="274" t="s">
        <v>19</v>
      </c>
    </row>
    <row r="11" spans="1:11" x14ac:dyDescent="0.3">
      <c r="A11" s="240" t="s">
        <v>20</v>
      </c>
      <c r="B11" t="s">
        <v>21</v>
      </c>
      <c r="D11" s="269" t="s">
        <v>8</v>
      </c>
      <c r="E11" s="16"/>
      <c r="F11" s="16" t="s">
        <v>22</v>
      </c>
      <c r="H11" s="962" t="s">
        <v>8</v>
      </c>
      <c r="I11" s="962" t="s">
        <v>12</v>
      </c>
      <c r="J11" s="962" t="s">
        <v>20</v>
      </c>
      <c r="K11" s="275" t="s">
        <v>23</v>
      </c>
    </row>
    <row r="12" spans="1:11" x14ac:dyDescent="0.3">
      <c r="A12" s="240" t="s">
        <v>8</v>
      </c>
      <c r="B12" t="s">
        <v>24</v>
      </c>
      <c r="D12" s="269" t="s">
        <v>8</v>
      </c>
      <c r="F12" t="s">
        <v>25</v>
      </c>
      <c r="H12" s="962" t="s">
        <v>8</v>
      </c>
      <c r="I12" s="962" t="s">
        <v>12</v>
      </c>
      <c r="J12" s="962" t="s">
        <v>26</v>
      </c>
      <c r="K12" s="275" t="s">
        <v>25</v>
      </c>
    </row>
    <row r="14" spans="1:11" x14ac:dyDescent="0.3">
      <c r="A14" s="240" t="s">
        <v>8</v>
      </c>
      <c r="B14" t="s">
        <v>27</v>
      </c>
      <c r="D14" s="956">
        <f>0.18035*1000</f>
        <v>180.35000000000002</v>
      </c>
      <c r="F14" t="s">
        <v>28</v>
      </c>
      <c r="H14" s="963">
        <v>171.41</v>
      </c>
      <c r="I14" s="963">
        <v>171.41</v>
      </c>
      <c r="J14" s="963">
        <v>171.41</v>
      </c>
      <c r="K14" t="s">
        <v>29</v>
      </c>
    </row>
    <row r="15" spans="1:11" x14ac:dyDescent="0.3">
      <c r="A15" s="240" t="s">
        <v>8</v>
      </c>
      <c r="B15" t="s">
        <v>30</v>
      </c>
      <c r="D15" s="956">
        <f>((0.3*0.18035)+(0.7*0.13726))*1000</f>
        <v>150.18699999999998</v>
      </c>
      <c r="F15" t="s">
        <v>31</v>
      </c>
      <c r="H15" s="963">
        <v>96.136105000000001</v>
      </c>
      <c r="I15" s="963">
        <v>96.136105000000001</v>
      </c>
      <c r="J15" s="963">
        <v>96.136105000000001</v>
      </c>
      <c r="K15"/>
    </row>
    <row r="16" spans="1:11" x14ac:dyDescent="0.3">
      <c r="A16" s="240" t="s">
        <v>8</v>
      </c>
      <c r="B16" t="s">
        <v>32</v>
      </c>
      <c r="D16" s="281">
        <v>2.1999999999999999E-2</v>
      </c>
      <c r="H16" s="964">
        <v>2.1999999999999999E-2</v>
      </c>
      <c r="I16" s="964">
        <v>2.1999999999999999E-2</v>
      </c>
      <c r="J16" s="964">
        <v>2.1999999999999999E-2</v>
      </c>
      <c r="K16" s="282"/>
    </row>
    <row r="18" spans="1:11" x14ac:dyDescent="0.3">
      <c r="A18" s="240" t="s">
        <v>20</v>
      </c>
      <c r="B18" t="s">
        <v>33</v>
      </c>
      <c r="D18" s="269" t="s">
        <v>8</v>
      </c>
      <c r="F18" t="s">
        <v>25</v>
      </c>
      <c r="H18" s="962" t="s">
        <v>8</v>
      </c>
      <c r="I18" s="962" t="s">
        <v>20</v>
      </c>
      <c r="J18" s="962" t="s">
        <v>12</v>
      </c>
      <c r="K18" s="275" t="s">
        <v>25</v>
      </c>
    </row>
    <row r="19" spans="1:11" x14ac:dyDescent="0.3">
      <c r="B19" t="s">
        <v>34</v>
      </c>
      <c r="D19" s="145">
        <v>-0.01</v>
      </c>
      <c r="E19" s="114" t="s">
        <v>20</v>
      </c>
      <c r="H19" s="965">
        <v>-0.01</v>
      </c>
      <c r="I19" s="965">
        <v>-0.01</v>
      </c>
      <c r="J19" s="965">
        <v>-0.01</v>
      </c>
      <c r="K19" s="275"/>
    </row>
    <row r="20" spans="1:11" x14ac:dyDescent="0.3">
      <c r="B20" t="s">
        <v>35</v>
      </c>
      <c r="D20" s="146">
        <v>1.6E-2</v>
      </c>
      <c r="E20" s="114" t="s">
        <v>8</v>
      </c>
      <c r="H20" s="966">
        <v>1.6E-2</v>
      </c>
      <c r="I20" s="966">
        <v>1.6E-2</v>
      </c>
      <c r="J20" s="966">
        <v>1.6E-2</v>
      </c>
      <c r="K20" s="276"/>
    </row>
    <row r="21" spans="1:11" x14ac:dyDescent="0.3">
      <c r="B21" t="s">
        <v>36</v>
      </c>
      <c r="D21" s="145">
        <v>0.05</v>
      </c>
      <c r="E21" s="114" t="s">
        <v>12</v>
      </c>
      <c r="F21" t="s">
        <v>37</v>
      </c>
      <c r="H21" s="965">
        <v>0.05</v>
      </c>
      <c r="I21" s="965">
        <v>0.05</v>
      </c>
      <c r="J21" s="965">
        <v>0.05</v>
      </c>
      <c r="K21" s="275" t="s">
        <v>37</v>
      </c>
    </row>
    <row r="22" spans="1:11" x14ac:dyDescent="0.3">
      <c r="D22" s="145"/>
      <c r="E22" s="114"/>
      <c r="H22" s="965"/>
      <c r="I22" s="965"/>
      <c r="J22" s="965"/>
      <c r="K22" s="275"/>
    </row>
    <row r="23" spans="1:11" x14ac:dyDescent="0.3">
      <c r="A23" s="240" t="s">
        <v>8</v>
      </c>
      <c r="B23" s="8" t="s">
        <v>38</v>
      </c>
    </row>
    <row r="24" spans="1:11" x14ac:dyDescent="0.3">
      <c r="B24" t="s">
        <v>39</v>
      </c>
      <c r="D24" s="147">
        <v>0.5</v>
      </c>
      <c r="F24" s="102"/>
      <c r="H24" s="778">
        <v>0.56000000000000005</v>
      </c>
      <c r="I24" s="778">
        <v>0.56000000000000005</v>
      </c>
      <c r="J24" s="778">
        <v>0.56000000000000005</v>
      </c>
      <c r="K24" s="277"/>
    </row>
    <row r="25" spans="1:11" x14ac:dyDescent="0.3">
      <c r="B25" t="s">
        <v>40</v>
      </c>
      <c r="D25" s="147">
        <v>0.35</v>
      </c>
      <c r="F25" s="102"/>
      <c r="H25" s="778">
        <v>0.3</v>
      </c>
      <c r="I25" s="778">
        <v>0.3</v>
      </c>
      <c r="J25" s="778">
        <v>0.3</v>
      </c>
      <c r="K25" s="277"/>
    </row>
    <row r="26" spans="1:11" x14ac:dyDescent="0.3">
      <c r="B26" t="s">
        <v>41</v>
      </c>
      <c r="D26" s="147">
        <v>0.02</v>
      </c>
      <c r="F26" s="671"/>
      <c r="H26" s="778">
        <v>0.02</v>
      </c>
      <c r="I26" s="778">
        <v>0.02</v>
      </c>
      <c r="J26" s="778">
        <v>0.02</v>
      </c>
      <c r="K26" s="277"/>
    </row>
    <row r="27" spans="1:11" x14ac:dyDescent="0.3">
      <c r="B27" t="s">
        <v>42</v>
      </c>
      <c r="D27" s="147">
        <v>0.11</v>
      </c>
      <c r="F27" s="671"/>
      <c r="H27" s="778">
        <v>0.1</v>
      </c>
      <c r="I27" s="778">
        <v>0.1</v>
      </c>
      <c r="J27" s="778">
        <v>0.1</v>
      </c>
      <c r="K27" s="277"/>
    </row>
    <row r="28" spans="1:11" x14ac:dyDescent="0.3">
      <c r="B28" s="13" t="s">
        <v>43</v>
      </c>
      <c r="C28" s="13"/>
      <c r="D28" s="212">
        <v>0.02</v>
      </c>
      <c r="F28" s="671"/>
      <c r="H28" s="779">
        <v>0.02</v>
      </c>
      <c r="I28" s="779">
        <v>0.02</v>
      </c>
      <c r="J28" s="779">
        <v>0.02</v>
      </c>
      <c r="K28" s="278"/>
    </row>
    <row r="29" spans="1:11" x14ac:dyDescent="0.3">
      <c r="B29" s="26" t="s">
        <v>44</v>
      </c>
      <c r="D29" s="147">
        <f>SUM(D24:D28)</f>
        <v>1</v>
      </c>
      <c r="H29" s="778">
        <v>1</v>
      </c>
      <c r="I29" s="778">
        <v>1</v>
      </c>
      <c r="J29" s="778">
        <v>1</v>
      </c>
      <c r="K29" s="277"/>
    </row>
    <row r="31" spans="1:11" x14ac:dyDescent="0.3">
      <c r="B31" s="8" t="s">
        <v>45</v>
      </c>
      <c r="I31" s="967"/>
      <c r="J31" s="967"/>
    </row>
    <row r="32" spans="1:11" x14ac:dyDescent="0.3">
      <c r="B32" t="s">
        <v>39</v>
      </c>
      <c r="D32" s="257">
        <f>'Tier III'!F3</f>
        <v>26</v>
      </c>
      <c r="H32" s="968">
        <v>25</v>
      </c>
      <c r="I32" s="968">
        <v>25</v>
      </c>
      <c r="J32" s="968">
        <v>25</v>
      </c>
      <c r="K32" s="279"/>
    </row>
    <row r="33" spans="1:11" x14ac:dyDescent="0.3">
      <c r="B33" t="s">
        <v>40</v>
      </c>
      <c r="D33" s="257">
        <f>'Tier III'!F4</f>
        <v>52</v>
      </c>
      <c r="H33" s="968">
        <v>30</v>
      </c>
      <c r="I33" s="968">
        <v>30</v>
      </c>
      <c r="J33" s="968">
        <v>30</v>
      </c>
      <c r="K33" s="279"/>
    </row>
    <row r="34" spans="1:11" x14ac:dyDescent="0.3">
      <c r="B34" t="s">
        <v>41</v>
      </c>
      <c r="D34" s="257">
        <f>'Tier III'!F5</f>
        <v>25</v>
      </c>
      <c r="H34" s="968">
        <v>25</v>
      </c>
      <c r="I34" s="968">
        <v>25</v>
      </c>
      <c r="J34" s="968">
        <v>25</v>
      </c>
      <c r="K34" s="279"/>
    </row>
    <row r="35" spans="1:11" x14ac:dyDescent="0.3">
      <c r="B35" t="s">
        <v>42</v>
      </c>
      <c r="D35" s="257">
        <f>'Tier III'!F6</f>
        <v>16</v>
      </c>
      <c r="H35" s="968">
        <v>12</v>
      </c>
      <c r="I35" s="968">
        <v>12</v>
      </c>
      <c r="J35" s="968">
        <v>12</v>
      </c>
      <c r="K35" s="279"/>
    </row>
    <row r="36" spans="1:11" ht="17.399999999999999" x14ac:dyDescent="0.3">
      <c r="B36" s="26"/>
      <c r="D36" s="147"/>
      <c r="F36" s="517"/>
      <c r="H36" s="778"/>
      <c r="I36" s="778"/>
      <c r="J36" s="778"/>
      <c r="K36" s="277"/>
    </row>
    <row r="37" spans="1:11" x14ac:dyDescent="0.3">
      <c r="B37" s="8" t="s">
        <v>46</v>
      </c>
      <c r="F37" s="518"/>
    </row>
    <row r="38" spans="1:11" x14ac:dyDescent="0.3">
      <c r="B38" t="s">
        <v>39</v>
      </c>
      <c r="D38" s="147">
        <v>0</v>
      </c>
      <c r="F38" s="671"/>
      <c r="H38" s="778">
        <v>0</v>
      </c>
      <c r="I38" s="778">
        <v>0</v>
      </c>
      <c r="J38" s="778">
        <v>0</v>
      </c>
      <c r="K38" s="277"/>
    </row>
    <row r="39" spans="1:11" x14ac:dyDescent="0.3">
      <c r="B39" t="s">
        <v>40</v>
      </c>
      <c r="D39" s="147">
        <v>-0.02</v>
      </c>
      <c r="F39" s="671"/>
      <c r="H39" s="778">
        <v>-0.02</v>
      </c>
      <c r="I39" s="778">
        <v>-0.02</v>
      </c>
      <c r="J39" s="778">
        <v>-0.02</v>
      </c>
      <c r="K39" s="277"/>
    </row>
    <row r="40" spans="1:11" x14ac:dyDescent="0.3">
      <c r="B40" t="s">
        <v>41</v>
      </c>
      <c r="D40" s="147">
        <v>0</v>
      </c>
      <c r="F40" s="671"/>
      <c r="H40" s="778">
        <v>0</v>
      </c>
      <c r="I40" s="778">
        <v>0</v>
      </c>
      <c r="J40" s="778">
        <v>0</v>
      </c>
      <c r="K40" s="277"/>
    </row>
    <row r="41" spans="1:11" x14ac:dyDescent="0.3">
      <c r="B41" t="s">
        <v>42</v>
      </c>
      <c r="D41" s="147">
        <v>0.15</v>
      </c>
      <c r="F41" s="671"/>
      <c r="H41" s="778">
        <v>0.15</v>
      </c>
      <c r="I41" s="778">
        <v>0.15</v>
      </c>
      <c r="J41" s="778">
        <v>0.15</v>
      </c>
      <c r="K41" s="277"/>
    </row>
    <row r="42" spans="1:11" x14ac:dyDescent="0.3">
      <c r="B42" s="13" t="s">
        <v>43</v>
      </c>
      <c r="C42" s="13"/>
      <c r="D42" s="212">
        <v>0</v>
      </c>
      <c r="F42" s="868"/>
      <c r="H42" s="779">
        <v>0</v>
      </c>
      <c r="I42" s="779">
        <v>0</v>
      </c>
      <c r="J42" s="779">
        <v>0</v>
      </c>
      <c r="K42" s="278"/>
    </row>
    <row r="43" spans="1:11" x14ac:dyDescent="0.3">
      <c r="A43"/>
      <c r="D43"/>
      <c r="H43" s="26"/>
      <c r="I43" s="26"/>
      <c r="J43" s="26"/>
    </row>
    <row r="44" spans="1:11" x14ac:dyDescent="0.3">
      <c r="B44" t="s">
        <v>47</v>
      </c>
      <c r="D44" s="1">
        <v>1.1000000000000001</v>
      </c>
      <c r="F44" s="102" t="s">
        <v>48</v>
      </c>
      <c r="H44" s="958">
        <v>1.05</v>
      </c>
      <c r="I44" s="958">
        <v>1.05</v>
      </c>
      <c r="J44" s="958">
        <v>1.05</v>
      </c>
    </row>
    <row r="45" spans="1:11" x14ac:dyDescent="0.3">
      <c r="B45" t="s">
        <v>49</v>
      </c>
      <c r="D45" s="955">
        <f>EV_rate/Retail_Rate_yr1</f>
        <v>0.83275298031605194</v>
      </c>
      <c r="F45" s="102" t="s">
        <v>48</v>
      </c>
      <c r="H45" s="958">
        <v>0.97</v>
      </c>
      <c r="I45" s="958">
        <v>0.97</v>
      </c>
      <c r="J45" s="958">
        <v>0.97</v>
      </c>
    </row>
    <row r="46" spans="1:11" x14ac:dyDescent="0.3">
      <c r="B46" t="s">
        <v>50</v>
      </c>
      <c r="D46" s="1">
        <v>1</v>
      </c>
      <c r="F46" s="102" t="s">
        <v>48</v>
      </c>
      <c r="H46" s="958">
        <v>1</v>
      </c>
      <c r="I46" s="958">
        <v>1</v>
      </c>
      <c r="J46" s="958">
        <v>1</v>
      </c>
    </row>
    <row r="47" spans="1:11" x14ac:dyDescent="0.3">
      <c r="B47" t="s">
        <v>51</v>
      </c>
      <c r="D47" s="1">
        <v>1</v>
      </c>
      <c r="F47" s="102" t="s">
        <v>48</v>
      </c>
      <c r="H47" s="958">
        <v>1</v>
      </c>
      <c r="I47" s="958">
        <v>1</v>
      </c>
      <c r="J47" s="958">
        <v>1</v>
      </c>
    </row>
    <row r="48" spans="1:11" x14ac:dyDescent="0.3">
      <c r="B48" t="s">
        <v>52</v>
      </c>
      <c r="D48" s="270">
        <v>0.25</v>
      </c>
      <c r="F48" t="s">
        <v>53</v>
      </c>
      <c r="H48" s="969">
        <v>0.25</v>
      </c>
      <c r="I48" s="969">
        <v>0.75</v>
      </c>
      <c r="J48" s="969">
        <v>0.1</v>
      </c>
    </row>
    <row r="49" spans="2:11" x14ac:dyDescent="0.3">
      <c r="B49" t="s">
        <v>54</v>
      </c>
      <c r="D49" s="270">
        <v>0.25</v>
      </c>
      <c r="F49" t="s">
        <v>53</v>
      </c>
      <c r="H49" s="969">
        <v>0.25</v>
      </c>
      <c r="I49" s="969">
        <v>0.75</v>
      </c>
      <c r="J49" s="969">
        <v>0.1</v>
      </c>
    </row>
    <row r="51" spans="2:11" x14ac:dyDescent="0.3">
      <c r="B51" t="s">
        <v>55</v>
      </c>
      <c r="D51" s="571">
        <v>1000000</v>
      </c>
      <c r="F51" t="s">
        <v>56</v>
      </c>
      <c r="H51" s="970">
        <v>1000000</v>
      </c>
      <c r="I51" s="970">
        <v>1000000</v>
      </c>
      <c r="J51" s="970">
        <v>1000000</v>
      </c>
      <c r="K51" s="280"/>
    </row>
    <row r="52" spans="2:11" x14ac:dyDescent="0.3">
      <c r="B52" t="s">
        <v>57</v>
      </c>
      <c r="D52" s="147">
        <v>0.03</v>
      </c>
      <c r="H52" s="778">
        <v>0.03</v>
      </c>
      <c r="I52" s="778">
        <v>0.03</v>
      </c>
      <c r="J52" s="778">
        <v>0.03</v>
      </c>
      <c r="K52" s="277"/>
    </row>
  </sheetData>
  <conditionalFormatting sqref="I29">
    <cfRule type="cellIs" dxfId="8" priority="23" operator="notEqual">
      <formula>1</formula>
    </cfRule>
    <cfRule type="cellIs" dxfId="7" priority="24" operator="equal">
      <formula>1</formula>
    </cfRule>
  </conditionalFormatting>
  <conditionalFormatting sqref="J29">
    <cfRule type="cellIs" dxfId="6" priority="21" operator="notEqual">
      <formula>1</formula>
    </cfRule>
    <cfRule type="cellIs" dxfId="5" priority="22" operator="equal">
      <formula>1</formula>
    </cfRule>
  </conditionalFormatting>
  <conditionalFormatting sqref="D29">
    <cfRule type="cellIs" dxfId="4" priority="3" operator="notEqual">
      <formula>1</formula>
    </cfRule>
    <cfRule type="cellIs" dxfId="3" priority="4" operator="equal">
      <formula>1</formula>
    </cfRule>
  </conditionalFormatting>
  <conditionalFormatting sqref="H29">
    <cfRule type="cellIs" dxfId="2" priority="1" operator="notEqual">
      <formula>1</formula>
    </cfRule>
    <cfRule type="cellIs" dxfId="1" priority="2" operator="equal">
      <formula>1</formula>
    </cfRule>
  </conditionalFormatting>
  <hyperlinks>
    <hyperlink ref="F6" r:id="rId1" xr:uid="{2FACD1FC-DF49-4273-B894-66F548300262}"/>
  </hyperlinks>
  <pageMargins left="0.7" right="0.7" top="0.75" bottom="0.75" header="0.3" footer="0.3"/>
  <pageSetup scale="90" orientation="portrait" verticalDpi="120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810B-267C-4318-95D5-426276D76816}">
  <dimension ref="A1:V126"/>
  <sheetViews>
    <sheetView zoomScale="85" zoomScaleNormal="85" workbookViewId="0"/>
  </sheetViews>
  <sheetFormatPr defaultRowHeight="14.4" x14ac:dyDescent="0.3"/>
  <cols>
    <col min="1" max="1" width="35.5546875" customWidth="1"/>
    <col min="2" max="2" width="36.44140625" customWidth="1"/>
    <col min="3" max="3" width="17.88671875" bestFit="1" customWidth="1"/>
    <col min="4" max="4" width="21.109375" customWidth="1"/>
    <col min="5" max="5" width="24.88671875" customWidth="1"/>
    <col min="6" max="6" width="20" customWidth="1"/>
    <col min="7" max="7" width="47.109375" customWidth="1"/>
    <col min="8" max="8" width="19.109375" customWidth="1"/>
    <col min="9" max="9" width="19.6640625" customWidth="1"/>
    <col min="10" max="10" width="19.109375" customWidth="1"/>
    <col min="11" max="11" width="14.44140625" customWidth="1"/>
    <col min="13" max="13" width="20.6640625" customWidth="1"/>
    <col min="14" max="14" width="21.5546875" customWidth="1"/>
    <col min="15" max="15" width="26" customWidth="1"/>
    <col min="16" max="16" width="19.33203125" customWidth="1"/>
    <col min="17" max="17" width="15" customWidth="1"/>
    <col min="18" max="18" width="30.88671875" customWidth="1"/>
    <col min="19" max="19" width="19.5546875" customWidth="1"/>
    <col min="20" max="20" width="21.33203125" customWidth="1"/>
    <col min="21" max="21" width="22.109375" customWidth="1"/>
    <col min="22" max="22" width="19.6640625" customWidth="1"/>
    <col min="23" max="24" width="17.33203125" customWidth="1"/>
    <col min="25" max="25" width="18.6640625" customWidth="1"/>
    <col min="26" max="26" width="11.5546875" customWidth="1"/>
  </cols>
  <sheetData>
    <row r="1" spans="1:14" ht="15" thickBot="1" x14ac:dyDescent="0.35">
      <c r="B1" s="1015" t="s">
        <v>58</v>
      </c>
      <c r="C1" s="1017"/>
      <c r="E1" s="1015" t="s">
        <v>59</v>
      </c>
      <c r="F1" s="1017"/>
    </row>
    <row r="2" spans="1:14" ht="28.8" x14ac:dyDescent="0.3">
      <c r="B2" s="265"/>
      <c r="C2" s="527" t="str">
        <f>scenario</f>
        <v>CURRENT SCENARIO</v>
      </c>
      <c r="E2" s="576" t="s">
        <v>60</v>
      </c>
      <c r="F2" s="577">
        <f>impact!C38</f>
        <v>-16259219.020914635</v>
      </c>
    </row>
    <row r="3" spans="1:14" ht="28.8" x14ac:dyDescent="0.3">
      <c r="A3" s="1037" t="s">
        <v>61</v>
      </c>
      <c r="B3" s="532" t="s">
        <v>62</v>
      </c>
      <c r="C3" s="533" t="str">
        <f>retail_sales_forecast</f>
        <v>base</v>
      </c>
      <c r="E3" s="572" t="s">
        <v>63</v>
      </c>
      <c r="F3" s="574">
        <f>impact!C39</f>
        <v>2117089.8178730565</v>
      </c>
    </row>
    <row r="4" spans="1:14" ht="28.8" x14ac:dyDescent="0.3">
      <c r="A4" s="1037"/>
      <c r="B4" s="532" t="s">
        <v>64</v>
      </c>
      <c r="C4" s="534">
        <f>discount_rate</f>
        <v>0.06</v>
      </c>
      <c r="E4" s="578" t="s">
        <v>65</v>
      </c>
      <c r="F4" s="575"/>
    </row>
    <row r="5" spans="1:14" ht="28.8" x14ac:dyDescent="0.3">
      <c r="A5" s="1037"/>
      <c r="B5" s="532" t="s">
        <v>66</v>
      </c>
      <c r="C5" s="533" t="str">
        <f>REC_scenario</f>
        <v>mid</v>
      </c>
      <c r="E5" s="572" t="s">
        <v>67</v>
      </c>
      <c r="F5" s="573">
        <f>impact!C41</f>
        <v>-135328374.91763785</v>
      </c>
    </row>
    <row r="6" spans="1:14" ht="29.4" thickBot="1" x14ac:dyDescent="0.35">
      <c r="A6" s="1037"/>
      <c r="B6" s="532" t="s">
        <v>68</v>
      </c>
      <c r="C6" s="534" t="str">
        <f>NM_escalation</f>
        <v>mid</v>
      </c>
      <c r="E6" s="579" t="s">
        <v>69</v>
      </c>
      <c r="F6" s="580">
        <f>impact!C43</f>
        <v>7626442.3723028693</v>
      </c>
    </row>
    <row r="7" spans="1:14" x14ac:dyDescent="0.3">
      <c r="A7" s="1037"/>
      <c r="B7" s="532" t="s">
        <v>70</v>
      </c>
      <c r="C7" s="535">
        <f>RNS_coincidence</f>
        <v>0.25</v>
      </c>
      <c r="D7" s="26"/>
    </row>
    <row r="8" spans="1:14" x14ac:dyDescent="0.3">
      <c r="A8" s="1037"/>
      <c r="B8" s="541" t="s">
        <v>71</v>
      </c>
      <c r="C8" s="542" t="str">
        <f>FF_scenario</f>
        <v>mid</v>
      </c>
      <c r="F8" s="242"/>
    </row>
    <row r="9" spans="1:14" x14ac:dyDescent="0.3">
      <c r="B9" s="266"/>
      <c r="C9" s="528"/>
    </row>
    <row r="10" spans="1:14" x14ac:dyDescent="0.3">
      <c r="B10" s="536" t="s">
        <v>72</v>
      </c>
      <c r="C10" s="540">
        <f>ROUND(impact!C21,-6)</f>
        <v>68000000</v>
      </c>
      <c r="D10" s="26" t="s">
        <v>73</v>
      </c>
    </row>
    <row r="11" spans="1:14" x14ac:dyDescent="0.3">
      <c r="B11" s="536" t="s">
        <v>74</v>
      </c>
      <c r="C11" s="540">
        <f>ROUND(impact!C22,-6)</f>
        <v>111000000</v>
      </c>
      <c r="D11" s="26" t="s">
        <v>73</v>
      </c>
    </row>
    <row r="12" spans="1:14" ht="8.25" customHeight="1" x14ac:dyDescent="0.3">
      <c r="B12" s="536"/>
      <c r="C12" s="529"/>
      <c r="D12" s="26"/>
    </row>
    <row r="13" spans="1:14" x14ac:dyDescent="0.3">
      <c r="B13" s="539" t="s">
        <v>75</v>
      </c>
      <c r="C13" s="538">
        <f>ROUND(impact!C23,-6)</f>
        <v>251000000</v>
      </c>
      <c r="D13" s="26" t="s">
        <v>76</v>
      </c>
    </row>
    <row r="14" spans="1:14" s="19" customFormat="1" x14ac:dyDescent="0.3">
      <c r="B14" s="539" t="s">
        <v>77</v>
      </c>
      <c r="C14" s="538">
        <f>ROUND(impact!C24,-6)</f>
        <v>-283000000</v>
      </c>
      <c r="D14" s="26" t="s">
        <v>78</v>
      </c>
      <c r="E14"/>
      <c r="F14"/>
      <c r="G14"/>
      <c r="H14"/>
      <c r="I14"/>
      <c r="J14"/>
      <c r="K14"/>
      <c r="L14"/>
      <c r="M14"/>
      <c r="N14"/>
    </row>
    <row r="15" spans="1:14" x14ac:dyDescent="0.3">
      <c r="B15" s="536" t="s">
        <v>79</v>
      </c>
      <c r="C15" s="540">
        <f>SUM(C13:C14)</f>
        <v>-32000000</v>
      </c>
      <c r="D15" s="26" t="s">
        <v>73</v>
      </c>
    </row>
    <row r="16" spans="1:14" ht="6.75" customHeight="1" x14ac:dyDescent="0.3">
      <c r="B16" s="546"/>
      <c r="C16" s="544"/>
    </row>
    <row r="17" spans="2:22" x14ac:dyDescent="0.3">
      <c r="B17" s="546" t="s">
        <v>80</v>
      </c>
      <c r="C17" s="544">
        <f>-ROUND(impact!C27,-6)</f>
        <v>-639000000</v>
      </c>
      <c r="D17" s="26"/>
    </row>
    <row r="18" spans="2:22" ht="6.75" customHeight="1" thickBot="1" x14ac:dyDescent="0.35">
      <c r="B18" s="547"/>
      <c r="C18" s="545"/>
    </row>
    <row r="19" spans="2:22" ht="15" thickTop="1" x14ac:dyDescent="0.3">
      <c r="B19" s="267" t="s">
        <v>81</v>
      </c>
      <c r="C19" s="530">
        <f>SUM(C10:C11,C15)</f>
        <v>147000000</v>
      </c>
      <c r="D19" s="26" t="s">
        <v>82</v>
      </c>
    </row>
    <row r="20" spans="2:22" ht="15" thickBot="1" x14ac:dyDescent="0.35">
      <c r="B20" s="548" t="s">
        <v>83</v>
      </c>
      <c r="C20" s="549"/>
      <c r="D20" s="26" t="s">
        <v>84</v>
      </c>
    </row>
    <row r="21" spans="2:22" ht="15.6" thickTop="1" thickBot="1" x14ac:dyDescent="0.35">
      <c r="B21" s="268" t="s">
        <v>85</v>
      </c>
      <c r="C21" s="531">
        <f>impact!C37</f>
        <v>2.0991495535959581E-2</v>
      </c>
      <c r="K21" s="19"/>
      <c r="L21" s="19"/>
      <c r="M21" s="19"/>
    </row>
    <row r="23" spans="2:22" ht="21" x14ac:dyDescent="0.4">
      <c r="B23" s="1018" t="s">
        <v>86</v>
      </c>
      <c r="C23" s="1018"/>
      <c r="D23" s="1018"/>
      <c r="E23" s="1018"/>
      <c r="F23" s="1018"/>
      <c r="G23" s="1018"/>
      <c r="H23" s="1018"/>
      <c r="I23" s="1018"/>
      <c r="J23" s="1018"/>
      <c r="K23" s="1018"/>
      <c r="L23" s="1018"/>
      <c r="M23" s="1018"/>
      <c r="N23" s="1018"/>
      <c r="O23" s="1018"/>
      <c r="P23" s="1018"/>
      <c r="Q23" s="1018"/>
      <c r="R23" s="1018"/>
      <c r="S23" s="1018"/>
      <c r="T23" s="1018"/>
      <c r="U23" s="1018"/>
      <c r="V23" s="1018"/>
    </row>
    <row r="24" spans="2:22" ht="15" thickBot="1" x14ac:dyDescent="0.35"/>
    <row r="25" spans="2:22" ht="30" customHeight="1" thickBot="1" x14ac:dyDescent="0.35">
      <c r="B25" s="1012" t="s">
        <v>87</v>
      </c>
      <c r="C25" s="1013"/>
      <c r="D25" s="1013"/>
      <c r="E25" s="1013"/>
      <c r="F25" s="1013"/>
      <c r="G25" s="1013"/>
      <c r="H25" s="1013"/>
      <c r="I25" s="1013"/>
      <c r="J25" s="1014"/>
      <c r="K25" s="1"/>
      <c r="L25" s="1"/>
      <c r="N25" s="1021" t="s">
        <v>88</v>
      </c>
      <c r="O25" s="1022"/>
      <c r="P25" s="1022"/>
      <c r="Q25" s="1022"/>
      <c r="R25" s="1022"/>
      <c r="S25" s="1022"/>
      <c r="T25" s="1022"/>
      <c r="U25" s="1022"/>
      <c r="V25" s="1023"/>
    </row>
    <row r="26" spans="2:22" ht="10.5" customHeight="1" thickBot="1" x14ac:dyDescent="0.35">
      <c r="N26" s="899"/>
      <c r="O26" s="899"/>
      <c r="P26" s="899"/>
      <c r="Q26" s="899"/>
      <c r="R26" s="899"/>
      <c r="S26" s="899"/>
      <c r="T26" s="899"/>
      <c r="U26" s="899"/>
      <c r="V26" s="899"/>
    </row>
    <row r="27" spans="2:22" ht="19.5" customHeight="1" thickBot="1" x14ac:dyDescent="0.35">
      <c r="B27" s="1015" t="s">
        <v>89</v>
      </c>
      <c r="C27" s="1016"/>
      <c r="D27" s="1016"/>
      <c r="E27" s="1017"/>
      <c r="G27" s="1015" t="s">
        <v>90</v>
      </c>
      <c r="H27" s="1016"/>
      <c r="I27" s="1016"/>
      <c r="J27" s="1017"/>
      <c r="N27" s="1024" t="s">
        <v>89</v>
      </c>
      <c r="O27" s="1025"/>
      <c r="P27" s="1025"/>
      <c r="Q27" s="1026"/>
      <c r="R27" s="899"/>
      <c r="S27" s="1024" t="s">
        <v>90</v>
      </c>
      <c r="T27" s="1025"/>
      <c r="U27" s="1025"/>
      <c r="V27" s="1026"/>
    </row>
    <row r="28" spans="2:22" ht="45.75" customHeight="1" thickBot="1" x14ac:dyDescent="0.35">
      <c r="B28" s="732"/>
      <c r="C28" s="733" t="s">
        <v>91</v>
      </c>
      <c r="D28" s="734" t="s">
        <v>92</v>
      </c>
      <c r="E28" s="607" t="s">
        <v>93</v>
      </c>
      <c r="G28" s="604"/>
      <c r="H28" s="605" t="s">
        <v>91</v>
      </c>
      <c r="I28" s="606" t="s">
        <v>92</v>
      </c>
      <c r="J28" s="607" t="s">
        <v>94</v>
      </c>
      <c r="N28" s="900"/>
      <c r="O28" s="901" t="s">
        <v>91</v>
      </c>
      <c r="P28" s="902" t="s">
        <v>92</v>
      </c>
      <c r="Q28" s="903" t="s">
        <v>94</v>
      </c>
      <c r="R28" s="899"/>
      <c r="S28" s="900"/>
      <c r="T28" s="901" t="s">
        <v>91</v>
      </c>
      <c r="U28" s="902" t="s">
        <v>92</v>
      </c>
      <c r="V28" s="903" t="s">
        <v>94</v>
      </c>
    </row>
    <row r="29" spans="2:22" x14ac:dyDescent="0.3">
      <c r="B29" s="120" t="s">
        <v>66</v>
      </c>
      <c r="C29" s="611" t="s">
        <v>26</v>
      </c>
      <c r="D29" s="609" t="s">
        <v>12</v>
      </c>
      <c r="E29" s="610" t="s">
        <v>8</v>
      </c>
      <c r="G29" s="120" t="s">
        <v>66</v>
      </c>
      <c r="H29" s="608" t="s">
        <v>20</v>
      </c>
      <c r="I29" s="609" t="s">
        <v>12</v>
      </c>
      <c r="J29" s="610" t="s">
        <v>8</v>
      </c>
      <c r="N29" s="904" t="s">
        <v>66</v>
      </c>
      <c r="O29" s="905" t="s">
        <v>95</v>
      </c>
      <c r="P29" s="906" t="s">
        <v>96</v>
      </c>
      <c r="Q29" s="907" t="s">
        <v>97</v>
      </c>
      <c r="R29" s="899"/>
      <c r="S29" s="904" t="s">
        <v>66</v>
      </c>
      <c r="T29" s="905" t="s">
        <v>95</v>
      </c>
      <c r="U29" s="906" t="s">
        <v>96</v>
      </c>
      <c r="V29" s="907" t="s">
        <v>97</v>
      </c>
    </row>
    <row r="30" spans="2:22" x14ac:dyDescent="0.3">
      <c r="B30" s="120" t="s">
        <v>68</v>
      </c>
      <c r="C30" s="611" t="s">
        <v>20</v>
      </c>
      <c r="D30" s="612" t="s">
        <v>12</v>
      </c>
      <c r="E30" s="613" t="s">
        <v>8</v>
      </c>
      <c r="G30" s="120" t="s">
        <v>68</v>
      </c>
      <c r="H30" s="611" t="s">
        <v>20</v>
      </c>
      <c r="I30" s="612" t="s">
        <v>12</v>
      </c>
      <c r="J30" s="613" t="s">
        <v>8</v>
      </c>
      <c r="N30" s="904" t="s">
        <v>68</v>
      </c>
      <c r="O30" s="908" t="s">
        <v>95</v>
      </c>
      <c r="P30" s="909" t="s">
        <v>96</v>
      </c>
      <c r="Q30" s="910" t="s">
        <v>97</v>
      </c>
      <c r="R30" s="899"/>
      <c r="S30" s="904" t="s">
        <v>68</v>
      </c>
      <c r="T30" s="908" t="s">
        <v>95</v>
      </c>
      <c r="U30" s="909" t="s">
        <v>96</v>
      </c>
      <c r="V30" s="910" t="s">
        <v>97</v>
      </c>
    </row>
    <row r="31" spans="2:22" x14ac:dyDescent="0.3">
      <c r="B31" s="120" t="s">
        <v>70</v>
      </c>
      <c r="C31" s="614">
        <v>0.1</v>
      </c>
      <c r="D31" s="615">
        <v>0.75</v>
      </c>
      <c r="E31" s="616">
        <v>0.25</v>
      </c>
      <c r="G31" s="120" t="s">
        <v>70</v>
      </c>
      <c r="H31" s="614">
        <v>0.1</v>
      </c>
      <c r="I31" s="615">
        <v>0.75</v>
      </c>
      <c r="J31" s="616">
        <v>0.25</v>
      </c>
      <c r="N31" s="904" t="s">
        <v>70</v>
      </c>
      <c r="O31" s="911">
        <v>0.1</v>
      </c>
      <c r="P31" s="912">
        <v>0.75</v>
      </c>
      <c r="Q31" s="913">
        <v>0.25</v>
      </c>
      <c r="R31" s="899"/>
      <c r="S31" s="904" t="s">
        <v>70</v>
      </c>
      <c r="T31" s="911">
        <v>0.1</v>
      </c>
      <c r="U31" s="912">
        <v>0.75</v>
      </c>
      <c r="V31" s="913">
        <v>0.25</v>
      </c>
    </row>
    <row r="32" spans="2:22" x14ac:dyDescent="0.3">
      <c r="B32" s="617" t="s">
        <v>71</v>
      </c>
      <c r="C32" s="611" t="s">
        <v>12</v>
      </c>
      <c r="D32" s="618" t="s">
        <v>20</v>
      </c>
      <c r="E32" s="619" t="s">
        <v>8</v>
      </c>
      <c r="G32" s="617" t="s">
        <v>71</v>
      </c>
      <c r="H32" s="611" t="s">
        <v>12</v>
      </c>
      <c r="I32" s="618" t="s">
        <v>20</v>
      </c>
      <c r="J32" s="619" t="s">
        <v>8</v>
      </c>
      <c r="N32" s="914" t="s">
        <v>71</v>
      </c>
      <c r="O32" s="908" t="s">
        <v>96</v>
      </c>
      <c r="P32" s="915" t="s">
        <v>95</v>
      </c>
      <c r="Q32" s="916" t="s">
        <v>97</v>
      </c>
      <c r="R32" s="899"/>
      <c r="S32" s="914" t="s">
        <v>71</v>
      </c>
      <c r="T32" s="908" t="s">
        <v>96</v>
      </c>
      <c r="U32" s="915" t="s">
        <v>95</v>
      </c>
      <c r="V32" s="916" t="s">
        <v>97</v>
      </c>
    </row>
    <row r="33" spans="1:22" ht="8.25" customHeight="1" x14ac:dyDescent="0.3">
      <c r="B33" s="120"/>
      <c r="C33" s="620"/>
      <c r="D33" s="620"/>
      <c r="E33" s="620"/>
      <c r="G33" s="120"/>
      <c r="H33" s="620"/>
      <c r="I33" s="620"/>
      <c r="J33" s="620"/>
      <c r="N33" s="904"/>
      <c r="O33" s="917"/>
      <c r="P33" s="917"/>
      <c r="Q33" s="917"/>
      <c r="R33" s="899"/>
      <c r="S33" s="904"/>
      <c r="T33" s="917"/>
      <c r="U33" s="917"/>
      <c r="V33" s="917"/>
    </row>
    <row r="34" spans="1:22" x14ac:dyDescent="0.3">
      <c r="B34" s="621" t="s">
        <v>72</v>
      </c>
      <c r="C34" s="622">
        <v>87000000</v>
      </c>
      <c r="D34" s="622">
        <v>190000000</v>
      </c>
      <c r="E34" s="622">
        <v>120000000</v>
      </c>
      <c r="F34" s="850"/>
      <c r="G34" s="819" t="s">
        <v>72</v>
      </c>
      <c r="H34" s="626">
        <v>95000000</v>
      </c>
      <c r="I34" s="622">
        <v>206000000</v>
      </c>
      <c r="J34" s="622">
        <v>130000000</v>
      </c>
      <c r="N34" s="918" t="s">
        <v>72</v>
      </c>
      <c r="O34" s="919">
        <v>43000000</v>
      </c>
      <c r="P34" s="919">
        <v>126000000</v>
      </c>
      <c r="Q34" s="919">
        <v>99000000</v>
      </c>
      <c r="R34" s="971"/>
      <c r="S34" s="918" t="s">
        <v>72</v>
      </c>
      <c r="T34" s="919">
        <v>56000000</v>
      </c>
      <c r="U34" s="919">
        <v>161000000</v>
      </c>
      <c r="V34" s="919">
        <v>126000000</v>
      </c>
    </row>
    <row r="35" spans="1:22" x14ac:dyDescent="0.3">
      <c r="B35" s="621" t="s">
        <v>74</v>
      </c>
      <c r="C35" s="622">
        <v>106000000</v>
      </c>
      <c r="D35" s="622">
        <v>116000000</v>
      </c>
      <c r="E35" s="622">
        <v>113000000</v>
      </c>
      <c r="G35" s="819" t="s">
        <v>74</v>
      </c>
      <c r="H35" s="626">
        <v>113000000</v>
      </c>
      <c r="I35" s="622">
        <v>125000000</v>
      </c>
      <c r="J35" s="622">
        <v>121000000</v>
      </c>
      <c r="N35" s="918" t="s">
        <v>74</v>
      </c>
      <c r="O35" s="919">
        <v>91000000</v>
      </c>
      <c r="P35" s="919">
        <v>103000000</v>
      </c>
      <c r="Q35" s="919">
        <v>100000000</v>
      </c>
      <c r="R35" s="971"/>
      <c r="S35" s="918" t="s">
        <v>74</v>
      </c>
      <c r="T35" s="919">
        <v>95000000</v>
      </c>
      <c r="U35" s="919">
        <v>116000000</v>
      </c>
      <c r="V35" s="919">
        <v>111000000</v>
      </c>
    </row>
    <row r="36" spans="1:22" ht="8.25" customHeight="1" x14ac:dyDescent="0.3">
      <c r="B36" s="621"/>
      <c r="C36" s="623"/>
      <c r="D36" s="623"/>
      <c r="E36" s="623"/>
      <c r="G36" s="819"/>
      <c r="H36" s="817"/>
      <c r="I36" s="623"/>
      <c r="J36" s="623"/>
      <c r="N36" s="918"/>
      <c r="O36" s="920"/>
      <c r="P36" s="920"/>
      <c r="Q36" s="920"/>
      <c r="R36" s="971"/>
      <c r="S36" s="918"/>
      <c r="T36" s="920"/>
      <c r="U36" s="920"/>
      <c r="V36" s="920"/>
    </row>
    <row r="37" spans="1:22" x14ac:dyDescent="0.3">
      <c r="B37" s="624" t="s">
        <v>75</v>
      </c>
      <c r="C37" s="625">
        <v>261000000</v>
      </c>
      <c r="D37" s="625">
        <v>309000000</v>
      </c>
      <c r="E37" s="625">
        <v>251000000</v>
      </c>
      <c r="G37" s="820" t="s">
        <v>75</v>
      </c>
      <c r="H37" s="818">
        <v>278000000</v>
      </c>
      <c r="I37" s="625">
        <v>325000000</v>
      </c>
      <c r="J37" s="625">
        <v>266000000</v>
      </c>
      <c r="N37" s="921" t="s">
        <v>75</v>
      </c>
      <c r="O37" s="922">
        <v>132000000</v>
      </c>
      <c r="P37" s="922">
        <v>203000000</v>
      </c>
      <c r="Q37" s="922">
        <v>144000000</v>
      </c>
      <c r="R37" s="971"/>
      <c r="S37" s="921" t="s">
        <v>75</v>
      </c>
      <c r="T37" s="922">
        <v>149000000</v>
      </c>
      <c r="U37" s="922">
        <v>232000000</v>
      </c>
      <c r="V37" s="922">
        <v>163000000</v>
      </c>
    </row>
    <row r="38" spans="1:22" x14ac:dyDescent="0.3">
      <c r="B38" s="624" t="s">
        <v>77</v>
      </c>
      <c r="C38" s="625">
        <v>-258000000</v>
      </c>
      <c r="D38" s="625">
        <v>-256000000</v>
      </c>
      <c r="E38" s="625">
        <v>-257000000</v>
      </c>
      <c r="G38" s="820" t="s">
        <v>77</v>
      </c>
      <c r="H38" s="818">
        <v>-281000000</v>
      </c>
      <c r="I38" s="625">
        <v>-279000000</v>
      </c>
      <c r="J38" s="625">
        <v>-280000000</v>
      </c>
      <c r="N38" s="921" t="s">
        <v>77</v>
      </c>
      <c r="O38" s="922">
        <v>-176000000</v>
      </c>
      <c r="P38" s="922">
        <v>-174000000</v>
      </c>
      <c r="Q38" s="922">
        <v>-175000000</v>
      </c>
      <c r="R38" s="899"/>
      <c r="S38" s="921" t="s">
        <v>77</v>
      </c>
      <c r="T38" s="922">
        <v>-194000000</v>
      </c>
      <c r="U38" s="922">
        <v>-192000000</v>
      </c>
      <c r="V38" s="922">
        <v>-193000000</v>
      </c>
    </row>
    <row r="39" spans="1:22" x14ac:dyDescent="0.3">
      <c r="B39" s="621" t="s">
        <v>79</v>
      </c>
      <c r="C39" s="622">
        <v>3000000</v>
      </c>
      <c r="D39" s="622">
        <v>53000000</v>
      </c>
      <c r="E39" s="622">
        <v>-6000000</v>
      </c>
      <c r="G39" s="819" t="s">
        <v>79</v>
      </c>
      <c r="H39" s="626">
        <v>-3000000</v>
      </c>
      <c r="I39" s="622">
        <v>46000000</v>
      </c>
      <c r="J39" s="622">
        <v>-14000000</v>
      </c>
      <c r="N39" s="918" t="s">
        <v>79</v>
      </c>
      <c r="O39" s="919">
        <v>-44000000</v>
      </c>
      <c r="P39" s="919">
        <v>29000000</v>
      </c>
      <c r="Q39" s="919">
        <v>-31000000</v>
      </c>
      <c r="R39" s="899"/>
      <c r="S39" s="918" t="s">
        <v>79</v>
      </c>
      <c r="T39" s="919">
        <v>-45000000</v>
      </c>
      <c r="U39" s="919">
        <v>40000000</v>
      </c>
      <c r="V39" s="919">
        <v>-30000000</v>
      </c>
    </row>
    <row r="40" spans="1:22" ht="8.25" customHeight="1" x14ac:dyDescent="0.3">
      <c r="B40" s="621"/>
      <c r="C40" s="622"/>
      <c r="D40" s="626"/>
      <c r="E40" s="626"/>
      <c r="G40" s="819"/>
      <c r="H40" s="626"/>
      <c r="I40" s="626"/>
      <c r="J40" s="626"/>
      <c r="N40" s="918"/>
      <c r="O40" s="919"/>
      <c r="P40" s="923"/>
      <c r="Q40" s="923"/>
      <c r="R40" s="899"/>
      <c r="S40" s="918"/>
      <c r="T40" s="923"/>
      <c r="U40" s="923"/>
      <c r="V40" s="923"/>
    </row>
    <row r="41" spans="1:22" ht="7.5" customHeight="1" thickBot="1" x14ac:dyDescent="0.35">
      <c r="B41" s="627"/>
      <c r="C41" s="632"/>
      <c r="D41" s="628"/>
      <c r="E41" s="628"/>
      <c r="G41" s="821"/>
      <c r="H41" s="628"/>
      <c r="I41" s="628"/>
      <c r="J41" s="628"/>
      <c r="N41" s="924"/>
      <c r="O41" s="925"/>
      <c r="P41" s="926"/>
      <c r="Q41" s="926"/>
      <c r="R41" s="899"/>
      <c r="S41" s="924"/>
      <c r="T41" s="926"/>
      <c r="U41" s="926"/>
      <c r="V41" s="926"/>
    </row>
    <row r="42" spans="1:22" ht="15" thickTop="1" x14ac:dyDescent="0.3">
      <c r="B42" s="629" t="s">
        <v>81</v>
      </c>
      <c r="C42" s="630">
        <v>196000000</v>
      </c>
      <c r="D42" s="630">
        <v>359000000</v>
      </c>
      <c r="E42" s="630">
        <v>227000000</v>
      </c>
      <c r="G42" s="629" t="s">
        <v>81</v>
      </c>
      <c r="H42" s="630">
        <v>205000000</v>
      </c>
      <c r="I42" s="630">
        <v>377000000</v>
      </c>
      <c r="J42" s="630">
        <v>237000000</v>
      </c>
      <c r="N42" s="927" t="s">
        <v>98</v>
      </c>
      <c r="O42" s="928">
        <v>90000000</v>
      </c>
      <c r="P42" s="928">
        <v>258000000</v>
      </c>
      <c r="Q42" s="928">
        <v>168000000</v>
      </c>
      <c r="R42" s="899"/>
      <c r="S42" s="927" t="s">
        <v>98</v>
      </c>
      <c r="T42" s="928">
        <v>106000000</v>
      </c>
      <c r="U42" s="928">
        <v>317000000</v>
      </c>
      <c r="V42" s="928">
        <v>207000000</v>
      </c>
    </row>
    <row r="43" spans="1:22" ht="15" thickBot="1" x14ac:dyDescent="0.35">
      <c r="B43" s="133" t="s">
        <v>85</v>
      </c>
      <c r="C43" s="631">
        <v>1.8571564368369486E-2</v>
      </c>
      <c r="D43" s="631">
        <v>4.9910853456814008E-2</v>
      </c>
      <c r="E43" s="631">
        <v>2.8533430527222681E-2</v>
      </c>
      <c r="G43" s="133" t="s">
        <v>85</v>
      </c>
      <c r="H43" s="631">
        <v>1.677632372633342E-2</v>
      </c>
      <c r="I43" s="631">
        <v>4.9101191529618671E-2</v>
      </c>
      <c r="J43" s="631">
        <v>2.6836981798239012E-2</v>
      </c>
      <c r="N43" s="929" t="s">
        <v>85</v>
      </c>
      <c r="O43" s="930">
        <v>8.4129622820314776E-3</v>
      </c>
      <c r="P43" s="930">
        <v>4.7652285216071011E-2</v>
      </c>
      <c r="Q43" s="930">
        <v>2.6032945852695777E-2</v>
      </c>
      <c r="R43" s="899"/>
      <c r="S43" s="929" t="s">
        <v>85</v>
      </c>
      <c r="T43" s="930">
        <v>8.6562597935349039E-3</v>
      </c>
      <c r="U43" s="930">
        <v>5.3662445342579357E-2</v>
      </c>
      <c r="V43" s="930">
        <v>2.9389251615056011E-2</v>
      </c>
    </row>
    <row r="44" spans="1:22" x14ac:dyDescent="0.3">
      <c r="N44" s="899"/>
      <c r="O44" s="899"/>
      <c r="P44" s="899"/>
      <c r="Q44" s="899"/>
      <c r="R44" s="899"/>
      <c r="S44" s="899"/>
      <c r="T44" s="899"/>
      <c r="U44" s="899"/>
      <c r="V44" s="899"/>
    </row>
    <row r="45" spans="1:22" ht="15" thickBot="1" x14ac:dyDescent="0.35">
      <c r="B45" s="26"/>
      <c r="C45" s="26"/>
      <c r="D45" s="26"/>
      <c r="E45" s="26"/>
      <c r="F45" s="840"/>
      <c r="G45" s="840"/>
      <c r="H45" s="840"/>
      <c r="I45" s="840"/>
      <c r="J45" s="840"/>
      <c r="K45" s="26"/>
      <c r="L45" s="26"/>
      <c r="N45" s="899"/>
      <c r="O45" s="899"/>
      <c r="P45" s="899"/>
      <c r="Q45" s="899"/>
      <c r="R45" s="931"/>
      <c r="S45" s="931"/>
      <c r="T45" s="931"/>
      <c r="U45" s="931"/>
      <c r="V45" s="931"/>
    </row>
    <row r="46" spans="1:22" ht="21.6" thickBot="1" x14ac:dyDescent="0.35">
      <c r="A46" s="26"/>
      <c r="B46" s="1012" t="s">
        <v>99</v>
      </c>
      <c r="C46" s="1013"/>
      <c r="D46" s="1013"/>
      <c r="E46" s="1013"/>
      <c r="F46" s="1013"/>
      <c r="G46" s="1013"/>
      <c r="H46" s="1013"/>
      <c r="I46" s="1013"/>
      <c r="J46" s="1014"/>
      <c r="K46" s="26"/>
      <c r="L46" s="26"/>
      <c r="N46" s="899"/>
      <c r="O46" s="899"/>
      <c r="P46" s="899"/>
      <c r="Q46" s="899"/>
      <c r="R46" s="931"/>
      <c r="S46" s="931"/>
      <c r="T46" s="931"/>
      <c r="U46" s="931"/>
      <c r="V46" s="931"/>
    </row>
    <row r="47" spans="1:22" ht="15" thickBot="1" x14ac:dyDescent="0.35">
      <c r="A47" s="26"/>
      <c r="K47" s="26"/>
      <c r="L47" s="26"/>
      <c r="N47" s="899"/>
      <c r="O47" s="899"/>
      <c r="P47" s="899"/>
      <c r="Q47" s="899"/>
      <c r="R47" s="931"/>
      <c r="S47" s="931"/>
      <c r="T47" s="931"/>
      <c r="U47" s="931"/>
      <c r="V47" s="931"/>
    </row>
    <row r="48" spans="1:22" ht="15" thickBot="1" x14ac:dyDescent="0.35">
      <c r="A48" s="26"/>
      <c r="B48" s="1015" t="s">
        <v>89</v>
      </c>
      <c r="C48" s="1016"/>
      <c r="D48" s="1016"/>
      <c r="E48" s="1017"/>
      <c r="G48" s="1015" t="s">
        <v>90</v>
      </c>
      <c r="H48" s="1016"/>
      <c r="I48" s="1016"/>
      <c r="J48" s="1017"/>
      <c r="K48" s="26"/>
      <c r="L48" s="26"/>
      <c r="N48" s="899"/>
      <c r="O48" s="899"/>
      <c r="P48" s="899"/>
      <c r="Q48" s="899"/>
      <c r="R48" s="931"/>
      <c r="S48" s="931"/>
      <c r="T48" s="931"/>
      <c r="U48" s="931"/>
      <c r="V48" s="931"/>
    </row>
    <row r="49" spans="1:22" ht="43.8" thickBot="1" x14ac:dyDescent="0.35">
      <c r="A49" s="26"/>
      <c r="B49" s="732"/>
      <c r="C49" s="952" t="s">
        <v>91</v>
      </c>
      <c r="D49" s="734" t="s">
        <v>92</v>
      </c>
      <c r="E49" s="607" t="s">
        <v>93</v>
      </c>
      <c r="G49" s="604"/>
      <c r="H49" s="932" t="s">
        <v>91</v>
      </c>
      <c r="I49" s="932" t="s">
        <v>92</v>
      </c>
      <c r="J49" s="607" t="s">
        <v>94</v>
      </c>
      <c r="K49" s="26"/>
      <c r="L49" s="26"/>
      <c r="N49" s="899"/>
      <c r="O49" s="899"/>
      <c r="P49" s="899"/>
      <c r="Q49" s="899"/>
      <c r="R49" s="931"/>
      <c r="S49" s="931"/>
      <c r="T49" s="931"/>
      <c r="U49" s="931"/>
      <c r="V49" s="931"/>
    </row>
    <row r="50" spans="1:22" x14ac:dyDescent="0.3">
      <c r="A50" s="26"/>
      <c r="B50" s="120" t="s">
        <v>66</v>
      </c>
      <c r="C50" s="936" t="s">
        <v>26</v>
      </c>
      <c r="D50" s="945" t="s">
        <v>12</v>
      </c>
      <c r="E50" s="610" t="s">
        <v>8</v>
      </c>
      <c r="G50" s="120" t="s">
        <v>66</v>
      </c>
      <c r="H50" s="943" t="s">
        <v>20</v>
      </c>
      <c r="I50" s="933" t="s">
        <v>12</v>
      </c>
      <c r="J50" s="610" t="s">
        <v>8</v>
      </c>
      <c r="K50" s="26"/>
      <c r="L50" s="26"/>
      <c r="N50" s="899"/>
      <c r="O50" s="899"/>
      <c r="P50" s="899"/>
      <c r="Q50" s="899"/>
      <c r="R50" s="931"/>
      <c r="S50" s="931"/>
      <c r="T50" s="931"/>
      <c r="U50" s="931"/>
      <c r="V50" s="931"/>
    </row>
    <row r="51" spans="1:22" x14ac:dyDescent="0.3">
      <c r="A51" s="26"/>
      <c r="B51" s="120" t="s">
        <v>68</v>
      </c>
      <c r="C51" s="936" t="s">
        <v>20</v>
      </c>
      <c r="D51" s="946" t="s">
        <v>12</v>
      </c>
      <c r="E51" s="613" t="s">
        <v>8</v>
      </c>
      <c r="G51" s="120" t="s">
        <v>68</v>
      </c>
      <c r="H51" s="936" t="s">
        <v>20</v>
      </c>
      <c r="I51" s="934" t="s">
        <v>12</v>
      </c>
      <c r="J51" s="613" t="s">
        <v>8</v>
      </c>
      <c r="K51" s="26"/>
      <c r="L51" s="26"/>
      <c r="N51" s="899"/>
      <c r="O51" s="899"/>
      <c r="P51" s="899"/>
      <c r="Q51" s="899"/>
      <c r="R51" s="931"/>
      <c r="S51" s="931"/>
      <c r="T51" s="931"/>
      <c r="U51" s="931"/>
      <c r="V51" s="931"/>
    </row>
    <row r="52" spans="1:22" x14ac:dyDescent="0.3">
      <c r="A52" s="26"/>
      <c r="B52" s="120" t="s">
        <v>70</v>
      </c>
      <c r="C52" s="944">
        <v>0.1</v>
      </c>
      <c r="D52" s="947">
        <v>0.75</v>
      </c>
      <c r="E52" s="616">
        <v>0.25</v>
      </c>
      <c r="G52" s="120" t="s">
        <v>70</v>
      </c>
      <c r="H52" s="944">
        <v>0.1</v>
      </c>
      <c r="I52" s="935">
        <v>0.75</v>
      </c>
      <c r="J52" s="616">
        <v>0.25</v>
      </c>
      <c r="K52" s="26"/>
      <c r="L52" s="26"/>
      <c r="N52" s="899"/>
      <c r="O52" s="899"/>
      <c r="P52" s="899"/>
      <c r="Q52" s="899"/>
      <c r="R52" s="931"/>
      <c r="S52" s="931"/>
      <c r="T52" s="931"/>
      <c r="U52" s="931"/>
      <c r="V52" s="931"/>
    </row>
    <row r="53" spans="1:22" x14ac:dyDescent="0.3">
      <c r="A53" s="26"/>
      <c r="B53" s="617" t="s">
        <v>71</v>
      </c>
      <c r="C53" s="936" t="s">
        <v>12</v>
      </c>
      <c r="D53" s="948" t="s">
        <v>20</v>
      </c>
      <c r="E53" s="619" t="s">
        <v>8</v>
      </c>
      <c r="G53" s="617" t="s">
        <v>71</v>
      </c>
      <c r="H53" s="936" t="s">
        <v>12</v>
      </c>
      <c r="I53" s="936" t="s">
        <v>20</v>
      </c>
      <c r="J53" s="619" t="s">
        <v>8</v>
      </c>
      <c r="K53" s="26"/>
      <c r="L53" s="26"/>
      <c r="N53" s="899"/>
      <c r="O53" s="899"/>
      <c r="P53" s="899"/>
      <c r="Q53" s="899"/>
      <c r="R53" s="931"/>
      <c r="S53" s="931"/>
      <c r="T53" s="931"/>
      <c r="U53" s="931"/>
      <c r="V53" s="931"/>
    </row>
    <row r="54" spans="1:22" x14ac:dyDescent="0.3">
      <c r="A54" s="26"/>
      <c r="B54" s="120"/>
      <c r="C54" s="936"/>
      <c r="D54" s="949"/>
      <c r="E54" s="620"/>
      <c r="G54" s="120"/>
      <c r="H54" s="936"/>
      <c r="I54" s="936"/>
      <c r="J54" s="620"/>
      <c r="K54" s="26"/>
      <c r="L54" s="26"/>
      <c r="N54" s="899"/>
      <c r="O54" s="899"/>
      <c r="P54" s="899"/>
      <c r="Q54" s="899"/>
      <c r="R54" s="931"/>
      <c r="S54" s="931"/>
      <c r="T54" s="931"/>
      <c r="U54" s="931"/>
      <c r="V54" s="931"/>
    </row>
    <row r="55" spans="1:22" x14ac:dyDescent="0.3">
      <c r="A55" s="26"/>
      <c r="B55" s="621" t="s">
        <v>72</v>
      </c>
      <c r="C55" s="937">
        <v>64000000</v>
      </c>
      <c r="D55" s="626">
        <v>119000000</v>
      </c>
      <c r="E55" s="622">
        <v>68000000</v>
      </c>
      <c r="G55" s="621" t="s">
        <v>72</v>
      </c>
      <c r="H55" s="937">
        <v>76000000</v>
      </c>
      <c r="I55" s="937">
        <v>150000000</v>
      </c>
      <c r="J55" s="622">
        <v>87000000</v>
      </c>
      <c r="K55" s="26"/>
      <c r="L55" s="26"/>
      <c r="N55" s="899"/>
      <c r="O55" s="899"/>
      <c r="P55" s="899"/>
      <c r="Q55" s="899"/>
      <c r="R55" s="931"/>
      <c r="S55" s="931"/>
      <c r="T55" s="931"/>
      <c r="U55" s="931"/>
      <c r="V55" s="931"/>
    </row>
    <row r="56" spans="1:22" x14ac:dyDescent="0.3">
      <c r="A56" s="26"/>
      <c r="B56" s="621" t="s">
        <v>74</v>
      </c>
      <c r="C56" s="937">
        <v>105000000</v>
      </c>
      <c r="D56" s="626">
        <v>110000000</v>
      </c>
      <c r="E56" s="622">
        <v>111000000</v>
      </c>
      <c r="G56" s="621" t="s">
        <v>74</v>
      </c>
      <c r="H56" s="937">
        <v>112000000</v>
      </c>
      <c r="I56" s="937">
        <v>121000000</v>
      </c>
      <c r="J56" s="622">
        <v>120000000</v>
      </c>
      <c r="K56" s="26"/>
      <c r="L56" s="26"/>
      <c r="N56" s="899"/>
      <c r="O56" s="899"/>
      <c r="P56" s="899"/>
      <c r="Q56" s="899"/>
      <c r="R56" s="931"/>
      <c r="S56" s="931"/>
      <c r="T56" s="931"/>
      <c r="U56" s="931"/>
      <c r="V56" s="931"/>
    </row>
    <row r="57" spans="1:22" x14ac:dyDescent="0.3">
      <c r="A57" s="26"/>
      <c r="B57" s="621"/>
      <c r="C57" s="938"/>
      <c r="D57" s="817"/>
      <c r="E57" s="623"/>
      <c r="G57" s="621"/>
      <c r="H57" s="938"/>
      <c r="I57" s="938"/>
      <c r="J57" s="623"/>
      <c r="K57" s="26"/>
      <c r="L57" s="26"/>
      <c r="N57" s="899"/>
      <c r="O57" s="899"/>
      <c r="P57" s="899"/>
      <c r="Q57" s="899"/>
      <c r="R57" s="931"/>
      <c r="S57" s="931"/>
      <c r="T57" s="931"/>
      <c r="U57" s="931"/>
      <c r="V57" s="931"/>
    </row>
    <row r="58" spans="1:22" x14ac:dyDescent="0.3">
      <c r="A58" s="26"/>
      <c r="B58" s="624" t="s">
        <v>75</v>
      </c>
      <c r="C58" s="973">
        <v>254000000</v>
      </c>
      <c r="D58" s="974">
        <v>324000000</v>
      </c>
      <c r="E58" s="975">
        <v>251000000</v>
      </c>
      <c r="F58" s="76"/>
      <c r="G58" s="624" t="s">
        <v>75</v>
      </c>
      <c r="H58" s="939">
        <v>271000000</v>
      </c>
      <c r="I58" s="939">
        <v>350000000</v>
      </c>
      <c r="J58" s="625">
        <v>269000000</v>
      </c>
      <c r="K58" s="26"/>
      <c r="L58" s="26"/>
      <c r="N58" s="899"/>
      <c r="O58" s="899"/>
      <c r="P58" s="899"/>
      <c r="Q58" s="899"/>
      <c r="R58" s="931"/>
      <c r="S58" s="931"/>
      <c r="T58" s="931"/>
      <c r="U58" s="931"/>
      <c r="V58" s="931"/>
    </row>
    <row r="59" spans="1:22" x14ac:dyDescent="0.3">
      <c r="A59" s="26"/>
      <c r="B59" s="624" t="s">
        <v>77</v>
      </c>
      <c r="C59" s="973">
        <v>-286000000</v>
      </c>
      <c r="D59" s="974">
        <v>-282000000</v>
      </c>
      <c r="E59" s="975">
        <v>-283000000</v>
      </c>
      <c r="F59" s="76"/>
      <c r="G59" s="624" t="s">
        <v>77</v>
      </c>
      <c r="H59" s="939">
        <v>-300000000</v>
      </c>
      <c r="I59" s="939">
        <v>-296000000</v>
      </c>
      <c r="J59" s="625">
        <v>-298000000</v>
      </c>
      <c r="K59" s="26"/>
      <c r="L59" s="26"/>
      <c r="N59" s="899"/>
      <c r="O59" s="899"/>
      <c r="P59" s="899"/>
      <c r="Q59" s="899"/>
      <c r="R59" s="931"/>
      <c r="S59" s="931"/>
      <c r="T59" s="931"/>
      <c r="U59" s="931"/>
      <c r="V59" s="931"/>
    </row>
    <row r="60" spans="1:22" x14ac:dyDescent="0.3">
      <c r="A60" s="26"/>
      <c r="B60" s="621" t="s">
        <v>79</v>
      </c>
      <c r="C60" s="937">
        <v>-32000000</v>
      </c>
      <c r="D60" s="626">
        <v>42000000</v>
      </c>
      <c r="E60" s="622">
        <v>-32000000</v>
      </c>
      <c r="F60" s="76"/>
      <c r="G60" s="621" t="s">
        <v>79</v>
      </c>
      <c r="H60" s="937">
        <v>-29000000</v>
      </c>
      <c r="I60" s="937">
        <v>54000000</v>
      </c>
      <c r="J60" s="622">
        <v>-29000000</v>
      </c>
      <c r="K60" s="26"/>
      <c r="L60" s="26"/>
      <c r="N60" s="899"/>
      <c r="O60" s="899"/>
      <c r="P60" s="899"/>
      <c r="Q60" s="899"/>
      <c r="R60" s="931"/>
      <c r="S60" s="931"/>
      <c r="T60" s="931"/>
      <c r="U60" s="931"/>
      <c r="V60" s="931"/>
    </row>
    <row r="61" spans="1:22" ht="15" thickBot="1" x14ac:dyDescent="0.35">
      <c r="B61" s="627"/>
      <c r="C61" s="940"/>
      <c r="D61" s="628"/>
      <c r="E61" s="628"/>
      <c r="G61" s="627"/>
      <c r="H61" s="940"/>
      <c r="I61" s="940"/>
      <c r="J61" s="628"/>
      <c r="K61" s="26"/>
      <c r="L61" s="26"/>
      <c r="N61" s="899"/>
      <c r="O61" s="899"/>
      <c r="P61" s="899"/>
      <c r="Q61" s="899"/>
      <c r="R61" s="931"/>
      <c r="S61" s="931"/>
      <c r="T61" s="931"/>
      <c r="U61" s="931"/>
      <c r="V61" s="931"/>
    </row>
    <row r="62" spans="1:22" ht="15" thickTop="1" x14ac:dyDescent="0.3">
      <c r="A62" s="26"/>
      <c r="B62" s="629" t="s">
        <v>100</v>
      </c>
      <c r="C62" s="941">
        <v>137000000</v>
      </c>
      <c r="D62" s="950">
        <v>271000000</v>
      </c>
      <c r="E62" s="630">
        <v>147000000</v>
      </c>
      <c r="G62" s="629" t="s">
        <v>81</v>
      </c>
      <c r="H62" s="941">
        <v>159000000</v>
      </c>
      <c r="I62" s="941">
        <v>325000000</v>
      </c>
      <c r="J62" s="630">
        <v>178000000</v>
      </c>
      <c r="K62" s="26"/>
      <c r="L62" s="26"/>
      <c r="N62" s="899"/>
      <c r="O62" s="899"/>
      <c r="P62" s="899"/>
      <c r="Q62" s="899"/>
      <c r="R62" s="931"/>
      <c r="S62" s="931"/>
      <c r="T62" s="931"/>
      <c r="U62" s="931"/>
      <c r="V62" s="931"/>
    </row>
    <row r="63" spans="1:22" ht="15" thickBot="1" x14ac:dyDescent="0.35">
      <c r="A63" s="26"/>
      <c r="B63" s="133" t="s">
        <v>85</v>
      </c>
      <c r="C63" s="942">
        <v>1.013042052686064E-2</v>
      </c>
      <c r="D63" s="951">
        <v>4.2864479088791763E-2</v>
      </c>
      <c r="E63" s="631">
        <v>2.0991495535959581E-2</v>
      </c>
      <c r="G63" s="133" t="s">
        <v>85</v>
      </c>
      <c r="H63" s="942">
        <v>1.1859559354716831E-2</v>
      </c>
      <c r="I63" s="942">
        <v>4.8838888624199273E-2</v>
      </c>
      <c r="J63" s="631">
        <v>2.3969330065772398E-2</v>
      </c>
      <c r="K63" s="26"/>
      <c r="L63" s="26"/>
      <c r="N63" s="899"/>
      <c r="O63" s="899"/>
      <c r="P63" s="899"/>
      <c r="Q63" s="899"/>
      <c r="R63" s="931"/>
      <c r="S63" s="931"/>
      <c r="T63" s="931"/>
      <c r="U63" s="931"/>
      <c r="V63" s="931"/>
    </row>
    <row r="64" spans="1:22" ht="15" thickBot="1" x14ac:dyDescent="0.35">
      <c r="K64" s="26"/>
      <c r="L64" s="26"/>
      <c r="N64" s="899"/>
      <c r="O64" s="899"/>
      <c r="P64" s="899"/>
      <c r="Q64" s="899"/>
      <c r="R64" s="931"/>
      <c r="S64" s="931"/>
      <c r="T64" s="931"/>
      <c r="U64" s="931"/>
      <c r="V64" s="931"/>
    </row>
    <row r="65" spans="1:22" x14ac:dyDescent="0.3">
      <c r="B65" s="982" t="s">
        <v>101</v>
      </c>
      <c r="C65" s="980">
        <v>-16404669.425282706</v>
      </c>
      <c r="D65" s="980">
        <v>-16170983.633125838</v>
      </c>
      <c r="E65" s="977">
        <v>-16259219.020914635</v>
      </c>
      <c r="F65" s="7"/>
      <c r="G65" s="982" t="s">
        <v>101</v>
      </c>
      <c r="H65" s="980">
        <v>-17343253.110150378</v>
      </c>
      <c r="I65" s="980">
        <v>-17110810.355548173</v>
      </c>
      <c r="J65" s="977">
        <v>-17214599.151097395</v>
      </c>
      <c r="N65" s="899"/>
      <c r="O65" s="899"/>
      <c r="P65" s="899"/>
      <c r="Q65" s="899"/>
      <c r="R65" s="931"/>
      <c r="S65" s="931"/>
      <c r="T65" s="931"/>
      <c r="U65" s="931"/>
      <c r="V65" s="931"/>
    </row>
    <row r="66" spans="1:22" x14ac:dyDescent="0.3">
      <c r="B66" s="983" t="s">
        <v>63</v>
      </c>
      <c r="C66" s="976">
        <v>2135042.6229060329</v>
      </c>
      <c r="D66" s="976">
        <v>2106577.0280825011</v>
      </c>
      <c r="E66" s="978">
        <v>2117089.8178730565</v>
      </c>
      <c r="F66" s="7"/>
      <c r="G66" s="983" t="s">
        <v>63</v>
      </c>
      <c r="H66" s="976">
        <v>2247034.3804384312</v>
      </c>
      <c r="I66" s="976">
        <v>2218700.1901389966</v>
      </c>
      <c r="J66" s="978">
        <v>2231202.0560070602</v>
      </c>
      <c r="N66" s="899"/>
      <c r="O66" s="899"/>
      <c r="P66" s="899"/>
      <c r="Q66" s="899"/>
      <c r="R66" s="931"/>
      <c r="S66" s="931"/>
      <c r="T66" s="931"/>
      <c r="U66" s="931"/>
      <c r="V66" s="931"/>
    </row>
    <row r="67" spans="1:22" x14ac:dyDescent="0.3">
      <c r="B67" s="984" t="s">
        <v>65</v>
      </c>
      <c r="C67" s="976"/>
      <c r="D67" s="976"/>
      <c r="E67" s="978"/>
      <c r="F67" s="7"/>
      <c r="G67" s="984" t="s">
        <v>65</v>
      </c>
      <c r="H67" s="976"/>
      <c r="I67" s="976"/>
      <c r="J67" s="978"/>
      <c r="N67" s="899"/>
      <c r="O67" s="899"/>
      <c r="P67" s="899"/>
      <c r="Q67" s="899"/>
      <c r="R67" s="931"/>
      <c r="S67" s="931"/>
      <c r="T67" s="931"/>
      <c r="U67" s="931"/>
      <c r="V67" s="931"/>
    </row>
    <row r="68" spans="1:22" x14ac:dyDescent="0.3">
      <c r="B68" s="983" t="s">
        <v>102</v>
      </c>
      <c r="C68" s="976">
        <v>-136849776.66246191</v>
      </c>
      <c r="D68" s="976">
        <v>-134251143.34065932</v>
      </c>
      <c r="E68" s="978">
        <v>-135328374.91763785</v>
      </c>
      <c r="F68" s="7"/>
      <c r="G68" s="983" t="s">
        <v>102</v>
      </c>
      <c r="H68" s="976">
        <v>-148042690.63548058</v>
      </c>
      <c r="I68" s="976">
        <v>-145465285.80610061</v>
      </c>
      <c r="J68" s="978">
        <v>-146663984.4289785</v>
      </c>
      <c r="N68" s="899"/>
      <c r="O68" s="899"/>
      <c r="P68" s="899"/>
      <c r="Q68" s="899"/>
      <c r="R68" s="931"/>
      <c r="S68" s="931"/>
      <c r="T68" s="931"/>
      <c r="U68" s="931"/>
      <c r="V68" s="931"/>
    </row>
    <row r="69" spans="1:22" ht="15" thickBot="1" x14ac:dyDescent="0.35">
      <c r="B69" s="985" t="s">
        <v>69</v>
      </c>
      <c r="C69" s="981">
        <v>7713223.2873122236</v>
      </c>
      <c r="D69" s="981">
        <v>7554797.105766966</v>
      </c>
      <c r="E69" s="979">
        <v>7626442.3723028693</v>
      </c>
      <c r="F69" s="7"/>
      <c r="G69" s="985" t="s">
        <v>69</v>
      </c>
      <c r="H69" s="981">
        <v>8467097.2838881295</v>
      </c>
      <c r="I69" s="981">
        <v>8310541.6929681543</v>
      </c>
      <c r="J69" s="979">
        <v>8388018.1882880526</v>
      </c>
      <c r="K69" s="12">
        <f t="shared" ref="K69:L69" si="0">ROUND(K67,-6)</f>
        <v>0</v>
      </c>
      <c r="L69" s="12">
        <f t="shared" si="0"/>
        <v>0</v>
      </c>
      <c r="N69" s="899"/>
      <c r="O69" s="899"/>
      <c r="P69" s="899"/>
      <c r="Q69" s="899"/>
      <c r="R69" s="931"/>
      <c r="S69" s="931"/>
      <c r="T69" s="931"/>
      <c r="U69" s="931"/>
      <c r="V69" s="931"/>
    </row>
    <row r="71" spans="1:22" x14ac:dyDescent="0.3">
      <c r="A71" s="26"/>
      <c r="B71" s="26"/>
      <c r="C71" s="26"/>
      <c r="D71" s="26"/>
      <c r="E71" s="26"/>
      <c r="F71" s="26"/>
      <c r="G71" s="26"/>
      <c r="H71" s="26"/>
      <c r="I71" s="26"/>
      <c r="J71" s="840"/>
      <c r="K71" s="26"/>
      <c r="L71" s="26"/>
      <c r="N71" s="899"/>
      <c r="O71" s="899"/>
      <c r="P71" s="899"/>
      <c r="Q71" s="899"/>
      <c r="R71" s="931"/>
      <c r="S71" s="931"/>
      <c r="T71" s="931"/>
      <c r="U71" s="931"/>
      <c r="V71" s="931"/>
    </row>
    <row r="72" spans="1:22" x14ac:dyDescent="0.3">
      <c r="A72" s="26"/>
      <c r="B72" s="26"/>
      <c r="C72" s="26"/>
      <c r="D72" s="26"/>
      <c r="E72" s="26"/>
      <c r="F72" s="840"/>
      <c r="G72" s="840"/>
      <c r="H72" s="840"/>
      <c r="I72" s="840"/>
      <c r="J72" s="840"/>
      <c r="K72" s="26"/>
      <c r="L72" s="26"/>
      <c r="N72" s="899"/>
      <c r="O72" s="899"/>
      <c r="P72" s="899"/>
      <c r="Q72" s="899"/>
      <c r="R72" s="931"/>
      <c r="S72" s="931"/>
      <c r="T72" s="931"/>
      <c r="U72" s="931"/>
      <c r="V72" s="931"/>
    </row>
    <row r="73" spans="1:22" ht="45" customHeight="1" x14ac:dyDescent="0.3">
      <c r="A73" s="19" t="s">
        <v>103</v>
      </c>
      <c r="B73" t="s">
        <v>104</v>
      </c>
      <c r="H73" t="s">
        <v>12</v>
      </c>
      <c r="I73" t="s">
        <v>8</v>
      </c>
      <c r="J73" t="s">
        <v>20</v>
      </c>
    </row>
    <row r="75" spans="1:22" ht="15" thickBot="1" x14ac:dyDescent="0.35"/>
    <row r="76" spans="1:22" ht="21.6" thickBot="1" x14ac:dyDescent="0.45">
      <c r="B76" s="842" t="s">
        <v>105</v>
      </c>
      <c r="C76" s="843"/>
      <c r="D76" s="843"/>
      <c r="E76" s="843"/>
      <c r="F76" s="844"/>
    </row>
    <row r="77" spans="1:22" ht="15" thickBot="1" x14ac:dyDescent="0.35">
      <c r="F77" s="1"/>
    </row>
    <row r="78" spans="1:22" ht="15" thickBot="1" x14ac:dyDescent="0.35">
      <c r="B78" s="586"/>
      <c r="C78" s="845" t="s">
        <v>91</v>
      </c>
      <c r="D78" s="845"/>
      <c r="E78" s="845" t="s">
        <v>92</v>
      </c>
      <c r="F78" s="846"/>
    </row>
    <row r="79" spans="1:22" x14ac:dyDescent="0.3">
      <c r="B79" s="266" t="s">
        <v>66</v>
      </c>
      <c r="C79" s="1019" t="s">
        <v>96</v>
      </c>
      <c r="D79" s="1020"/>
      <c r="E79" s="1019" t="s">
        <v>95</v>
      </c>
      <c r="F79" s="1033"/>
    </row>
    <row r="80" spans="1:22" x14ac:dyDescent="0.3">
      <c r="B80" s="266" t="s">
        <v>68</v>
      </c>
      <c r="C80" s="1029" t="s">
        <v>96</v>
      </c>
      <c r="D80" s="1030"/>
      <c r="E80" s="1029" t="s">
        <v>95</v>
      </c>
      <c r="F80" s="1034"/>
    </row>
    <row r="81" spans="2:6" x14ac:dyDescent="0.3">
      <c r="B81" s="266" t="s">
        <v>70</v>
      </c>
      <c r="C81" s="1027">
        <v>0.75</v>
      </c>
      <c r="D81" s="1028"/>
      <c r="E81" s="1027">
        <v>0.1</v>
      </c>
      <c r="F81" s="1035"/>
    </row>
    <row r="82" spans="2:6" x14ac:dyDescent="0.3">
      <c r="B82" s="266" t="s">
        <v>71</v>
      </c>
      <c r="C82" s="1031" t="s">
        <v>95</v>
      </c>
      <c r="D82" s="1032"/>
      <c r="E82" s="1031" t="s">
        <v>96</v>
      </c>
      <c r="F82" s="1036"/>
    </row>
    <row r="83" spans="2:6" x14ac:dyDescent="0.3">
      <c r="B83" s="834" t="s">
        <v>106</v>
      </c>
      <c r="C83" s="832" t="s">
        <v>107</v>
      </c>
      <c r="D83" s="831" t="s">
        <v>108</v>
      </c>
      <c r="E83" s="832" t="s">
        <v>107</v>
      </c>
      <c r="F83" s="835" t="s">
        <v>108</v>
      </c>
    </row>
    <row r="84" spans="2:6" x14ac:dyDescent="0.3">
      <c r="B84" s="266"/>
      <c r="C84" s="543"/>
      <c r="D84" s="830"/>
      <c r="E84" s="826"/>
      <c r="F84" s="836"/>
    </row>
    <row r="85" spans="2:6" x14ac:dyDescent="0.3">
      <c r="B85" s="536" t="s">
        <v>72</v>
      </c>
      <c r="C85" s="588">
        <f>C55</f>
        <v>64000000</v>
      </c>
      <c r="D85" s="827">
        <f>H55</f>
        <v>76000000</v>
      </c>
      <c r="E85" s="827">
        <f>D55</f>
        <v>119000000</v>
      </c>
      <c r="F85" s="823">
        <f>I55</f>
        <v>150000000</v>
      </c>
    </row>
    <row r="86" spans="2:6" x14ac:dyDescent="0.3">
      <c r="B86" s="536" t="s">
        <v>74</v>
      </c>
      <c r="C86" s="588">
        <f>C56</f>
        <v>105000000</v>
      </c>
      <c r="D86" s="827">
        <f>H56</f>
        <v>112000000</v>
      </c>
      <c r="E86" s="827">
        <f>D56</f>
        <v>110000000</v>
      </c>
      <c r="F86" s="823">
        <f>I56</f>
        <v>121000000</v>
      </c>
    </row>
    <row r="87" spans="2:6" x14ac:dyDescent="0.3">
      <c r="B87" s="536"/>
      <c r="C87" s="588"/>
      <c r="D87" s="827"/>
      <c r="E87" s="830"/>
      <c r="F87" s="837"/>
    </row>
    <row r="88" spans="2:6" x14ac:dyDescent="0.3">
      <c r="B88" s="587" t="s">
        <v>75</v>
      </c>
      <c r="C88" s="824">
        <f>C58</f>
        <v>254000000</v>
      </c>
      <c r="D88" s="828">
        <f>H58</f>
        <v>271000000</v>
      </c>
      <c r="E88" s="833">
        <f>D58</f>
        <v>324000000</v>
      </c>
      <c r="F88" s="838">
        <f>I58</f>
        <v>350000000</v>
      </c>
    </row>
    <row r="89" spans="2:6" x14ac:dyDescent="0.3">
      <c r="B89" s="587" t="s">
        <v>77</v>
      </c>
      <c r="C89" s="824">
        <f>C59</f>
        <v>-286000000</v>
      </c>
      <c r="D89" s="828">
        <f>H59</f>
        <v>-300000000</v>
      </c>
      <c r="E89" s="833">
        <f t="shared" ref="E89" si="1">D59</f>
        <v>-282000000</v>
      </c>
      <c r="F89" s="838">
        <f>I59</f>
        <v>-296000000</v>
      </c>
    </row>
    <row r="90" spans="2:6" x14ac:dyDescent="0.3">
      <c r="B90" s="536" t="s">
        <v>79</v>
      </c>
      <c r="C90" s="588">
        <f>C60</f>
        <v>-32000000</v>
      </c>
      <c r="D90" s="828">
        <f>H60</f>
        <v>-29000000</v>
      </c>
      <c r="E90" s="833">
        <f>D60</f>
        <v>42000000</v>
      </c>
      <c r="F90" s="823">
        <f>I60</f>
        <v>54000000</v>
      </c>
    </row>
    <row r="91" spans="2:6" x14ac:dyDescent="0.3">
      <c r="B91" s="536"/>
      <c r="C91" s="825"/>
      <c r="D91" s="829"/>
      <c r="E91" s="829"/>
      <c r="F91" s="839"/>
    </row>
    <row r="92" spans="2:6" x14ac:dyDescent="0.3">
      <c r="B92" s="267" t="s">
        <v>109</v>
      </c>
      <c r="C92" s="588">
        <f>C62</f>
        <v>137000000</v>
      </c>
      <c r="D92" s="822">
        <f>H62</f>
        <v>159000000</v>
      </c>
      <c r="E92" s="588">
        <f>D62</f>
        <v>271000000</v>
      </c>
      <c r="F92" s="591">
        <f>I62</f>
        <v>325000000</v>
      </c>
    </row>
    <row r="93" spans="2:6" ht="15" thickBot="1" x14ac:dyDescent="0.35">
      <c r="B93" s="268" t="s">
        <v>85</v>
      </c>
      <c r="C93" s="634">
        <f>C63</f>
        <v>1.013042052686064E-2</v>
      </c>
      <c r="D93" s="590">
        <f>H63</f>
        <v>1.1859559354716831E-2</v>
      </c>
      <c r="E93" s="589">
        <f>D63</f>
        <v>4.2864479088791763E-2</v>
      </c>
      <c r="F93" s="635">
        <f>I63</f>
        <v>4.8838888624199273E-2</v>
      </c>
    </row>
    <row r="100" spans="2:5" x14ac:dyDescent="0.3">
      <c r="B100" t="s">
        <v>110</v>
      </c>
      <c r="C100" t="s">
        <v>111</v>
      </c>
      <c r="D100" t="s">
        <v>112</v>
      </c>
      <c r="E100" t="s">
        <v>113</v>
      </c>
    </row>
    <row r="101" spans="2:5" x14ac:dyDescent="0.3">
      <c r="B101" t="s">
        <v>679</v>
      </c>
      <c r="C101" t="s">
        <v>114</v>
      </c>
      <c r="D101" s="76">
        <f>C62</f>
        <v>137000000</v>
      </c>
      <c r="E101" s="76">
        <f>D101/10</f>
        <v>13700000</v>
      </c>
    </row>
    <row r="102" spans="2:5" x14ac:dyDescent="0.3">
      <c r="B102" t="s">
        <v>985</v>
      </c>
      <c r="C102" t="s">
        <v>114</v>
      </c>
      <c r="D102" s="76">
        <f>H62</f>
        <v>159000000</v>
      </c>
      <c r="E102" s="76">
        <f t="shared" ref="E102:E106" si="2">D102/10</f>
        <v>15900000</v>
      </c>
    </row>
    <row r="103" spans="2:5" x14ac:dyDescent="0.3">
      <c r="B103" t="s">
        <v>679</v>
      </c>
      <c r="C103" t="s">
        <v>115</v>
      </c>
      <c r="D103" s="76">
        <f>E62</f>
        <v>147000000</v>
      </c>
      <c r="E103" s="76">
        <f t="shared" si="2"/>
        <v>14700000</v>
      </c>
    </row>
    <row r="104" spans="2:5" x14ac:dyDescent="0.3">
      <c r="B104" t="s">
        <v>985</v>
      </c>
      <c r="C104" t="s">
        <v>115</v>
      </c>
      <c r="D104" s="76">
        <f>J62</f>
        <v>178000000</v>
      </c>
      <c r="E104" s="76">
        <f t="shared" si="2"/>
        <v>17800000</v>
      </c>
    </row>
    <row r="105" spans="2:5" x14ac:dyDescent="0.3">
      <c r="B105" t="s">
        <v>679</v>
      </c>
      <c r="C105" t="s">
        <v>116</v>
      </c>
      <c r="D105" s="76">
        <f>D62</f>
        <v>271000000</v>
      </c>
      <c r="E105" s="76">
        <f t="shared" si="2"/>
        <v>27100000</v>
      </c>
    </row>
    <row r="106" spans="2:5" x14ac:dyDescent="0.3">
      <c r="B106" t="s">
        <v>985</v>
      </c>
      <c r="C106" t="s">
        <v>116</v>
      </c>
      <c r="D106" s="76">
        <f>I62</f>
        <v>325000000</v>
      </c>
      <c r="E106" s="76">
        <f t="shared" si="2"/>
        <v>32500000</v>
      </c>
    </row>
    <row r="117" spans="2:3" x14ac:dyDescent="0.3">
      <c r="B117" s="841" t="s">
        <v>117</v>
      </c>
      <c r="C117" t="s">
        <v>118</v>
      </c>
    </row>
    <row r="118" spans="2:3" x14ac:dyDescent="0.3">
      <c r="B118" s="112" t="s">
        <v>114</v>
      </c>
      <c r="C118" s="25">
        <v>296000000</v>
      </c>
    </row>
    <row r="119" spans="2:3" x14ac:dyDescent="0.3">
      <c r="B119" s="1011" t="s">
        <v>679</v>
      </c>
      <c r="C119" s="25">
        <v>137000000</v>
      </c>
    </row>
    <row r="120" spans="2:3" x14ac:dyDescent="0.3">
      <c r="B120" s="1011" t="s">
        <v>985</v>
      </c>
      <c r="C120" s="25">
        <v>159000000</v>
      </c>
    </row>
    <row r="121" spans="2:3" x14ac:dyDescent="0.3">
      <c r="B121" s="112" t="s">
        <v>115</v>
      </c>
      <c r="C121" s="25">
        <v>325000000</v>
      </c>
    </row>
    <row r="122" spans="2:3" x14ac:dyDescent="0.3">
      <c r="B122" s="1011" t="s">
        <v>679</v>
      </c>
      <c r="C122" s="25">
        <v>147000000</v>
      </c>
    </row>
    <row r="123" spans="2:3" x14ac:dyDescent="0.3">
      <c r="B123" s="1011" t="s">
        <v>985</v>
      </c>
      <c r="C123" s="25">
        <v>178000000</v>
      </c>
    </row>
    <row r="124" spans="2:3" x14ac:dyDescent="0.3">
      <c r="B124" s="112" t="s">
        <v>116</v>
      </c>
      <c r="C124" s="25">
        <v>596000000</v>
      </c>
    </row>
    <row r="125" spans="2:3" x14ac:dyDescent="0.3">
      <c r="B125" s="1011" t="s">
        <v>679</v>
      </c>
      <c r="C125" s="25">
        <v>271000000</v>
      </c>
    </row>
    <row r="126" spans="2:3" x14ac:dyDescent="0.3">
      <c r="B126" s="1011" t="s">
        <v>985</v>
      </c>
      <c r="C126" s="25">
        <v>325000000</v>
      </c>
    </row>
  </sheetData>
  <mergeCells count="21">
    <mergeCell ref="A3:A8"/>
    <mergeCell ref="B1:C1"/>
    <mergeCell ref="G27:J27"/>
    <mergeCell ref="E1:F1"/>
    <mergeCell ref="B25:J25"/>
    <mergeCell ref="C81:D81"/>
    <mergeCell ref="C80:D80"/>
    <mergeCell ref="C82:D82"/>
    <mergeCell ref="E79:F79"/>
    <mergeCell ref="E80:F80"/>
    <mergeCell ref="E81:F81"/>
    <mergeCell ref="E82:F82"/>
    <mergeCell ref="B46:J46"/>
    <mergeCell ref="B48:E48"/>
    <mergeCell ref="G48:J48"/>
    <mergeCell ref="B23:V23"/>
    <mergeCell ref="C79:D79"/>
    <mergeCell ref="B27:E27"/>
    <mergeCell ref="N25:V25"/>
    <mergeCell ref="N27:Q27"/>
    <mergeCell ref="S27:V27"/>
  </mergeCells>
  <pageMargins left="0.7" right="0.7" top="0.75" bottom="0.75" header="0.3" footer="0.3"/>
  <pageSetup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T44"/>
  <sheetViews>
    <sheetView zoomScale="70" zoomScaleNormal="70" workbookViewId="0">
      <selection activeCell="B1" sqref="B1"/>
    </sheetView>
  </sheetViews>
  <sheetFormatPr defaultRowHeight="14.4" x14ac:dyDescent="0.3"/>
  <cols>
    <col min="1" max="1" width="2.6640625" customWidth="1"/>
    <col min="2" max="2" width="22.5546875" customWidth="1"/>
    <col min="3" max="3" width="20.44140625" customWidth="1"/>
    <col min="4" max="4" width="14.88671875" customWidth="1"/>
    <col min="5" max="5" width="17" customWidth="1"/>
    <col min="6" max="6" width="15.109375" bestFit="1" customWidth="1"/>
    <col min="7" max="15" width="16.33203125" bestFit="1" customWidth="1"/>
    <col min="16" max="16" width="16.109375" style="668" bestFit="1" customWidth="1"/>
    <col min="17" max="18" width="11.109375" bestFit="1" customWidth="1"/>
    <col min="19" max="19" width="12.109375" bestFit="1" customWidth="1"/>
  </cols>
  <sheetData>
    <row r="1" spans="2:20" x14ac:dyDescent="0.3">
      <c r="B1" s="672" t="s">
        <v>119</v>
      </c>
      <c r="D1" s="464" t="s">
        <v>120</v>
      </c>
      <c r="E1" s="464"/>
      <c r="P1" s="643"/>
    </row>
    <row r="2" spans="2:20" s="8" customFormat="1" ht="15.75" customHeight="1" x14ac:dyDescent="0.3">
      <c r="D2" s="461">
        <f>base_year-2</f>
        <v>2019</v>
      </c>
      <c r="E2" s="461">
        <f>D2+1</f>
        <v>2020</v>
      </c>
      <c r="F2" s="9">
        <f t="shared" ref="F2:P2" si="0">E2+1</f>
        <v>2021</v>
      </c>
      <c r="G2" s="9">
        <f t="shared" si="0"/>
        <v>2022</v>
      </c>
      <c r="H2" s="9">
        <f t="shared" si="0"/>
        <v>2023</v>
      </c>
      <c r="I2" s="9">
        <f t="shared" si="0"/>
        <v>2024</v>
      </c>
      <c r="J2" s="9">
        <f t="shared" si="0"/>
        <v>2025</v>
      </c>
      <c r="K2" s="9">
        <f t="shared" si="0"/>
        <v>2026</v>
      </c>
      <c r="L2" s="9">
        <f t="shared" si="0"/>
        <v>2027</v>
      </c>
      <c r="M2" s="9">
        <f t="shared" si="0"/>
        <v>2028</v>
      </c>
      <c r="N2" s="9">
        <f t="shared" si="0"/>
        <v>2029</v>
      </c>
      <c r="O2" s="9">
        <f t="shared" si="0"/>
        <v>2030</v>
      </c>
      <c r="P2" s="644">
        <f t="shared" si="0"/>
        <v>2031</v>
      </c>
      <c r="Q2" s="9">
        <v>2032</v>
      </c>
      <c r="R2" s="9"/>
      <c r="S2" s="9"/>
    </row>
    <row r="3" spans="2:20" x14ac:dyDescent="0.3">
      <c r="D3" s="464"/>
      <c r="E3" s="464"/>
    </row>
    <row r="4" spans="2:20" x14ac:dyDescent="0.3">
      <c r="B4" t="s">
        <v>121</v>
      </c>
      <c r="C4" t="s">
        <v>122</v>
      </c>
      <c r="D4" s="593">
        <f>SUMIF(loads!2:2,requirements!D2,loads!3:3)</f>
        <v>5405687</v>
      </c>
      <c r="E4" s="593">
        <f>SUMIF(loads!2:2,requirements!E2,loads!6:6)</f>
        <v>5300757</v>
      </c>
      <c r="F4" s="287">
        <f>SUMIF(loads!2:2,requirements!F2,loads!3:3)</f>
        <v>5382463.5149999997</v>
      </c>
      <c r="G4" s="287">
        <f>SUMIF(loads!2:2,requirements!G2,loads!3:3)</f>
        <v>5396350.1980272476</v>
      </c>
      <c r="H4" s="287">
        <f>SUMIF(loads!2:2,requirements!H2,loads!3:3)</f>
        <v>5437205.3761997484</v>
      </c>
      <c r="I4" s="287">
        <f>SUMIF(loads!2:2,requirements!I2,loads!3:3)</f>
        <v>5429474.104653893</v>
      </c>
      <c r="J4" s="287">
        <f>SUMIF(loads!2:2,requirements!J2,loads!3:3)</f>
        <v>5396532.8107977593</v>
      </c>
      <c r="K4" s="287">
        <f>SUMIF(loads!2:2,requirements!K2,loads!3:3)</f>
        <v>5387125.2790909372</v>
      </c>
      <c r="L4" s="287">
        <f>SUMIF(loads!2:2,requirements!L2,loads!3:3)</f>
        <v>5388064.7513005529</v>
      </c>
      <c r="M4" s="287">
        <f>SUMIF(loads!2:2,requirements!M2,loads!3:3)</f>
        <v>5407973.6418243386</v>
      </c>
      <c r="N4" s="287">
        <f>SUMIF(loads!2:2,requirements!N2,loads!3:3)</f>
        <v>5438406.527506954</v>
      </c>
      <c r="O4" s="287">
        <f>SUMIF(loads!2:2,requirements!O2,loads!3:3)</f>
        <v>5467998.0350961694</v>
      </c>
      <c r="P4" s="694">
        <f>SUMIF(loads!2:2,requirements!P2,loads!3:3)</f>
        <v>5508262.0327288657</v>
      </c>
      <c r="Q4" s="895">
        <f>SUMIF(loads!2:2,requirements!Q2,loads!3:3)</f>
        <v>5786458.8084058743</v>
      </c>
      <c r="R4" s="10"/>
      <c r="S4" s="10"/>
    </row>
    <row r="5" spans="2:20" x14ac:dyDescent="0.3">
      <c r="D5" s="594"/>
      <c r="E5" s="594"/>
      <c r="F5" s="15"/>
      <c r="G5" s="7"/>
      <c r="H5" s="7"/>
      <c r="I5" s="7"/>
      <c r="J5" s="7"/>
      <c r="K5" s="7"/>
      <c r="L5" s="7"/>
      <c r="M5" s="7"/>
      <c r="N5" s="7"/>
      <c r="O5" s="10"/>
      <c r="P5" s="654"/>
      <c r="Q5" s="768"/>
      <c r="R5" s="10"/>
      <c r="S5" s="10"/>
    </row>
    <row r="6" spans="2:20" x14ac:dyDescent="0.3">
      <c r="B6" t="s">
        <v>123</v>
      </c>
      <c r="C6" t="s">
        <v>124</v>
      </c>
      <c r="D6" s="595">
        <f>SUM(D7:D8)</f>
        <v>0.55000000000000004</v>
      </c>
      <c r="E6" s="595">
        <f>SUM(E7:E8)</f>
        <v>0.59</v>
      </c>
      <c r="F6" s="241">
        <f>SUM(F7:F8)</f>
        <v>0.59</v>
      </c>
      <c r="G6" s="241">
        <f>SUM(G7:G8)</f>
        <v>0.59</v>
      </c>
      <c r="H6" s="241">
        <f t="shared" ref="H6:N6" si="1">SUM(H7:H8)</f>
        <v>0.63</v>
      </c>
      <c r="I6" s="241">
        <f t="shared" si="1"/>
        <v>0.63000000000000012</v>
      </c>
      <c r="J6" s="241">
        <f t="shared" si="1"/>
        <v>0.63</v>
      </c>
      <c r="K6" s="241">
        <f t="shared" si="1"/>
        <v>0.67</v>
      </c>
      <c r="L6" s="241">
        <f t="shared" si="1"/>
        <v>0.67</v>
      </c>
      <c r="M6" s="241">
        <f t="shared" si="1"/>
        <v>0.67</v>
      </c>
      <c r="N6" s="241">
        <f t="shared" si="1"/>
        <v>0.71000000000000008</v>
      </c>
      <c r="O6" s="241">
        <f>SUM(O7:O8)</f>
        <v>0.71000000000000008</v>
      </c>
      <c r="P6" s="695">
        <f>SUM(P7:P8)</f>
        <v>0.71000000000000008</v>
      </c>
      <c r="Q6" s="896">
        <f>SUM(Q7:Q8)</f>
        <v>0.75000000000000011</v>
      </c>
    </row>
    <row r="7" spans="2:20" x14ac:dyDescent="0.3">
      <c r="B7" t="s">
        <v>125</v>
      </c>
      <c r="C7" t="s">
        <v>124</v>
      </c>
      <c r="D7" s="596">
        <f>SUMIF('annual RES req'!$A:$A,requirements!D$2,'annual RES req'!$C:$C)</f>
        <v>0.52800000000000002</v>
      </c>
      <c r="E7" s="596">
        <f>SUMIF('annual RES req'!$A:$A,requirements!E$2,'annual RES req'!$C:$C)</f>
        <v>0.56199999999999994</v>
      </c>
      <c r="F7" s="14">
        <f>SUMIF('annual RES req'!$A:$A,requirements!F$2,'annual RES req'!$C:$C)</f>
        <v>0.55599999999999994</v>
      </c>
      <c r="G7" s="14">
        <f>SUMIF('annual RES req'!$A:$A,requirements!G$2,'annual RES req'!$C:$C)</f>
        <v>0.54999999999999993</v>
      </c>
      <c r="H7" s="14">
        <f>SUMIF('annual RES req'!$A:$A,requirements!H$2,'annual RES req'!$C:$C)</f>
        <v>0.58399999999999996</v>
      </c>
      <c r="I7" s="14">
        <f>SUMIF('annual RES req'!$A:$A,requirements!I$2,'annual RES req'!$C:$C)</f>
        <v>0.57800000000000007</v>
      </c>
      <c r="J7" s="14">
        <f>SUMIF('annual RES req'!$A:$A,requirements!J$2,'annual RES req'!$C:$C)</f>
        <v>0.57200000000000006</v>
      </c>
      <c r="K7" s="14">
        <f>SUMIF('annual RES req'!$A:$A,requirements!K$2,'annual RES req'!$C:$C)</f>
        <v>0.60600000000000009</v>
      </c>
      <c r="L7" s="14">
        <f>SUMIF('annual RES req'!$A:$A,requirements!L$2,'annual RES req'!$C:$C)</f>
        <v>0.60000000000000009</v>
      </c>
      <c r="M7" s="14">
        <f>SUMIF('annual RES req'!$A:$A,requirements!M$2,'annual RES req'!$C:$C)</f>
        <v>0.59400000000000008</v>
      </c>
      <c r="N7" s="14">
        <f>SUMIF('annual RES req'!$A:$A,requirements!N$2,'annual RES req'!$C:$C)</f>
        <v>0.62800000000000011</v>
      </c>
      <c r="O7" s="14">
        <f>SUMIF('annual RES req'!$A:$A,requirements!O$2,'annual RES req'!$C:$C)</f>
        <v>0.62200000000000011</v>
      </c>
      <c r="P7" s="696">
        <f>SUMIF('annual RES req'!$A:$A,requirements!P$2,'annual RES req'!$C:$C)</f>
        <v>0.6160000000000001</v>
      </c>
      <c r="Q7" s="897">
        <f>SUMIF('annual RES req'!$A:$A,requirements!Q$2,'annual RES req'!$C:$C)</f>
        <v>0.65000000000000013</v>
      </c>
      <c r="R7" s="4"/>
      <c r="S7" s="4"/>
      <c r="T7" s="4"/>
    </row>
    <row r="8" spans="2:20" x14ac:dyDescent="0.3">
      <c r="B8" t="s">
        <v>126</v>
      </c>
      <c r="C8" t="s">
        <v>124</v>
      </c>
      <c r="D8" s="596">
        <f>SUMIF('annual RES req'!$A:$A,requirements!D$2,'annual RES req'!$D:$D)</f>
        <v>2.1999999999999999E-2</v>
      </c>
      <c r="E8" s="596">
        <f>SUMIF('annual RES req'!$A:$A,requirements!E$2,'annual RES req'!$D:$D)</f>
        <v>2.7999999999999997E-2</v>
      </c>
      <c r="F8" s="14">
        <f>SUMIF('annual RES req'!$A:$A,requirements!F$2,'annual RES req'!$D:$D)</f>
        <v>3.3999999999999996E-2</v>
      </c>
      <c r="G8" s="14">
        <f>SUMIF('annual RES req'!$A:$A,requirements!G$2,'annual RES req'!$D:$D)</f>
        <v>3.9999999999999994E-2</v>
      </c>
      <c r="H8" s="14">
        <f>SUMIF('annual RES req'!$A:$A,requirements!H$2,'annual RES req'!$D:$D)</f>
        <v>4.5999999999999992E-2</v>
      </c>
      <c r="I8" s="14">
        <f>SUMIF('annual RES req'!$A:$A,requirements!I$2,'annual RES req'!$D:$D)</f>
        <v>5.1999999999999991E-2</v>
      </c>
      <c r="J8" s="14">
        <f>SUMIF('annual RES req'!$A:$A,requirements!J$2,'annual RES req'!$D:$D)</f>
        <v>5.7999999999999989E-2</v>
      </c>
      <c r="K8" s="14">
        <f>SUMIF('annual RES req'!$A:$A,requirements!K$2,'annual RES req'!$D:$D)</f>
        <v>6.3999999999999987E-2</v>
      </c>
      <c r="L8" s="14">
        <f>SUMIF('annual RES req'!$A:$A,requirements!L$2,'annual RES req'!$D:$D)</f>
        <v>6.9999999999999993E-2</v>
      </c>
      <c r="M8" s="14">
        <f>SUMIF('annual RES req'!$A:$A,requirements!M$2,'annual RES req'!$D:$D)</f>
        <v>7.5999999999999998E-2</v>
      </c>
      <c r="N8" s="14">
        <f>SUMIF('annual RES req'!$A:$A,requirements!N$2,'annual RES req'!$D:$D)</f>
        <v>8.2000000000000003E-2</v>
      </c>
      <c r="O8" s="14">
        <f>SUMIF('annual RES req'!$A:$A,requirements!O$2,'annual RES req'!$D:$D)</f>
        <v>8.8000000000000009E-2</v>
      </c>
      <c r="P8" s="696">
        <f>SUMIF('annual RES req'!$A:$A,requirements!P$2,'annual RES req'!$D:$D)</f>
        <v>9.4000000000000014E-2</v>
      </c>
      <c r="Q8" s="897">
        <f>SUMIF('annual RES req'!$A:$A,requirements!Q$2,'annual RES req'!$D:$D)</f>
        <v>0.10000000000000002</v>
      </c>
      <c r="R8" s="2"/>
      <c r="S8" s="2"/>
      <c r="T8" s="2"/>
    </row>
    <row r="9" spans="2:20" x14ac:dyDescent="0.3">
      <c r="B9" t="s">
        <v>127</v>
      </c>
      <c r="C9" t="s">
        <v>124</v>
      </c>
      <c r="D9" s="596">
        <f>SUMIF('annual RES req'!$A:$A,requirements!D$2,'annual RES req'!$E:$E)</f>
        <v>3.3333333333333333E-2</v>
      </c>
      <c r="E9" s="596">
        <f>SUMIF('annual RES req'!$A:$A,requirements!E$2,'annual RES req'!$E:$E)</f>
        <v>0.04</v>
      </c>
      <c r="F9" s="14">
        <f>SUMIF('annual RES req'!$A:$A,requirements!F$2,'annual RES req'!$E:$E)</f>
        <v>4.6666666666666669E-2</v>
      </c>
      <c r="G9" s="14">
        <f>SUMIF('annual RES req'!$A:$A,requirements!G$2,'annual RES req'!$E:$E)</f>
        <v>5.3333333333333337E-2</v>
      </c>
      <c r="H9" s="14">
        <f>SUMIF('annual RES req'!$A:$A,requirements!H$2,'annual RES req'!$E:$E)</f>
        <v>6.0000000000000005E-2</v>
      </c>
      <c r="I9" s="14">
        <f>SUMIF('annual RES req'!$A:$A,requirements!I$2,'annual RES req'!$E:$E)</f>
        <v>6.6666666666666666E-2</v>
      </c>
      <c r="J9" s="14">
        <f>SUMIF('annual RES req'!$A:$A,requirements!J$2,'annual RES req'!$E:$E)</f>
        <v>7.3333333333333334E-2</v>
      </c>
      <c r="K9" s="14">
        <f>SUMIF('annual RES req'!$A:$A,requirements!K$2,'annual RES req'!$E:$E)</f>
        <v>0.08</v>
      </c>
      <c r="L9" s="14">
        <f>SUMIF('annual RES req'!$A:$A,requirements!L$2,'annual RES req'!$E:$E)</f>
        <v>8.666666666666667E-2</v>
      </c>
      <c r="M9" s="14">
        <f>SUMIF('annual RES req'!$A:$A,requirements!M$2,'annual RES req'!$E:$E)</f>
        <v>9.3333333333333338E-2</v>
      </c>
      <c r="N9" s="14">
        <f>SUMIF('annual RES req'!$A:$A,requirements!N$2,'annual RES req'!$E:$E)</f>
        <v>0.1</v>
      </c>
      <c r="O9" s="14">
        <f>SUMIF('annual RES req'!$A:$A,requirements!O$2,'annual RES req'!$E:$E)</f>
        <v>0.10666666666666667</v>
      </c>
      <c r="P9" s="696">
        <f>SUMIF('annual RES req'!$A:$A,requirements!P$2,'annual RES req'!$E:$E)</f>
        <v>0.11333333333333334</v>
      </c>
      <c r="Q9" s="897">
        <f>SUMIF('annual RES req'!$A:$A,requirements!Q$2,'annual RES req'!$E:$E)</f>
        <v>0.12000000000000001</v>
      </c>
      <c r="R9" s="2"/>
      <c r="S9" s="2"/>
    </row>
    <row r="10" spans="2:20" x14ac:dyDescent="0.3">
      <c r="D10" s="464"/>
      <c r="E10" s="464"/>
      <c r="Q10" s="214"/>
    </row>
    <row r="11" spans="2:20" x14ac:dyDescent="0.3">
      <c r="B11" t="s">
        <v>123</v>
      </c>
      <c r="C11" t="s">
        <v>122</v>
      </c>
      <c r="D11" s="462">
        <f t="shared" ref="D11:E12" si="2">D7*D$4</f>
        <v>2854202.736</v>
      </c>
      <c r="E11" s="462">
        <f t="shared" si="2"/>
        <v>2979025.4339999999</v>
      </c>
      <c r="F11" s="10">
        <f>F7*F$4</f>
        <v>2992649.7143399995</v>
      </c>
      <c r="G11" s="10">
        <f>G7*G$4</f>
        <v>2967992.6089149858</v>
      </c>
      <c r="H11" s="10">
        <f t="shared" ref="H11:N11" si="3">H7*H$4</f>
        <v>3175327.9397006528</v>
      </c>
      <c r="I11" s="10">
        <f t="shared" si="3"/>
        <v>3138236.0324899508</v>
      </c>
      <c r="J11" s="10">
        <f t="shared" si="3"/>
        <v>3086816.7677763188</v>
      </c>
      <c r="K11" s="10">
        <f t="shared" si="3"/>
        <v>3264597.9191291085</v>
      </c>
      <c r="L11" s="10">
        <f t="shared" si="3"/>
        <v>3232838.850780332</v>
      </c>
      <c r="M11" s="10">
        <f t="shared" si="3"/>
        <v>3212336.3432436576</v>
      </c>
      <c r="N11" s="10">
        <f t="shared" si="3"/>
        <v>3415319.2992743677</v>
      </c>
      <c r="O11" s="10">
        <f t="shared" ref="O11:Q12" si="4">O7*O$4</f>
        <v>3401094.777829818</v>
      </c>
      <c r="P11" s="654">
        <f t="shared" si="4"/>
        <v>3393089.4121609819</v>
      </c>
      <c r="Q11" s="768">
        <f t="shared" si="4"/>
        <v>3761198.2254638192</v>
      </c>
      <c r="R11" s="10"/>
      <c r="S11" s="10"/>
      <c r="T11" s="10"/>
    </row>
    <row r="12" spans="2:20" x14ac:dyDescent="0.3">
      <c r="B12" t="s">
        <v>126</v>
      </c>
      <c r="C12" t="s">
        <v>122</v>
      </c>
      <c r="D12" s="462">
        <f t="shared" si="2"/>
        <v>118925.11399999999</v>
      </c>
      <c r="E12" s="462">
        <f>E8*E$4</f>
        <v>148421.196</v>
      </c>
      <c r="F12" s="10">
        <f>F8*F$4</f>
        <v>183003.75950999997</v>
      </c>
      <c r="G12" s="10">
        <f t="shared" ref="G12:N12" si="5">G8*G$4</f>
        <v>215854.00792108988</v>
      </c>
      <c r="H12" s="10">
        <f t="shared" si="5"/>
        <v>250111.44730518837</v>
      </c>
      <c r="I12" s="10">
        <f t="shared" si="5"/>
        <v>282332.65344200237</v>
      </c>
      <c r="J12" s="10">
        <f t="shared" si="5"/>
        <v>312998.90302626998</v>
      </c>
      <c r="K12" s="10">
        <f t="shared" si="5"/>
        <v>344776.01786181994</v>
      </c>
      <c r="L12" s="10">
        <f t="shared" si="5"/>
        <v>377164.53259103867</v>
      </c>
      <c r="M12" s="10">
        <f t="shared" si="5"/>
        <v>411005.99677864974</v>
      </c>
      <c r="N12" s="10">
        <f t="shared" si="5"/>
        <v>445949.33525557024</v>
      </c>
      <c r="O12" s="10">
        <f t="shared" si="4"/>
        <v>481183.82708846295</v>
      </c>
      <c r="P12" s="654">
        <f t="shared" si="4"/>
        <v>517776.63107651344</v>
      </c>
      <c r="Q12" s="768">
        <f t="shared" si="4"/>
        <v>578645.88084058755</v>
      </c>
      <c r="R12" s="10"/>
      <c r="S12" s="33"/>
      <c r="T12" s="10"/>
    </row>
    <row r="13" spans="2:20" x14ac:dyDescent="0.3">
      <c r="D13" s="462">
        <v>118925</v>
      </c>
      <c r="E13" s="462">
        <f>(E12-D13)/0.14/8760</f>
        <v>24.051040443574685</v>
      </c>
      <c r="F13" s="10">
        <f>(F12-E12)/0.14/8760</f>
        <v>28.198437304305262</v>
      </c>
      <c r="G13" s="10">
        <f t="shared" ref="G13:Q13" si="6">(G12-F12)/0.14/8760</f>
        <v>26.78591683878825</v>
      </c>
      <c r="H13" s="10">
        <f t="shared" si="6"/>
        <v>27.933332831130528</v>
      </c>
      <c r="I13" s="10">
        <f t="shared" si="6"/>
        <v>26.272999133083818</v>
      </c>
      <c r="J13" s="10">
        <f t="shared" si="6"/>
        <v>25.005095877582853</v>
      </c>
      <c r="K13" s="10">
        <f t="shared" si="6"/>
        <v>25.910889461472568</v>
      </c>
      <c r="L13" s="10">
        <f t="shared" si="6"/>
        <v>26.409421664398835</v>
      </c>
      <c r="M13" s="10">
        <f t="shared" si="6"/>
        <v>27.594148880961406</v>
      </c>
      <c r="N13" s="10">
        <f t="shared" si="6"/>
        <v>28.492611282550961</v>
      </c>
      <c r="O13" s="10">
        <f>(O12-N12)/0.14/8760</f>
        <v>28.73001617163462</v>
      </c>
      <c r="P13" s="654">
        <f>(P12-O12)/0.14/8760</f>
        <v>29.837576637353632</v>
      </c>
      <c r="Q13" s="768">
        <f t="shared" si="6"/>
        <v>49.632460668684033</v>
      </c>
      <c r="R13" s="10"/>
      <c r="S13" s="33"/>
      <c r="T13" s="10"/>
    </row>
    <row r="14" spans="2:20" x14ac:dyDescent="0.3">
      <c r="B14" t="s">
        <v>127</v>
      </c>
      <c r="C14" t="s">
        <v>122</v>
      </c>
      <c r="D14" s="462">
        <f>D9*D$4</f>
        <v>180189.56666666665</v>
      </c>
      <c r="E14" s="462">
        <f>E4*E9</f>
        <v>212030.28</v>
      </c>
      <c r="F14" s="10">
        <f t="shared" ref="F14:N14" si="7">F4*F9</f>
        <v>251181.63070000001</v>
      </c>
      <c r="G14" s="10">
        <f t="shared" si="7"/>
        <v>287805.34389478655</v>
      </c>
      <c r="H14" s="10">
        <f t="shared" si="7"/>
        <v>326232.3225719849</v>
      </c>
      <c r="I14" s="10">
        <f t="shared" si="7"/>
        <v>361964.94031025952</v>
      </c>
      <c r="J14" s="10">
        <f t="shared" si="7"/>
        <v>395745.73945850233</v>
      </c>
      <c r="K14" s="10">
        <f t="shared" si="7"/>
        <v>430970.02232727502</v>
      </c>
      <c r="L14" s="10">
        <f t="shared" si="7"/>
        <v>466965.61177938129</v>
      </c>
      <c r="M14" s="10">
        <f t="shared" si="7"/>
        <v>504744.20657027164</v>
      </c>
      <c r="N14" s="10">
        <f t="shared" si="7"/>
        <v>543840.65275069547</v>
      </c>
      <c r="O14" s="10">
        <f>O4*O9</f>
        <v>583253.12374359148</v>
      </c>
      <c r="P14" s="654">
        <f>P4*P9</f>
        <v>624269.69704260479</v>
      </c>
      <c r="Q14" s="768">
        <f>Q4*Q9</f>
        <v>694375.05700870499</v>
      </c>
      <c r="R14" s="10"/>
      <c r="S14" s="10"/>
      <c r="T14" s="10"/>
    </row>
    <row r="15" spans="2:20" x14ac:dyDescent="0.3">
      <c r="D15" s="462"/>
      <c r="E15" s="462"/>
      <c r="F15" s="10"/>
      <c r="G15" s="10"/>
      <c r="H15" s="10"/>
      <c r="I15" s="10"/>
      <c r="J15" s="10"/>
      <c r="K15" s="10"/>
      <c r="L15" s="10"/>
      <c r="M15" s="10"/>
      <c r="N15" s="10"/>
      <c r="O15" s="10"/>
      <c r="P15" s="654"/>
      <c r="Q15" s="10"/>
      <c r="R15" s="10"/>
      <c r="S15" s="10"/>
      <c r="T15" s="10"/>
    </row>
    <row r="16" spans="2:20" x14ac:dyDescent="0.3">
      <c r="B16" t="s">
        <v>128</v>
      </c>
      <c r="C16" t="s">
        <v>129</v>
      </c>
      <c r="D16" s="465">
        <v>10.130000000000001</v>
      </c>
      <c r="E16" s="465">
        <v>10.58</v>
      </c>
      <c r="F16" s="228">
        <v>10.7</v>
      </c>
      <c r="G16" s="228">
        <v>11.16</v>
      </c>
      <c r="H16" s="228">
        <v>11.97</v>
      </c>
      <c r="I16" s="20">
        <f>H16*(1+inflation_rate)</f>
        <v>12.4488</v>
      </c>
      <c r="J16" s="20">
        <f t="shared" ref="J16:N16" si="8">I16*(1+inflation_rate)</f>
        <v>12.946752</v>
      </c>
      <c r="K16" s="20">
        <f t="shared" si="8"/>
        <v>13.46462208</v>
      </c>
      <c r="L16" s="20">
        <f t="shared" si="8"/>
        <v>14.0032069632</v>
      </c>
      <c r="M16" s="20">
        <f t="shared" si="8"/>
        <v>14.563335241728002</v>
      </c>
      <c r="N16" s="20">
        <f t="shared" si="8"/>
        <v>15.145868651397121</v>
      </c>
      <c r="O16" s="20">
        <f>N16*(1+inflation_rate)</f>
        <v>15.751703397453007</v>
      </c>
      <c r="P16" s="697">
        <f>O16*(1+inflation_rate)</f>
        <v>16.381771533351127</v>
      </c>
      <c r="S16" s="242"/>
    </row>
    <row r="17" spans="2:16" x14ac:dyDescent="0.3">
      <c r="B17" t="s">
        <v>130</v>
      </c>
      <c r="C17" t="s">
        <v>129</v>
      </c>
      <c r="D17" s="465">
        <v>60.78</v>
      </c>
      <c r="E17" s="465">
        <v>63.48</v>
      </c>
      <c r="F17" s="228">
        <v>64.180000000000007</v>
      </c>
      <c r="G17" s="729">
        <v>66.94</v>
      </c>
      <c r="H17" s="228">
        <v>71.83</v>
      </c>
      <c r="I17" s="20">
        <f t="shared" ref="I17:P17" si="9">H17*(1+inflation_rate)</f>
        <v>74.703199999999995</v>
      </c>
      <c r="J17" s="20">
        <f t="shared" si="9"/>
        <v>77.691327999999999</v>
      </c>
      <c r="K17" s="20">
        <f t="shared" si="9"/>
        <v>80.798981120000008</v>
      </c>
      <c r="L17" s="20">
        <f t="shared" si="9"/>
        <v>84.030940364800017</v>
      </c>
      <c r="M17" s="20">
        <f t="shared" si="9"/>
        <v>87.392177979392017</v>
      </c>
      <c r="N17" s="20">
        <f t="shared" si="9"/>
        <v>90.887865098567701</v>
      </c>
      <c r="O17" s="20">
        <f t="shared" si="9"/>
        <v>94.523379702510411</v>
      </c>
      <c r="P17" s="697">
        <f t="shared" si="9"/>
        <v>98.304314890610826</v>
      </c>
    </row>
    <row r="18" spans="2:16" x14ac:dyDescent="0.3">
      <c r="B18" t="s">
        <v>131</v>
      </c>
      <c r="C18" t="s">
        <v>129</v>
      </c>
      <c r="D18" s="465">
        <f>D17</f>
        <v>60.78</v>
      </c>
      <c r="E18" s="465">
        <v>63.48</v>
      </c>
      <c r="F18" s="228">
        <v>64.180000000000007</v>
      </c>
      <c r="G18" s="729">
        <v>66.94</v>
      </c>
      <c r="H18" s="228">
        <v>71.81</v>
      </c>
      <c r="I18" s="20">
        <f t="shared" ref="I18:P18" si="10">H18*(1+inflation_rate)</f>
        <v>74.682400000000001</v>
      </c>
      <c r="J18" s="20">
        <f t="shared" si="10"/>
        <v>77.669696000000002</v>
      </c>
      <c r="K18" s="20">
        <f t="shared" si="10"/>
        <v>80.776483840000012</v>
      </c>
      <c r="L18" s="20">
        <f t="shared" si="10"/>
        <v>84.007543193600014</v>
      </c>
      <c r="M18" s="20">
        <f t="shared" si="10"/>
        <v>87.367844921344016</v>
      </c>
      <c r="N18" s="20">
        <f t="shared" si="10"/>
        <v>90.862558718197775</v>
      </c>
      <c r="O18" s="20">
        <f t="shared" si="10"/>
        <v>94.497061066925696</v>
      </c>
      <c r="P18" s="697">
        <f t="shared" si="10"/>
        <v>98.276943509602731</v>
      </c>
    </row>
    <row r="19" spans="2:16" x14ac:dyDescent="0.3">
      <c r="D19" s="464"/>
      <c r="E19" s="464"/>
    </row>
    <row r="20" spans="2:16" x14ac:dyDescent="0.3">
      <c r="B20" t="s">
        <v>132</v>
      </c>
      <c r="C20" t="s">
        <v>122</v>
      </c>
      <c r="D20" s="594">
        <f>'Tier I'!D6+'Tier I'!D7</f>
        <v>1385860</v>
      </c>
      <c r="E20" s="594">
        <f>'Tier I'!E6+'Tier I'!E7</f>
        <v>1385860</v>
      </c>
      <c r="F20" s="7">
        <f>'Tier I'!F6+'Tier I'!F7</f>
        <v>1420860</v>
      </c>
      <c r="G20" s="7">
        <f>'Tier I'!G6+'Tier I'!G7</f>
        <v>1420860</v>
      </c>
      <c r="H20" s="7">
        <f>'Tier I'!H6+'Tier I'!H7</f>
        <v>1420860</v>
      </c>
      <c r="I20" s="7">
        <f>'Tier I'!I6+'Tier I'!I7</f>
        <v>1420860</v>
      </c>
      <c r="J20" s="7">
        <f>'Tier I'!J6+'Tier I'!J7</f>
        <v>1420860</v>
      </c>
      <c r="K20" s="7">
        <f>'Tier I'!K6+'Tier I'!K7</f>
        <v>1420860</v>
      </c>
      <c r="L20" s="7">
        <f>'Tier I'!L6+'Tier I'!L7</f>
        <v>1420860</v>
      </c>
      <c r="M20" s="7">
        <f>'Tier I'!M6+'Tier I'!M7</f>
        <v>1420860</v>
      </c>
      <c r="N20" s="7">
        <f>'Tier I'!N6+'Tier I'!N7</f>
        <v>1420860</v>
      </c>
      <c r="O20" s="7">
        <f>'Tier I'!O6+'Tier I'!O7</f>
        <v>1420860</v>
      </c>
      <c r="P20" s="648">
        <f>'Tier I'!P6+'Tier I'!P7</f>
        <v>1420860</v>
      </c>
    </row>
    <row r="21" spans="2:16" x14ac:dyDescent="0.3">
      <c r="B21" t="s">
        <v>133</v>
      </c>
      <c r="C21" t="s">
        <v>122</v>
      </c>
      <c r="D21" s="462">
        <f>SUM('Tier II'!D5:D8)</f>
        <v>82218.137499999997</v>
      </c>
      <c r="E21" s="462">
        <f>SUM('Tier II'!E5:E8)</f>
        <v>145882.96350000001</v>
      </c>
      <c r="F21" s="10">
        <f>SUM('Tier II'!F5:F8)</f>
        <v>177765.03749999998</v>
      </c>
      <c r="G21" s="10">
        <f>SUM('Tier II'!G5:G8)</f>
        <v>236702.35847651196</v>
      </c>
      <c r="H21" s="10">
        <f>SUM('Tier II'!H5:H8)</f>
        <v>282920.29587123281</v>
      </c>
      <c r="I21" s="10">
        <f>SUM('Tier II'!I5:I8)</f>
        <v>330423.89705098438</v>
      </c>
      <c r="J21" s="10">
        <f>SUM('Tier II'!J5:J8)</f>
        <v>364302.77752400789</v>
      </c>
      <c r="K21" s="10">
        <f>SUM('Tier II'!K5:K8)</f>
        <v>388755.00723240059</v>
      </c>
      <c r="L21" s="10">
        <f>SUM('Tier II'!L5:L8)</f>
        <v>413892.23666275752</v>
      </c>
      <c r="M21" s="10">
        <f>SUM('Tier II'!M5:M8)</f>
        <v>437132.00911547971</v>
      </c>
      <c r="N21" s="10">
        <f>SUM('Tier II'!N5:N8)</f>
        <v>437622.44401161239</v>
      </c>
      <c r="O21" s="10">
        <f>SUM('Tier II'!O5:O8)</f>
        <v>441360.27921850671</v>
      </c>
      <c r="P21" s="654">
        <f>SUM('Tier II'!P5:P8)</f>
        <v>442586.67921850656</v>
      </c>
    </row>
    <row r="22" spans="2:16" x14ac:dyDescent="0.3">
      <c r="B22" t="s">
        <v>134</v>
      </c>
      <c r="C22" t="s">
        <v>122</v>
      </c>
      <c r="D22" s="462"/>
      <c r="E22" s="462"/>
      <c r="F22" s="10"/>
      <c r="G22" s="10"/>
      <c r="H22" s="10"/>
      <c r="I22" s="10"/>
      <c r="J22" s="10"/>
      <c r="K22" s="10"/>
      <c r="L22" s="10"/>
      <c r="M22" s="10"/>
      <c r="N22" s="10"/>
    </row>
    <row r="23" spans="2:16" x14ac:dyDescent="0.3">
      <c r="D23" s="464"/>
      <c r="E23" s="464"/>
    </row>
    <row r="24" spans="2:16" x14ac:dyDescent="0.3">
      <c r="B24" t="s">
        <v>135</v>
      </c>
      <c r="C24" t="s">
        <v>122</v>
      </c>
      <c r="D24" s="597">
        <f>D11-D20</f>
        <v>1468342.736</v>
      </c>
      <c r="E24" s="597">
        <f t="shared" ref="E24:O24" si="11">E11-E20</f>
        <v>1593165.4339999999</v>
      </c>
      <c r="F24" s="12">
        <f t="shared" si="11"/>
        <v>1571789.7143399995</v>
      </c>
      <c r="G24" s="12">
        <f t="shared" si="11"/>
        <v>1547132.6089149858</v>
      </c>
      <c r="H24" s="12">
        <f t="shared" si="11"/>
        <v>1754467.9397006528</v>
      </c>
      <c r="I24" s="12">
        <f t="shared" si="11"/>
        <v>1717376.0324899508</v>
      </c>
      <c r="J24" s="12">
        <f t="shared" si="11"/>
        <v>1665956.7677763188</v>
      </c>
      <c r="K24" s="12">
        <f t="shared" si="11"/>
        <v>1843737.9191291085</v>
      </c>
      <c r="L24" s="12">
        <f t="shared" si="11"/>
        <v>1811978.850780332</v>
      </c>
      <c r="M24" s="12">
        <f t="shared" si="11"/>
        <v>1791476.3432436576</v>
      </c>
      <c r="N24" s="12">
        <f t="shared" si="11"/>
        <v>1994459.2992743677</v>
      </c>
      <c r="O24" s="12">
        <f t="shared" si="11"/>
        <v>1980234.777829818</v>
      </c>
      <c r="P24" s="659">
        <f t="shared" ref="P24" si="12">P11-P20</f>
        <v>1972229.4121609819</v>
      </c>
    </row>
    <row r="25" spans="2:16" x14ac:dyDescent="0.3">
      <c r="B25" t="s">
        <v>136</v>
      </c>
      <c r="C25" t="s">
        <v>122</v>
      </c>
      <c r="D25" s="597">
        <f>D12-D21</f>
        <v>36706.97649999999</v>
      </c>
      <c r="E25" s="597">
        <f>E12-E21</f>
        <v>2538.2324999999837</v>
      </c>
      <c r="F25" s="12">
        <f>F12-F21</f>
        <v>5238.7220099999977</v>
      </c>
      <c r="G25" s="12">
        <f t="shared" ref="G25:N25" si="13">G12-G21</f>
        <v>-20848.350555422076</v>
      </c>
      <c r="H25" s="12">
        <f t="shared" si="13"/>
        <v>-32808.848566044442</v>
      </c>
      <c r="I25" s="12">
        <f t="shared" si="13"/>
        <v>-48091.243608982011</v>
      </c>
      <c r="J25" s="12">
        <f t="shared" si="13"/>
        <v>-51303.87449773791</v>
      </c>
      <c r="K25" s="12">
        <f t="shared" si="13"/>
        <v>-43978.989370580646</v>
      </c>
      <c r="L25" s="12">
        <f t="shared" si="13"/>
        <v>-36727.70407171885</v>
      </c>
      <c r="M25" s="12">
        <f t="shared" si="13"/>
        <v>-26126.012336829968</v>
      </c>
      <c r="N25" s="12">
        <f t="shared" si="13"/>
        <v>8326.8912439578562</v>
      </c>
      <c r="O25" s="12">
        <f>O12-O21</f>
        <v>39823.547869956237</v>
      </c>
      <c r="P25" s="659">
        <f>P12-P21</f>
        <v>75189.951858006883</v>
      </c>
    </row>
    <row r="26" spans="2:16" x14ac:dyDescent="0.3">
      <c r="B26" t="s">
        <v>137</v>
      </c>
      <c r="C26" t="s">
        <v>122</v>
      </c>
      <c r="D26" s="597">
        <f>D14-D22</f>
        <v>180189.56666666665</v>
      </c>
      <c r="E26" s="597">
        <f>E14-E22</f>
        <v>212030.28</v>
      </c>
      <c r="F26" s="12">
        <f t="shared" ref="F26:O26" si="14">F14-F22</f>
        <v>251181.63070000001</v>
      </c>
      <c r="G26" s="12">
        <f t="shared" si="14"/>
        <v>287805.34389478655</v>
      </c>
      <c r="H26" s="12">
        <f t="shared" si="14"/>
        <v>326232.3225719849</v>
      </c>
      <c r="I26" s="12">
        <f t="shared" si="14"/>
        <v>361964.94031025952</v>
      </c>
      <c r="J26" s="12">
        <f t="shared" si="14"/>
        <v>395745.73945850233</v>
      </c>
      <c r="K26" s="12">
        <f t="shared" si="14"/>
        <v>430970.02232727502</v>
      </c>
      <c r="L26" s="12">
        <f t="shared" si="14"/>
        <v>466965.61177938129</v>
      </c>
      <c r="M26" s="12">
        <f t="shared" si="14"/>
        <v>504744.20657027164</v>
      </c>
      <c r="N26" s="12">
        <f t="shared" si="14"/>
        <v>543840.65275069547</v>
      </c>
      <c r="O26" s="12">
        <f t="shared" si="14"/>
        <v>583253.12374359148</v>
      </c>
      <c r="P26" s="659">
        <f t="shared" ref="P26" si="15">P14-P22</f>
        <v>624269.69704260479</v>
      </c>
    </row>
    <row r="27" spans="2:16" x14ac:dyDescent="0.3">
      <c r="D27" s="464"/>
      <c r="E27" s="464"/>
    </row>
    <row r="28" spans="2:16" x14ac:dyDescent="0.3">
      <c r="B28" t="s">
        <v>138</v>
      </c>
      <c r="C28" t="s">
        <v>139</v>
      </c>
      <c r="D28" s="466">
        <f>'Tier I'!D21</f>
        <v>1468342.736</v>
      </c>
      <c r="E28" s="466">
        <f>'Tier I'!E21</f>
        <v>1593165.4339999999</v>
      </c>
      <c r="F28" s="511">
        <f>'Tier I'!F21</f>
        <v>11788422.857549995</v>
      </c>
      <c r="G28" s="511">
        <f>'Tier I'!G21</f>
        <v>11835564.458199643</v>
      </c>
      <c r="H28" s="511">
        <f>'Tier I'!H21</f>
        <v>9399713.3334841952</v>
      </c>
      <c r="I28" s="511">
        <f>'Tier I'!I21</f>
        <v>7301450.8851494687</v>
      </c>
      <c r="J28" s="511">
        <f>'Tier I'!J21</f>
        <v>7030045.9095805455</v>
      </c>
      <c r="K28" s="511">
        <f>'Tier I'!K21</f>
        <v>8642782.5006177239</v>
      </c>
      <c r="L28" s="511">
        <f>'Tier I'!L21</f>
        <v>8547394.1312908623</v>
      </c>
      <c r="M28" s="511">
        <f>'Tier I'!M21</f>
        <v>8541709.9897298086</v>
      </c>
      <c r="N28" s="511">
        <f>'Tier I'!N21</f>
        <v>10496245.824151546</v>
      </c>
      <c r="O28" s="511">
        <f>'Tier I'!O21</f>
        <v>10578673.591605151</v>
      </c>
      <c r="P28" s="698">
        <f>'Tier I'!P21</f>
        <v>10717058.342834787</v>
      </c>
    </row>
    <row r="29" spans="2:16" x14ac:dyDescent="0.3">
      <c r="B29" t="s">
        <v>140</v>
      </c>
      <c r="C29" t="s">
        <v>139</v>
      </c>
      <c r="D29" s="466">
        <f>'Tier II'!D22</f>
        <v>5249632.4974999996</v>
      </c>
      <c r="E29" s="466">
        <f>'Tier II'!E22</f>
        <v>7068032.9700000007</v>
      </c>
      <c r="F29" s="21">
        <f>'Tier II'!F22</f>
        <v>8908870.3179000001</v>
      </c>
      <c r="G29" s="21">
        <f>'Tier II'!G22</f>
        <v>10594541.499853039</v>
      </c>
      <c r="H29" s="21">
        <f>'Tier II'!H22</f>
        <v>11834090.079774097</v>
      </c>
      <c r="I29" s="21">
        <f>'Tier II'!I22</f>
        <v>13066113.191616286</v>
      </c>
      <c r="J29" s="21">
        <f>'Tier II'!J22</f>
        <v>14024762.857094569</v>
      </c>
      <c r="K29" s="21">
        <f>'Tier II'!K22</f>
        <v>15000945.086549152</v>
      </c>
      <c r="L29" s="21">
        <f>'Tier II'!L22</f>
        <v>16002070.910612941</v>
      </c>
      <c r="M29" s="21">
        <f>'Tier II'!M22</f>
        <v>17021872.020373747</v>
      </c>
      <c r="N29" s="21">
        <f>'Tier II'!N22</f>
        <v>18191355.073227845</v>
      </c>
      <c r="O29" s="511">
        <f>'Tier II'!O22</f>
        <v>19392069.396396317</v>
      </c>
      <c r="P29" s="698">
        <f>'Tier II'!P22</f>
        <v>20764624.646997496</v>
      </c>
    </row>
    <row r="30" spans="2:16" x14ac:dyDescent="0.3">
      <c r="B30" t="s">
        <v>141</v>
      </c>
      <c r="C30" t="s">
        <v>139</v>
      </c>
      <c r="D30" s="462">
        <f>'Tier III'!D74-'Tier III'!D58</f>
        <v>0</v>
      </c>
      <c r="E30" s="466">
        <f>'Tier III'!E74</f>
        <v>10008046.121510055</v>
      </c>
      <c r="F30" s="21">
        <f>'Tier III'!F74</f>
        <v>12278636.820395499</v>
      </c>
      <c r="G30" s="21">
        <f>'Tier III'!G74</f>
        <v>19026079.455061905</v>
      </c>
      <c r="H30" s="21">
        <f>'Tier III'!H74</f>
        <v>23596575.535345428</v>
      </c>
      <c r="I30" s="21">
        <f>'Tier III'!I74</f>
        <v>26022435.098031331</v>
      </c>
      <c r="J30" s="21">
        <f>'Tier III'!J74</f>
        <v>29528713.196844488</v>
      </c>
      <c r="K30" s="21">
        <f>'Tier III'!K74</f>
        <v>33646185.48849459</v>
      </c>
      <c r="L30" s="21">
        <f>'Tier III'!L74</f>
        <v>37388431.197365455</v>
      </c>
      <c r="M30" s="21">
        <f>'Tier III'!M74</f>
        <v>41258586.112084478</v>
      </c>
      <c r="N30" s="21">
        <f>'Tier III'!N74</f>
        <v>45281949.513522744</v>
      </c>
      <c r="O30" s="511">
        <f>'Tier III'!O74</f>
        <v>49907146.632554635</v>
      </c>
      <c r="P30" s="698">
        <f>'Tier III'!P74</f>
        <v>53706412.704083726</v>
      </c>
    </row>
    <row r="31" spans="2:16" x14ac:dyDescent="0.3">
      <c r="D31" s="464"/>
      <c r="E31" s="464"/>
    </row>
    <row r="32" spans="2:16" x14ac:dyDescent="0.3">
      <c r="B32" t="s">
        <v>142</v>
      </c>
      <c r="C32" t="s">
        <v>129</v>
      </c>
      <c r="D32" s="465">
        <f>'Tier I'!D21</f>
        <v>1468342.736</v>
      </c>
      <c r="E32" s="465">
        <f>'Tier I'!E21</f>
        <v>1593165.4339999999</v>
      </c>
      <c r="F32" s="20">
        <f>'Tier I'!F21</f>
        <v>11788422.857549995</v>
      </c>
      <c r="G32" s="20">
        <f>'Tier I'!G21</f>
        <v>11835564.458199643</v>
      </c>
      <c r="H32" s="20">
        <f>'Tier I'!H21</f>
        <v>9399713.3334841952</v>
      </c>
      <c r="I32" s="20">
        <f>'Tier I'!I21</f>
        <v>7301450.8851494687</v>
      </c>
      <c r="J32" s="20">
        <f>'Tier I'!J21</f>
        <v>7030045.9095805455</v>
      </c>
      <c r="K32" s="20">
        <f>'Tier I'!K21</f>
        <v>8642782.5006177239</v>
      </c>
      <c r="L32" s="20">
        <f>'Tier I'!L21</f>
        <v>8547394.1312908623</v>
      </c>
      <c r="M32" s="20">
        <f>'Tier I'!M21</f>
        <v>8541709.9897298086</v>
      </c>
      <c r="N32" s="20">
        <f>'Tier I'!N21</f>
        <v>10496245.824151546</v>
      </c>
      <c r="O32" s="20">
        <f>'Tier I'!O21</f>
        <v>10578673.591605151</v>
      </c>
      <c r="P32" s="697">
        <f>'Tier I'!P21</f>
        <v>10717058.342834787</v>
      </c>
    </row>
    <row r="33" spans="2:17" x14ac:dyDescent="0.3">
      <c r="B33" t="s">
        <v>143</v>
      </c>
      <c r="C33" t="s">
        <v>129</v>
      </c>
      <c r="D33" s="465">
        <f>'Tier II'!D16</f>
        <v>40</v>
      </c>
      <c r="E33" s="465">
        <f>'Tier II'!E16</f>
        <v>41</v>
      </c>
      <c r="F33" s="20">
        <f>'Tier II'!F16</f>
        <v>40</v>
      </c>
      <c r="G33" s="20">
        <f>'Tier II'!G16</f>
        <v>33.010649580647502</v>
      </c>
      <c r="H33" s="20">
        <f>'Tier II'!H16</f>
        <v>34.758620689655174</v>
      </c>
      <c r="I33" s="20">
        <f>'Tier II'!I16</f>
        <v>32.482758620689658</v>
      </c>
      <c r="J33" s="20">
        <f>'Tier II'!J16</f>
        <v>33.375</v>
      </c>
      <c r="K33" s="20">
        <f>'Tier II'!K16</f>
        <v>33.375</v>
      </c>
      <c r="L33" s="20">
        <f>'Tier II'!L16</f>
        <v>33.375</v>
      </c>
      <c r="M33" s="20">
        <f>'Tier II'!M16</f>
        <v>33.375</v>
      </c>
      <c r="N33" s="20">
        <f>'Tier II'!N16</f>
        <v>33.375</v>
      </c>
      <c r="O33" s="115">
        <f>'Tier II'!O16</f>
        <v>33.375</v>
      </c>
      <c r="P33" s="686">
        <f>'Tier II'!P16</f>
        <v>33.375</v>
      </c>
    </row>
    <row r="34" spans="2:17" x14ac:dyDescent="0.3">
      <c r="B34" t="s">
        <v>144</v>
      </c>
      <c r="C34" t="s">
        <v>129</v>
      </c>
      <c r="D34" s="465">
        <f t="shared" ref="D34:O34" si="16">D30/D26</f>
        <v>0</v>
      </c>
      <c r="E34" s="465">
        <f t="shared" si="16"/>
        <v>47.201022993084081</v>
      </c>
      <c r="F34" s="20">
        <f t="shared" si="16"/>
        <v>48.88349831226531</v>
      </c>
      <c r="G34" s="20">
        <f t="shared" si="16"/>
        <v>66.107457205580232</v>
      </c>
      <c r="H34" s="20">
        <f t="shared" si="16"/>
        <v>72.330587445511981</v>
      </c>
      <c r="I34" s="20">
        <f t="shared" si="16"/>
        <v>71.892142580787265</v>
      </c>
      <c r="J34" s="20">
        <f t="shared" si="16"/>
        <v>74.615366010632314</v>
      </c>
      <c r="K34" s="20">
        <f t="shared" si="16"/>
        <v>78.070825684817493</v>
      </c>
      <c r="L34" s="20">
        <f t="shared" si="16"/>
        <v>80.066776341187378</v>
      </c>
      <c r="M34" s="20">
        <f t="shared" si="16"/>
        <v>81.74157439554557</v>
      </c>
      <c r="N34" s="20">
        <f t="shared" si="16"/>
        <v>83.263267070033933</v>
      </c>
      <c r="O34" s="115">
        <f t="shared" si="16"/>
        <v>85.566874142443012</v>
      </c>
      <c r="P34" s="686">
        <f t="shared" ref="P34" si="17">P30/P26</f>
        <v>86.030785986426636</v>
      </c>
    </row>
    <row r="35" spans="2:17" x14ac:dyDescent="0.3">
      <c r="D35" s="464"/>
      <c r="E35" s="464"/>
    </row>
    <row r="36" spans="2:17" x14ac:dyDescent="0.3">
      <c r="D36" s="464"/>
      <c r="E36" s="464"/>
    </row>
    <row r="37" spans="2:17" x14ac:dyDescent="0.3">
      <c r="D37" s="596">
        <f>D7+D8</f>
        <v>0.55000000000000004</v>
      </c>
      <c r="E37" s="596">
        <f t="shared" ref="E37:M37" si="18">E7+E8</f>
        <v>0.59</v>
      </c>
      <c r="F37" s="14">
        <f>F7+F8</f>
        <v>0.59</v>
      </c>
      <c r="G37" s="14">
        <f t="shared" si="18"/>
        <v>0.59</v>
      </c>
      <c r="H37" s="14">
        <f t="shared" si="18"/>
        <v>0.63</v>
      </c>
      <c r="I37" s="14">
        <f t="shared" si="18"/>
        <v>0.63000000000000012</v>
      </c>
      <c r="J37" s="14">
        <f t="shared" si="18"/>
        <v>0.63</v>
      </c>
      <c r="K37" s="14">
        <f t="shared" si="18"/>
        <v>0.67</v>
      </c>
      <c r="L37" s="14">
        <f t="shared" si="18"/>
        <v>0.67</v>
      </c>
      <c r="M37" s="14">
        <f t="shared" si="18"/>
        <v>0.67</v>
      </c>
      <c r="N37" s="14">
        <f>N7+N8</f>
        <v>0.71000000000000008</v>
      </c>
      <c r="O37" s="14">
        <f>O7+O8</f>
        <v>0.71000000000000008</v>
      </c>
      <c r="P37" s="696">
        <f>P7+P8</f>
        <v>0.71000000000000008</v>
      </c>
      <c r="Q37" s="897">
        <f>Q7+Q8</f>
        <v>0.75000000000000011</v>
      </c>
    </row>
    <row r="38" spans="2:17" x14ac:dyDescent="0.3">
      <c r="D38" s="464"/>
      <c r="E38" s="464"/>
    </row>
    <row r="39" spans="2:17" x14ac:dyDescent="0.3">
      <c r="D39" s="464"/>
      <c r="E39" s="464"/>
    </row>
    <row r="40" spans="2:17" x14ac:dyDescent="0.3">
      <c r="D40" s="464"/>
      <c r="E40" s="596">
        <f t="shared" ref="E40:L40" si="19">1-0.13-E6</f>
        <v>0.28000000000000003</v>
      </c>
      <c r="F40" s="14">
        <f>1-0.13-F6</f>
        <v>0.28000000000000003</v>
      </c>
      <c r="G40" s="14">
        <f>1-0.13-G6</f>
        <v>0.28000000000000003</v>
      </c>
      <c r="H40" s="14">
        <f t="shared" si="19"/>
        <v>0.24</v>
      </c>
      <c r="I40" s="14">
        <f t="shared" si="19"/>
        <v>0.23999999999999988</v>
      </c>
      <c r="J40" s="14">
        <f t="shared" si="19"/>
        <v>0.24</v>
      </c>
      <c r="K40" s="14">
        <f t="shared" si="19"/>
        <v>0.19999999999999996</v>
      </c>
      <c r="L40" s="14">
        <f t="shared" si="19"/>
        <v>0.19999999999999996</v>
      </c>
      <c r="M40" s="14">
        <f>1-0.13-M6</f>
        <v>0.19999999999999996</v>
      </c>
      <c r="N40" s="14">
        <f>1-0.13-N6</f>
        <v>0.15999999999999992</v>
      </c>
      <c r="O40" s="14">
        <f>1-0.13-O6</f>
        <v>0.15999999999999992</v>
      </c>
      <c r="P40" s="696">
        <f>1-0.13-P6</f>
        <v>0.15999999999999992</v>
      </c>
    </row>
    <row r="41" spans="2:17" x14ac:dyDescent="0.3">
      <c r="B41" t="s">
        <v>145</v>
      </c>
      <c r="D41" s="464"/>
      <c r="E41" s="462">
        <f t="shared" ref="E41:L41" si="20">+E40*E4</f>
        <v>1484211.9600000002</v>
      </c>
      <c r="F41" s="10">
        <f>+F40*F4</f>
        <v>1507089.7842000001</v>
      </c>
      <c r="G41" s="10">
        <f>+G40*G4</f>
        <v>1510978.0554476294</v>
      </c>
      <c r="H41" s="10">
        <f t="shared" si="20"/>
        <v>1304929.2902879396</v>
      </c>
      <c r="I41" s="10">
        <f t="shared" si="20"/>
        <v>1303073.7851169338</v>
      </c>
      <c r="J41" s="10">
        <f t="shared" si="20"/>
        <v>1295167.8745914621</v>
      </c>
      <c r="K41" s="10">
        <f t="shared" si="20"/>
        <v>1077425.0558181873</v>
      </c>
      <c r="L41" s="10">
        <f t="shared" si="20"/>
        <v>1077612.9502601104</v>
      </c>
      <c r="M41" s="10">
        <f>+M40*M4</f>
        <v>1081594.7283648674</v>
      </c>
      <c r="N41" s="10">
        <f>+N40*N4</f>
        <v>870145.04440111225</v>
      </c>
      <c r="O41" s="10">
        <f>+O40*O4</f>
        <v>874879.6856153867</v>
      </c>
      <c r="P41" s="654">
        <f>+P40*P4</f>
        <v>881321.92523661803</v>
      </c>
    </row>
    <row r="42" spans="2:17" x14ac:dyDescent="0.3">
      <c r="B42" t="s">
        <v>146</v>
      </c>
      <c r="D42" s="464"/>
      <c r="E42" s="462">
        <f>E41*7.8</f>
        <v>11576853.288000001</v>
      </c>
      <c r="F42" s="10">
        <f>F41*7.8</f>
        <v>11755300.31676</v>
      </c>
      <c r="G42" s="10">
        <f t="shared" ref="G42:M42" si="21">G41*7.8</f>
        <v>11785628.83249151</v>
      </c>
      <c r="H42" s="10">
        <f t="shared" si="21"/>
        <v>10178448.464245928</v>
      </c>
      <c r="I42" s="10">
        <f t="shared" si="21"/>
        <v>10163975.523912083</v>
      </c>
      <c r="J42" s="10">
        <f t="shared" si="21"/>
        <v>10102309.421813404</v>
      </c>
      <c r="K42" s="10">
        <f t="shared" si="21"/>
        <v>8403915.4353818614</v>
      </c>
      <c r="L42" s="10">
        <f t="shared" si="21"/>
        <v>8405381.0120288618</v>
      </c>
      <c r="M42" s="10">
        <f t="shared" si="21"/>
        <v>8436438.8812459651</v>
      </c>
      <c r="N42" s="10">
        <f>N41*7.8</f>
        <v>6787131.3463286757</v>
      </c>
      <c r="O42" s="10">
        <f>O41*7.8</f>
        <v>6824061.5478000157</v>
      </c>
      <c r="P42" s="654">
        <f>P41*7.8</f>
        <v>6874311.0168456202</v>
      </c>
    </row>
    <row r="43" spans="2:17" x14ac:dyDescent="0.3">
      <c r="B43" t="s">
        <v>147</v>
      </c>
      <c r="D43" s="464"/>
      <c r="E43" s="597">
        <f t="shared" ref="E43:M43" si="22">$E$41-E41</f>
        <v>0</v>
      </c>
      <c r="F43" s="12">
        <f>$E$41-F41</f>
        <v>-22877.824199999915</v>
      </c>
      <c r="G43" s="12">
        <f t="shared" si="22"/>
        <v>-26766.095447629225</v>
      </c>
      <c r="H43" s="12">
        <f t="shared" si="22"/>
        <v>179282.6697120606</v>
      </c>
      <c r="I43" s="12">
        <f t="shared" si="22"/>
        <v>181138.17488306644</v>
      </c>
      <c r="J43" s="12">
        <f t="shared" si="22"/>
        <v>189044.08540853811</v>
      </c>
      <c r="K43" s="12">
        <f t="shared" si="22"/>
        <v>406786.90418181289</v>
      </c>
      <c r="L43" s="12">
        <f t="shared" si="22"/>
        <v>406599.00973988976</v>
      </c>
      <c r="M43" s="12">
        <f t="shared" si="22"/>
        <v>402617.2316351328</v>
      </c>
      <c r="N43" s="12">
        <f>$E$41-N41</f>
        <v>614066.91559888795</v>
      </c>
      <c r="O43" s="12">
        <f>$E$41-O41</f>
        <v>609332.2743846135</v>
      </c>
      <c r="P43" s="659">
        <f>$E$41-P41</f>
        <v>602890.03476338217</v>
      </c>
    </row>
    <row r="44" spans="2:17" x14ac:dyDescent="0.3">
      <c r="B44" t="s">
        <v>148</v>
      </c>
      <c r="D44" s="464"/>
      <c r="E44" s="597">
        <f>E43*7.8</f>
        <v>0</v>
      </c>
      <c r="F44" s="12">
        <f>F43*7.8</f>
        <v>-178447.02875999935</v>
      </c>
      <c r="G44" s="12">
        <f t="shared" ref="G44:M44" si="23">G43*7.8</f>
        <v>-208775.54449150796</v>
      </c>
      <c r="H44" s="12">
        <f t="shared" si="23"/>
        <v>1398404.8237540727</v>
      </c>
      <c r="I44" s="12">
        <f t="shared" si="23"/>
        <v>1412877.7640879182</v>
      </c>
      <c r="J44" s="12">
        <f t="shared" si="23"/>
        <v>1474543.8661865972</v>
      </c>
      <c r="K44" s="12">
        <f t="shared" si="23"/>
        <v>3172937.8526181406</v>
      </c>
      <c r="L44" s="12">
        <f t="shared" si="23"/>
        <v>3171472.2759711402</v>
      </c>
      <c r="M44" s="12">
        <f t="shared" si="23"/>
        <v>3140414.406754036</v>
      </c>
      <c r="N44" s="12">
        <f>N43*7.8</f>
        <v>4789721.9416713258</v>
      </c>
      <c r="O44" s="12">
        <f>O43*7.8</f>
        <v>4752791.740199985</v>
      </c>
      <c r="P44" s="659">
        <f>P43*7.8</f>
        <v>4702542.2711543804</v>
      </c>
    </row>
  </sheetData>
  <pageMargins left="0.7" right="0.7" top="0.75" bottom="0.75" header="0.3" footer="0.3"/>
  <pageSetup orientation="portrait" verticalDpi="12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62"/>
  <sheetViews>
    <sheetView zoomScale="85" zoomScaleNormal="85" zoomScaleSheetLayoutView="90" workbookViewId="0"/>
  </sheetViews>
  <sheetFormatPr defaultColWidth="9" defaultRowHeight="14.4" x14ac:dyDescent="0.3"/>
  <cols>
    <col min="1" max="1" width="21.109375" customWidth="1"/>
    <col min="2" max="2" width="33" bestFit="1" customWidth="1"/>
    <col min="3" max="3" width="7.44140625" bestFit="1" customWidth="1"/>
    <col min="4" max="4" width="41.109375" bestFit="1" customWidth="1"/>
    <col min="5" max="6" width="10.6640625" bestFit="1" customWidth="1"/>
    <col min="7" max="7" width="14.6640625" customWidth="1"/>
    <col min="8" max="8" width="14.6640625" style="668" customWidth="1"/>
    <col min="9" max="17" width="14.6640625" customWidth="1"/>
    <col min="18" max="18" width="14.6640625" style="668" customWidth="1"/>
    <col min="19" max="25" width="14.6640625" customWidth="1"/>
    <col min="26" max="26" width="13.33203125" customWidth="1"/>
    <col min="27" max="28" width="11.109375" customWidth="1"/>
    <col min="29" max="34" width="10.44140625" customWidth="1"/>
    <col min="42" max="42" width="22.33203125" customWidth="1"/>
    <col min="43" max="43" width="20" customWidth="1"/>
    <col min="44" max="44" width="15.5546875" customWidth="1"/>
    <col min="45" max="45" width="14.88671875" customWidth="1"/>
    <col min="46" max="46" width="15.5546875" customWidth="1"/>
    <col min="47" max="47" width="15.44140625" customWidth="1"/>
    <col min="48" max="48" width="17" customWidth="1"/>
    <col min="49" max="49" width="15.44140625" customWidth="1"/>
    <col min="50" max="50" width="17.44140625" customWidth="1"/>
  </cols>
  <sheetData>
    <row r="1" spans="1:52" x14ac:dyDescent="0.3">
      <c r="A1" s="755"/>
      <c r="D1" s="464" t="s">
        <v>149</v>
      </c>
      <c r="E1" s="464"/>
      <c r="F1" s="464"/>
      <c r="G1" s="464"/>
      <c r="H1" s="643" t="s">
        <v>150</v>
      </c>
      <c r="R1" s="643"/>
    </row>
    <row r="2" spans="1:52" s="8" customFormat="1" x14ac:dyDescent="0.3">
      <c r="A2" s="8" t="s">
        <v>151</v>
      </c>
      <c r="D2" s="461">
        <v>2017</v>
      </c>
      <c r="E2" s="461">
        <v>2018</v>
      </c>
      <c r="F2" s="461">
        <v>2019</v>
      </c>
      <c r="G2" s="461">
        <v>2020</v>
      </c>
      <c r="H2" s="644">
        <f>base_year</f>
        <v>2021</v>
      </c>
      <c r="I2" s="9">
        <f>H2+1</f>
        <v>2022</v>
      </c>
      <c r="J2" s="9">
        <v>2023</v>
      </c>
      <c r="K2" s="9">
        <v>2024</v>
      </c>
      <c r="L2" s="9">
        <v>2025</v>
      </c>
      <c r="M2" s="9">
        <v>2026</v>
      </c>
      <c r="N2" s="9">
        <v>2027</v>
      </c>
      <c r="O2" s="9">
        <v>2028</v>
      </c>
      <c r="P2" s="9">
        <v>2029</v>
      </c>
      <c r="Q2" s="9">
        <v>2030</v>
      </c>
      <c r="R2" s="680">
        <v>2031</v>
      </c>
      <c r="S2" s="9">
        <v>2032</v>
      </c>
      <c r="T2" s="9">
        <v>2033</v>
      </c>
      <c r="U2" s="9">
        <v>2034</v>
      </c>
      <c r="V2" s="9">
        <v>2035</v>
      </c>
      <c r="W2" s="9">
        <v>2036</v>
      </c>
      <c r="X2" s="9">
        <v>2037</v>
      </c>
      <c r="Y2" s="9">
        <v>2038</v>
      </c>
      <c r="Z2" s="9">
        <v>2039</v>
      </c>
      <c r="AA2" s="9">
        <v>2040</v>
      </c>
      <c r="AB2" s="9"/>
      <c r="AC2" s="9"/>
      <c r="AD2" s="9"/>
      <c r="AE2" s="9"/>
      <c r="AF2" s="9"/>
      <c r="AG2" s="9"/>
      <c r="AH2" s="9"/>
      <c r="AO2"/>
      <c r="AP2"/>
      <c r="AQ2"/>
      <c r="AR2"/>
      <c r="AS2"/>
      <c r="AT2"/>
      <c r="AU2"/>
      <c r="AV2"/>
      <c r="AW2"/>
      <c r="AX2"/>
      <c r="AY2"/>
      <c r="AZ2"/>
    </row>
    <row r="3" spans="1:52" s="8" customFormat="1" x14ac:dyDescent="0.3">
      <c r="A3" s="288" t="str">
        <f>retail_sales_forecast</f>
        <v>base</v>
      </c>
      <c r="B3" s="8" t="s">
        <v>16</v>
      </c>
      <c r="D3" s="526">
        <f>D12</f>
        <v>5415649.5630000001</v>
      </c>
      <c r="E3" s="526">
        <f>E12</f>
        <v>5525385.8839999996</v>
      </c>
      <c r="F3" s="526">
        <f>F12</f>
        <v>5405687</v>
      </c>
      <c r="G3" s="526">
        <f>G12</f>
        <v>5300757</v>
      </c>
      <c r="H3" s="645">
        <f>SUMIF($A$5:$A$7,$A$3,H$5:H$7)</f>
        <v>5382463.5149999997</v>
      </c>
      <c r="I3" s="34">
        <f>SUMIF($A$5:$A$7,$A$3,I$5:I$7)</f>
        <v>5396350.1980272476</v>
      </c>
      <c r="J3" s="34">
        <f t="shared" ref="J3:Q3" si="0">SUMIF($A$5:$A$7,$A$3,J$5:J$7)</f>
        <v>5437205.3761997484</v>
      </c>
      <c r="K3" s="34">
        <f t="shared" si="0"/>
        <v>5429474.104653893</v>
      </c>
      <c r="L3" s="34">
        <f t="shared" si="0"/>
        <v>5396532.8107977593</v>
      </c>
      <c r="M3" s="34">
        <f t="shared" si="0"/>
        <v>5387125.2790909372</v>
      </c>
      <c r="N3" s="34">
        <f t="shared" si="0"/>
        <v>5388064.7513005529</v>
      </c>
      <c r="O3" s="34">
        <f t="shared" si="0"/>
        <v>5407973.6418243386</v>
      </c>
      <c r="P3" s="34">
        <f t="shared" si="0"/>
        <v>5438406.527506954</v>
      </c>
      <c r="Q3" s="34">
        <f t="shared" si="0"/>
        <v>5467998.0350961694</v>
      </c>
      <c r="R3" s="645">
        <f>SUMIF($A$5:$A$7,$A$3,R$5:R$7)</f>
        <v>5508262.0327288657</v>
      </c>
      <c r="S3" s="34">
        <f>SUMIF($A$5:$A$7,$A$3,S$5:S$7)</f>
        <v>5786458.8084058743</v>
      </c>
      <c r="T3" s="34">
        <f t="shared" ref="T3:X3" si="1">SUMIF($A$5:$A$6,$A$3,T$5:T$6)</f>
        <v>0</v>
      </c>
      <c r="U3" s="34">
        <f t="shared" si="1"/>
        <v>0</v>
      </c>
      <c r="V3" s="34">
        <f t="shared" si="1"/>
        <v>0</v>
      </c>
      <c r="W3" s="34">
        <f t="shared" si="1"/>
        <v>0</v>
      </c>
      <c r="X3" s="34">
        <f t="shared" si="1"/>
        <v>0</v>
      </c>
      <c r="Y3" s="9"/>
      <c r="Z3" s="9"/>
      <c r="AA3" s="9"/>
      <c r="AB3" s="9"/>
      <c r="AC3" s="9"/>
      <c r="AD3" s="9"/>
      <c r="AE3" s="9"/>
      <c r="AF3" s="9"/>
      <c r="AG3" s="9"/>
      <c r="AH3" s="9"/>
      <c r="AO3"/>
      <c r="AP3"/>
      <c r="AQ3"/>
      <c r="AR3"/>
      <c r="AS3"/>
      <c r="AT3"/>
      <c r="AU3"/>
      <c r="AV3"/>
      <c r="AW3"/>
      <c r="AX3"/>
      <c r="AY3"/>
      <c r="AZ3"/>
    </row>
    <row r="4" spans="1:52" s="8" customFormat="1" x14ac:dyDescent="0.3">
      <c r="D4" s="461"/>
      <c r="E4" s="461"/>
      <c r="F4" s="461"/>
      <c r="G4" s="461"/>
      <c r="H4" s="644"/>
      <c r="I4" s="9"/>
      <c r="J4" s="9"/>
      <c r="K4" s="9"/>
      <c r="L4" s="9"/>
      <c r="M4" s="9"/>
      <c r="N4" s="9"/>
      <c r="O4" s="9"/>
      <c r="P4" s="9"/>
      <c r="Q4" s="9"/>
      <c r="R4" s="644"/>
      <c r="S4" s="9"/>
      <c r="T4" s="9"/>
      <c r="U4" s="9"/>
      <c r="V4" s="9"/>
      <c r="W4" s="9"/>
      <c r="X4" s="9"/>
      <c r="Y4" s="9"/>
      <c r="Z4" s="9"/>
      <c r="AA4" s="9"/>
      <c r="AB4" s="9"/>
      <c r="AC4" s="9"/>
      <c r="AD4" s="9"/>
      <c r="AE4" s="9"/>
      <c r="AF4" s="9"/>
      <c r="AG4" s="9"/>
      <c r="AH4" s="9"/>
      <c r="AO4"/>
      <c r="AP4"/>
      <c r="AQ4"/>
      <c r="AR4"/>
      <c r="AS4"/>
      <c r="AT4"/>
      <c r="AU4"/>
      <c r="AV4"/>
      <c r="AW4"/>
      <c r="AX4"/>
      <c r="AY4"/>
      <c r="AZ4"/>
    </row>
    <row r="5" spans="1:52" s="8" customFormat="1" x14ac:dyDescent="0.3">
      <c r="A5" t="s">
        <v>20</v>
      </c>
      <c r="B5" t="s">
        <v>152</v>
      </c>
      <c r="D5" s="461"/>
      <c r="E5" s="461"/>
      <c r="F5" s="461"/>
      <c r="G5" s="461"/>
      <c r="H5" s="646">
        <f>H12</f>
        <v>5382463.5149999997</v>
      </c>
      <c r="I5" s="197">
        <f>I12</f>
        <v>5396107.3391925404</v>
      </c>
      <c r="J5" s="197">
        <f>J12</f>
        <v>5444049.6353459256</v>
      </c>
      <c r="K5" s="197">
        <f t="shared" ref="K5:X5" si="2">K12</f>
        <v>5444176.19089635</v>
      </c>
      <c r="L5" s="197">
        <f t="shared" si="2"/>
        <v>5420015.2987993369</v>
      </c>
      <c r="M5" s="197">
        <f t="shared" si="2"/>
        <v>5419681.0107308971</v>
      </c>
      <c r="N5" s="197">
        <f t="shared" si="2"/>
        <v>5418597.744277088</v>
      </c>
      <c r="O5" s="197">
        <f t="shared" si="2"/>
        <v>5440522.5324030193</v>
      </c>
      <c r="P5" s="197">
        <f t="shared" si="2"/>
        <v>5472878.4803031404</v>
      </c>
      <c r="Q5" s="197">
        <f t="shared" si="2"/>
        <v>5512057.3227288136</v>
      </c>
      <c r="R5" s="646">
        <f t="shared" si="2"/>
        <v>5555419.7366873194</v>
      </c>
      <c r="S5" s="197">
        <f t="shared" si="2"/>
        <v>5408210.5242874119</v>
      </c>
      <c r="T5" s="197">
        <f t="shared" si="2"/>
        <v>5395998.3442873461</v>
      </c>
      <c r="U5" s="197">
        <f t="shared" si="2"/>
        <v>5389735.4342873953</v>
      </c>
      <c r="V5" s="197">
        <f t="shared" si="2"/>
        <v>5387705.4942873288</v>
      </c>
      <c r="W5" s="197">
        <f t="shared" si="2"/>
        <v>5397905.8642873764</v>
      </c>
      <c r="X5" s="197">
        <f t="shared" si="2"/>
        <v>5393784.7842873419</v>
      </c>
      <c r="Y5" s="9"/>
      <c r="Z5" s="9"/>
      <c r="AA5" s="9"/>
      <c r="AB5" s="9"/>
      <c r="AC5" s="9"/>
      <c r="AD5" s="9"/>
      <c r="AE5" s="9"/>
      <c r="AF5" s="9"/>
      <c r="AG5" s="9"/>
      <c r="AH5" s="9"/>
      <c r="AO5"/>
      <c r="AP5"/>
      <c r="AQ5"/>
      <c r="AR5"/>
      <c r="AS5"/>
      <c r="AT5"/>
      <c r="AU5"/>
      <c r="AV5"/>
      <c r="AW5"/>
      <c r="AX5"/>
      <c r="AY5"/>
      <c r="AZ5"/>
    </row>
    <row r="6" spans="1:52" s="8" customFormat="1" x14ac:dyDescent="0.3">
      <c r="A6" t="s">
        <v>153</v>
      </c>
      <c r="B6" t="s">
        <v>154</v>
      </c>
      <c r="D6" s="461"/>
      <c r="E6" s="461"/>
      <c r="F6" s="461"/>
      <c r="G6" s="526">
        <f>5300757</f>
        <v>5300757</v>
      </c>
      <c r="H6" s="647">
        <f>H38</f>
        <v>5382463.5149999997</v>
      </c>
      <c r="I6" s="515">
        <f t="shared" ref="I6:X6" si="3">I38</f>
        <v>5396350.1980272476</v>
      </c>
      <c r="J6" s="515">
        <f t="shared" si="3"/>
        <v>5437205.3761997484</v>
      </c>
      <c r="K6" s="515">
        <f t="shared" si="3"/>
        <v>5429474.104653893</v>
      </c>
      <c r="L6" s="515">
        <f t="shared" si="3"/>
        <v>5396532.8107977593</v>
      </c>
      <c r="M6" s="515">
        <f t="shared" si="3"/>
        <v>5387125.2790909372</v>
      </c>
      <c r="N6" s="515">
        <f t="shared" si="3"/>
        <v>5388064.7513005529</v>
      </c>
      <c r="O6" s="515">
        <f t="shared" si="3"/>
        <v>5407973.6418243386</v>
      </c>
      <c r="P6" s="515">
        <f t="shared" si="3"/>
        <v>5438406.527506954</v>
      </c>
      <c r="Q6" s="515">
        <f t="shared" si="3"/>
        <v>5467998.0350961694</v>
      </c>
      <c r="R6" s="647">
        <f t="shared" si="3"/>
        <v>5508262.0327288657</v>
      </c>
      <c r="S6" s="515">
        <f t="shared" si="3"/>
        <v>5786458.8084058743</v>
      </c>
      <c r="T6" s="515">
        <f t="shared" si="3"/>
        <v>0</v>
      </c>
      <c r="U6" s="515">
        <f t="shared" si="3"/>
        <v>0</v>
      </c>
      <c r="V6" s="515">
        <f t="shared" si="3"/>
        <v>0</v>
      </c>
      <c r="W6" s="515">
        <f t="shared" si="3"/>
        <v>0</v>
      </c>
      <c r="X6" s="515">
        <f t="shared" si="3"/>
        <v>0</v>
      </c>
      <c r="Y6" s="9"/>
      <c r="Z6" s="9"/>
      <c r="AA6" s="9"/>
      <c r="AB6" s="9"/>
      <c r="AC6" s="9"/>
      <c r="AD6" s="9"/>
      <c r="AE6" s="9"/>
      <c r="AF6" s="9"/>
      <c r="AG6" s="9"/>
      <c r="AH6" s="9"/>
      <c r="AO6"/>
      <c r="AP6"/>
      <c r="AQ6"/>
      <c r="AR6"/>
      <c r="AS6"/>
      <c r="AT6"/>
      <c r="AU6"/>
      <c r="AV6"/>
      <c r="AW6"/>
      <c r="AX6"/>
      <c r="AY6"/>
      <c r="AZ6"/>
    </row>
    <row r="7" spans="1:52" s="8" customFormat="1" x14ac:dyDescent="0.3">
      <c r="A7" s="22" t="s">
        <v>12</v>
      </c>
      <c r="B7" s="22" t="s">
        <v>155</v>
      </c>
      <c r="D7" s="461"/>
      <c r="E7" s="461"/>
      <c r="F7" s="461"/>
      <c r="G7" s="814">
        <f>5300757</f>
        <v>5300757</v>
      </c>
      <c r="H7" s="815">
        <f>H10</f>
        <v>5382463.5149999997</v>
      </c>
      <c r="I7" s="816">
        <f>H7+($M$7-$H$7)/5</f>
        <v>5434503.0838511372</v>
      </c>
      <c r="J7" s="816">
        <f>I7+($M$7-$H$7)/5</f>
        <v>5486542.6527022747</v>
      </c>
      <c r="K7" s="816">
        <f>J7+($M$7-$H$7)/5</f>
        <v>5538582.2215534123</v>
      </c>
      <c r="L7" s="816">
        <f>K7+($M$7-$H$7)/5</f>
        <v>5590621.7904045498</v>
      </c>
      <c r="M7" s="816">
        <f>M53</f>
        <v>5642661.3592556855</v>
      </c>
      <c r="N7" s="816">
        <f>IF(N6&gt;N53,N6,N53)</f>
        <v>5848476.8170962678</v>
      </c>
      <c r="O7" s="816">
        <f t="shared" ref="O7:R7" si="4">IF(O6&gt;O53,O6,O53)</f>
        <v>6108486.4870106773</v>
      </c>
      <c r="P7" s="816">
        <f t="shared" si="4"/>
        <v>6408081.5587000931</v>
      </c>
      <c r="Q7" s="816">
        <f t="shared" si="4"/>
        <v>6691889.6040745676</v>
      </c>
      <c r="R7" s="815">
        <f t="shared" si="4"/>
        <v>7009154.0749886073</v>
      </c>
      <c r="S7" s="816">
        <f>S53</f>
        <v>7601461.7987557165</v>
      </c>
      <c r="T7" s="816"/>
      <c r="U7" s="816"/>
      <c r="V7" s="816"/>
      <c r="W7" s="816"/>
      <c r="X7" s="816"/>
      <c r="Y7" s="9"/>
      <c r="Z7" s="9"/>
      <c r="AA7" s="9"/>
      <c r="AB7" s="9"/>
      <c r="AC7" s="9"/>
      <c r="AD7" s="9"/>
      <c r="AE7" s="9"/>
      <c r="AF7" s="9"/>
      <c r="AG7" s="9"/>
      <c r="AH7" s="9"/>
      <c r="AO7" s="22"/>
      <c r="AP7" s="22"/>
      <c r="AQ7" s="22"/>
      <c r="AR7" s="22"/>
      <c r="AS7" s="22"/>
      <c r="AT7" s="22"/>
      <c r="AU7" s="22"/>
      <c r="AV7" s="22"/>
      <c r="AW7" s="22"/>
      <c r="AX7" s="22"/>
      <c r="AY7" s="22"/>
      <c r="AZ7" s="22"/>
    </row>
    <row r="8" spans="1:52" s="8" customFormat="1" x14ac:dyDescent="0.3">
      <c r="D8" s="461"/>
      <c r="E8" s="461"/>
      <c r="F8" s="849"/>
      <c r="G8" s="461"/>
      <c r="H8" s="648"/>
      <c r="I8" s="7"/>
      <c r="J8" s="7"/>
      <c r="K8" s="7"/>
      <c r="L8" s="7"/>
      <c r="M8" s="7"/>
      <c r="N8" s="7"/>
      <c r="O8" s="7"/>
      <c r="P8" s="7"/>
      <c r="Q8" s="7"/>
      <c r="R8" s="860"/>
      <c r="S8" s="9"/>
      <c r="T8" s="9"/>
      <c r="U8" s="9"/>
      <c r="V8" s="9"/>
      <c r="W8" s="9"/>
      <c r="X8" s="9"/>
      <c r="Y8" s="9"/>
      <c r="Z8" s="9"/>
      <c r="AA8" s="9"/>
      <c r="AB8" s="9"/>
      <c r="AC8" s="9"/>
      <c r="AD8" s="9"/>
      <c r="AE8" s="9"/>
      <c r="AF8" s="9"/>
      <c r="AG8" s="9"/>
      <c r="AH8" s="9"/>
      <c r="AO8"/>
      <c r="AP8"/>
      <c r="AQ8"/>
      <c r="AR8"/>
      <c r="AS8"/>
      <c r="AT8"/>
      <c r="AU8"/>
      <c r="AV8"/>
      <c r="AW8"/>
      <c r="AX8"/>
      <c r="AY8"/>
      <c r="AZ8"/>
    </row>
    <row r="9" spans="1:52" s="8" customFormat="1" x14ac:dyDescent="0.3">
      <c r="A9" s="8" t="s">
        <v>156</v>
      </c>
      <c r="D9" s="461"/>
      <c r="E9" s="461"/>
      <c r="F9" s="461"/>
      <c r="G9" s="461"/>
      <c r="H9" s="847"/>
      <c r="I9" s="9"/>
      <c r="J9" s="9"/>
      <c r="K9" s="9"/>
      <c r="L9" s="9"/>
      <c r="M9" s="894"/>
      <c r="N9" s="9"/>
      <c r="O9" s="9"/>
      <c r="P9" s="9"/>
      <c r="Q9" s="9"/>
      <c r="R9" s="644"/>
      <c r="S9" s="9"/>
      <c r="T9" s="9"/>
      <c r="U9" s="9"/>
      <c r="V9" s="9"/>
      <c r="W9" s="9"/>
      <c r="X9" s="9"/>
      <c r="Y9" s="9"/>
      <c r="Z9" s="9"/>
      <c r="AA9" s="9"/>
      <c r="AB9" s="9"/>
      <c r="AC9" s="9"/>
      <c r="AD9" s="9"/>
      <c r="AE9" s="9"/>
      <c r="AF9" s="9"/>
      <c r="AG9" s="9"/>
      <c r="AH9" s="9"/>
      <c r="AO9"/>
      <c r="AP9"/>
      <c r="AQ9"/>
      <c r="AR9"/>
      <c r="AS9"/>
      <c r="AT9"/>
      <c r="AU9"/>
      <c r="AV9"/>
      <c r="AW9"/>
      <c r="AX9"/>
      <c r="AY9"/>
      <c r="AZ9"/>
    </row>
    <row r="10" spans="1:52" s="8" customFormat="1" x14ac:dyDescent="0.3">
      <c r="A10" t="s">
        <v>157</v>
      </c>
      <c r="B10" t="s">
        <v>158</v>
      </c>
      <c r="C10" t="s">
        <v>122</v>
      </c>
      <c r="D10" s="467">
        <v>5415649.5630000001</v>
      </c>
      <c r="E10" s="468">
        <v>5525385.8839999996</v>
      </c>
      <c r="F10" s="468">
        <v>5405687</v>
      </c>
      <c r="G10" s="468">
        <v>5300757</v>
      </c>
      <c r="H10" s="756">
        <f>5382463515/1000</f>
        <v>5382463.5149999997</v>
      </c>
      <c r="I10" s="34">
        <f>I14-I19</f>
        <v>5442053.9042873001</v>
      </c>
      <c r="J10" s="34">
        <f>J14-J19</f>
        <v>5495145.3542873496</v>
      </c>
      <c r="K10" s="34">
        <f>K14-K19</f>
        <v>5499007.4642873146</v>
      </c>
      <c r="L10" s="34">
        <f>L14-L19</f>
        <v>5462405.5842873417</v>
      </c>
      <c r="M10" s="34">
        <f t="shared" ref="M10:X10" si="5">M14-M19</f>
        <v>5437542.7942873351</v>
      </c>
      <c r="N10" s="34">
        <f t="shared" si="5"/>
        <v>5414638.7642873479</v>
      </c>
      <c r="O10" s="34">
        <f t="shared" si="5"/>
        <v>5409679.6842873208</v>
      </c>
      <c r="P10" s="34">
        <f t="shared" si="5"/>
        <v>5408054.1142873885</v>
      </c>
      <c r="Q10" s="34">
        <f t="shared" si="5"/>
        <v>5406911.5042873118</v>
      </c>
      <c r="R10" s="645">
        <f t="shared" si="5"/>
        <v>5404342.6142873634</v>
      </c>
      <c r="S10" s="34">
        <f t="shared" si="5"/>
        <v>5408210.5242874119</v>
      </c>
      <c r="T10" s="34">
        <f t="shared" si="5"/>
        <v>5395998.3442873461</v>
      </c>
      <c r="U10" s="34">
        <f t="shared" si="5"/>
        <v>5389735.4342873953</v>
      </c>
      <c r="V10" s="34">
        <f t="shared" si="5"/>
        <v>5387705.4942873288</v>
      </c>
      <c r="W10" s="34">
        <f t="shared" si="5"/>
        <v>5397905.8642873764</v>
      </c>
      <c r="X10" s="34">
        <f t="shared" si="5"/>
        <v>5393784.7842873419</v>
      </c>
      <c r="Y10" s="34"/>
      <c r="Z10" s="45"/>
      <c r="AA10" s="34"/>
      <c r="AB10" s="34"/>
      <c r="AC10" s="9"/>
      <c r="AD10" s="9"/>
      <c r="AE10" s="9"/>
      <c r="AF10" s="9"/>
      <c r="AG10" s="9"/>
      <c r="AH10" s="9"/>
      <c r="AO10"/>
      <c r="AP10"/>
      <c r="AQ10"/>
      <c r="AR10"/>
      <c r="AS10"/>
      <c r="AT10"/>
      <c r="AU10"/>
      <c r="AV10"/>
      <c r="AW10"/>
      <c r="AX10"/>
      <c r="AY10"/>
      <c r="AZ10"/>
    </row>
    <row r="11" spans="1:52" s="8" customFormat="1" x14ac:dyDescent="0.3">
      <c r="A11" s="6" t="s">
        <v>159</v>
      </c>
      <c r="B11" t="s">
        <v>158</v>
      </c>
      <c r="C11" t="s">
        <v>122</v>
      </c>
      <c r="D11" s="467">
        <f>D10</f>
        <v>5415649.5630000001</v>
      </c>
      <c r="E11" s="467">
        <f>E10</f>
        <v>5525385.8839999996</v>
      </c>
      <c r="F11" s="467">
        <f>F10</f>
        <v>5405687</v>
      </c>
      <c r="G11" s="469">
        <f>G10</f>
        <v>5300757</v>
      </c>
      <c r="H11" s="649">
        <f>H10</f>
        <v>5382463.5149999997</v>
      </c>
      <c r="I11" s="11">
        <f>I10-I26</f>
        <v>5321067.313310788</v>
      </c>
      <c r="J11" s="11">
        <f t="shared" ref="J11:X11" si="6">J10-J26</f>
        <v>5344365.8259161171</v>
      </c>
      <c r="K11" s="11">
        <f t="shared" si="6"/>
        <v>5317149.3347363304</v>
      </c>
      <c r="L11" s="11">
        <f t="shared" si="6"/>
        <v>5263093.5742633343</v>
      </c>
      <c r="M11" s="11">
        <f t="shared" si="6"/>
        <v>5230203.5545549346</v>
      </c>
      <c r="N11" s="11">
        <f t="shared" si="6"/>
        <v>5198587.2951245904</v>
      </c>
      <c r="O11" s="11">
        <f t="shared" si="6"/>
        <v>5187963.192671841</v>
      </c>
      <c r="P11" s="11">
        <f t="shared" si="6"/>
        <v>5185847.1877757758</v>
      </c>
      <c r="Q11" s="11">
        <f t="shared" si="6"/>
        <v>5180966.7425688049</v>
      </c>
      <c r="R11" s="649">
        <f t="shared" si="6"/>
        <v>5177171.452568857</v>
      </c>
      <c r="S11" s="883">
        <f t="shared" si="6"/>
        <v>5408210.5242874119</v>
      </c>
      <c r="T11" s="883">
        <f t="shared" si="6"/>
        <v>5395998.3442873461</v>
      </c>
      <c r="U11" s="11">
        <f t="shared" si="6"/>
        <v>5389735.4342873953</v>
      </c>
      <c r="V11" s="11">
        <f t="shared" si="6"/>
        <v>5387705.4942873288</v>
      </c>
      <c r="W11" s="11">
        <f t="shared" si="6"/>
        <v>5397905.8642873764</v>
      </c>
      <c r="X11" s="11">
        <f t="shared" si="6"/>
        <v>5393784.7842873419</v>
      </c>
      <c r="Y11" s="9"/>
      <c r="Z11" s="45"/>
      <c r="AA11" s="9"/>
      <c r="AB11" s="9"/>
      <c r="AC11" s="9"/>
      <c r="AD11" s="9"/>
      <c r="AE11" s="9"/>
      <c r="AF11" s="9"/>
      <c r="AG11" s="9"/>
      <c r="AH11" s="9"/>
    </row>
    <row r="12" spans="1:52" x14ac:dyDescent="0.3">
      <c r="A12" s="6" t="s">
        <v>160</v>
      </c>
      <c r="B12" t="s">
        <v>158</v>
      </c>
      <c r="C12" t="s">
        <v>122</v>
      </c>
      <c r="D12" s="467">
        <f>D10</f>
        <v>5415649.5630000001</v>
      </c>
      <c r="E12" s="467">
        <f>E10</f>
        <v>5525385.8839999996</v>
      </c>
      <c r="F12" s="467">
        <f>F10</f>
        <v>5405687</v>
      </c>
      <c r="G12" s="469">
        <f>G11</f>
        <v>5300757</v>
      </c>
      <c r="H12" s="649">
        <f>H11</f>
        <v>5382463.5149999997</v>
      </c>
      <c r="I12" s="11">
        <f>I11+I33</f>
        <v>5396107.3391925404</v>
      </c>
      <c r="J12" s="11">
        <f t="shared" ref="J12:X12" si="7">J11+J33</f>
        <v>5444049.6353459256</v>
      </c>
      <c r="K12" s="11">
        <f t="shared" si="7"/>
        <v>5444176.19089635</v>
      </c>
      <c r="L12" s="11">
        <f t="shared" si="7"/>
        <v>5420015.2987993369</v>
      </c>
      <c r="M12" s="11">
        <f>M11+M33</f>
        <v>5419681.0107308971</v>
      </c>
      <c r="N12" s="11">
        <f t="shared" si="7"/>
        <v>5418597.744277088</v>
      </c>
      <c r="O12" s="11">
        <f t="shared" si="7"/>
        <v>5440522.5324030193</v>
      </c>
      <c r="P12" s="11">
        <f t="shared" si="7"/>
        <v>5472878.4803031404</v>
      </c>
      <c r="Q12" s="11">
        <f t="shared" si="7"/>
        <v>5512057.3227288136</v>
      </c>
      <c r="R12" s="649">
        <f t="shared" si="7"/>
        <v>5555419.7366873194</v>
      </c>
      <c r="S12" s="883">
        <f t="shared" si="7"/>
        <v>5408210.5242874119</v>
      </c>
      <c r="T12" s="883">
        <f t="shared" si="7"/>
        <v>5395998.3442873461</v>
      </c>
      <c r="U12" s="11">
        <f t="shared" si="7"/>
        <v>5389735.4342873953</v>
      </c>
      <c r="V12" s="11">
        <f t="shared" si="7"/>
        <v>5387705.4942873288</v>
      </c>
      <c r="W12" s="11">
        <f t="shared" si="7"/>
        <v>5397905.8642873764</v>
      </c>
      <c r="X12" s="11">
        <f t="shared" si="7"/>
        <v>5393784.7842873419</v>
      </c>
      <c r="Y12" s="37"/>
      <c r="Z12" s="45"/>
      <c r="AA12" s="37"/>
      <c r="AB12" s="37"/>
    </row>
    <row r="13" spans="1:52" s="8" customFormat="1" x14ac:dyDescent="0.3">
      <c r="D13" s="9"/>
      <c r="E13" s="9"/>
      <c r="F13" s="9"/>
      <c r="G13" s="9"/>
      <c r="H13" s="650"/>
      <c r="I13" s="1"/>
      <c r="J13" s="1"/>
      <c r="K13" s="1"/>
      <c r="L13" s="1"/>
      <c r="M13" s="1"/>
      <c r="N13" s="1"/>
      <c r="O13" s="1"/>
      <c r="P13" s="1"/>
      <c r="Q13" s="1"/>
      <c r="R13" s="644"/>
      <c r="S13" s="9"/>
      <c r="T13" s="9"/>
      <c r="U13" s="9"/>
      <c r="V13" s="9"/>
      <c r="W13" s="9"/>
      <c r="X13" s="9"/>
      <c r="Y13" s="9"/>
      <c r="Z13" s="9"/>
      <c r="AA13" s="9"/>
      <c r="AB13" s="9"/>
      <c r="AC13" s="9"/>
      <c r="AD13" s="9"/>
      <c r="AE13" s="9"/>
      <c r="AF13" s="9"/>
      <c r="AG13" s="9"/>
      <c r="AH13" s="9"/>
    </row>
    <row r="14" spans="1:52" x14ac:dyDescent="0.3">
      <c r="A14" s="1038" t="s">
        <v>161</v>
      </c>
      <c r="B14" s="39" t="s">
        <v>107</v>
      </c>
      <c r="C14" s="39" t="s">
        <v>122</v>
      </c>
      <c r="D14" s="397">
        <v>5976193.1500000004</v>
      </c>
      <c r="E14" s="397">
        <v>5972607.8632886168</v>
      </c>
      <c r="F14" s="397">
        <v>5953168.8902054187</v>
      </c>
      <c r="G14" s="470">
        <v>5815226.4542873511</v>
      </c>
      <c r="H14" s="651">
        <v>5738187.5942873703</v>
      </c>
      <c r="I14" s="40">
        <v>5811160.9042873001</v>
      </c>
      <c r="J14" s="40">
        <v>5864252.3542873496</v>
      </c>
      <c r="K14" s="40">
        <v>5868114.4642873146</v>
      </c>
      <c r="L14" s="40">
        <v>5831512.5842873417</v>
      </c>
      <c r="M14" s="40">
        <v>5806649.7942873351</v>
      </c>
      <c r="N14" s="40">
        <v>5783745.7642873479</v>
      </c>
      <c r="O14" s="40">
        <v>5778786.6842873208</v>
      </c>
      <c r="P14" s="40">
        <v>5777161.1142873885</v>
      </c>
      <c r="Q14" s="40">
        <v>5776018.5042873118</v>
      </c>
      <c r="R14" s="651">
        <v>5773449.6142873634</v>
      </c>
      <c r="S14" s="40">
        <v>5777317.5242874119</v>
      </c>
      <c r="T14" s="40">
        <v>5765105.3442873461</v>
      </c>
      <c r="U14" s="40">
        <v>5758842.4342873953</v>
      </c>
      <c r="V14" s="40">
        <v>5756812.4942873288</v>
      </c>
      <c r="W14" s="40">
        <v>5767012.8642873764</v>
      </c>
      <c r="X14" s="40">
        <v>5762891.7842873419</v>
      </c>
      <c r="Y14" s="5">
        <v>5761691.1242873538</v>
      </c>
      <c r="Z14" s="859">
        <v>5760925.5442873603</v>
      </c>
      <c r="AA14" s="5">
        <v>5761493.6942873765</v>
      </c>
      <c r="AB14" s="5"/>
      <c r="AC14" s="5"/>
      <c r="AD14" s="5"/>
      <c r="AE14" s="5"/>
      <c r="AF14" s="5"/>
      <c r="AG14" s="5"/>
      <c r="AH14" s="5"/>
    </row>
    <row r="15" spans="1:52" x14ac:dyDescent="0.3">
      <c r="A15" s="1038"/>
      <c r="B15" s="41" t="s">
        <v>162</v>
      </c>
      <c r="C15" s="39" t="s">
        <v>122</v>
      </c>
      <c r="D15" s="397">
        <v>5940924.7199999997</v>
      </c>
      <c r="E15" s="397">
        <v>5882356.82277558</v>
      </c>
      <c r="F15" s="397">
        <v>5813373.7206808273</v>
      </c>
      <c r="G15" s="470">
        <v>5370845.6677640732</v>
      </c>
      <c r="H15" s="651">
        <v>5257160.7678961437</v>
      </c>
      <c r="I15" s="40">
        <v>5276702.1778863566</v>
      </c>
      <c r="J15" s="40">
        <v>5296808.5900565404</v>
      </c>
      <c r="K15" s="40">
        <v>5266262.2487503532</v>
      </c>
      <c r="L15" s="40">
        <v>5210336.4296552464</v>
      </c>
      <c r="M15" s="40">
        <v>5176586.3496209476</v>
      </c>
      <c r="N15" s="40">
        <v>5144036.6370373508</v>
      </c>
      <c r="O15" s="40">
        <v>5132805.5678932387</v>
      </c>
      <c r="P15" s="40">
        <v>5130637.0164011596</v>
      </c>
      <c r="Q15" s="40">
        <v>5125356.0888505923</v>
      </c>
      <c r="R15" s="651">
        <v>5117552.6513266498</v>
      </c>
      <c r="S15" s="40">
        <v>5114022.2380510913</v>
      </c>
      <c r="T15" s="40">
        <v>5101106.2203936903</v>
      </c>
      <c r="U15" s="40">
        <v>5092342.4942695405</v>
      </c>
      <c r="V15" s="40">
        <v>5089295.8430404626</v>
      </c>
      <c r="W15" s="40">
        <v>5096232.2780321399</v>
      </c>
      <c r="X15" s="40">
        <v>5092216.0391221978</v>
      </c>
      <c r="Y15" s="5">
        <v>5089021.0669800779</v>
      </c>
      <c r="Z15" s="859">
        <v>5087458.1096069487</v>
      </c>
      <c r="AA15" s="5">
        <v>5085272.9106663307</v>
      </c>
      <c r="AB15" s="5"/>
      <c r="AC15" s="5"/>
      <c r="AD15" s="5"/>
      <c r="AE15" s="5"/>
      <c r="AF15" s="5"/>
      <c r="AG15" s="5"/>
      <c r="AH15" s="5"/>
    </row>
    <row r="16" spans="1:52" x14ac:dyDescent="0.3">
      <c r="A16" s="1038"/>
      <c r="B16" s="41" t="s">
        <v>163</v>
      </c>
      <c r="C16" s="39" t="s">
        <v>122</v>
      </c>
      <c r="D16" s="397">
        <v>5940924.7199999997</v>
      </c>
      <c r="E16" s="397">
        <v>5890040.6327797519</v>
      </c>
      <c r="F16" s="397">
        <v>5828665.9950619834</v>
      </c>
      <c r="G16" s="470">
        <v>5380964.7042828491</v>
      </c>
      <c r="H16" s="651">
        <v>5278067.2726985402</v>
      </c>
      <c r="I16" s="40">
        <v>5309743.3389493879</v>
      </c>
      <c r="J16" s="40">
        <v>5343080.8252714491</v>
      </c>
      <c r="K16" s="40">
        <v>5326845.9137685085</v>
      </c>
      <c r="L16" s="40">
        <v>5286283.3393780515</v>
      </c>
      <c r="M16" s="40">
        <v>5268974.6338443439</v>
      </c>
      <c r="N16" s="40">
        <v>5254050.4809139147</v>
      </c>
      <c r="O16" s="40">
        <v>5261601.1357494593</v>
      </c>
      <c r="P16" s="40">
        <v>5279393.7776915329</v>
      </c>
      <c r="Q16" s="40">
        <v>5293108.7048963839</v>
      </c>
      <c r="R16" s="651">
        <v>5301634.7733481592</v>
      </c>
      <c r="S16" s="40">
        <v>5313660.5356075261</v>
      </c>
      <c r="T16" s="40">
        <v>5315398.3372971341</v>
      </c>
      <c r="U16" s="40">
        <v>5321429.8067940846</v>
      </c>
      <c r="V16" s="40">
        <v>5333202.4995496152</v>
      </c>
      <c r="W16" s="40">
        <v>5355212.757674681</v>
      </c>
      <c r="X16" s="40">
        <v>5366360.9062399212</v>
      </c>
      <c r="Y16" s="5">
        <v>5378385.6933245286</v>
      </c>
      <c r="Z16" s="859">
        <v>5392078.2540439563</v>
      </c>
      <c r="AA16" s="5">
        <v>5405186.3235591529</v>
      </c>
      <c r="AB16" s="5"/>
      <c r="AC16" s="5"/>
      <c r="AD16" s="5"/>
      <c r="AE16" s="5"/>
      <c r="AF16" s="5"/>
      <c r="AG16" s="5"/>
      <c r="AH16" s="5"/>
    </row>
    <row r="17" spans="1:34" x14ac:dyDescent="0.3">
      <c r="A17" s="1038"/>
      <c r="B17" s="41" t="s">
        <v>164</v>
      </c>
      <c r="C17" s="39" t="s">
        <v>122</v>
      </c>
      <c r="D17" s="397">
        <v>5942187.9100000001</v>
      </c>
      <c r="E17" s="397">
        <v>5893235.5115772989</v>
      </c>
      <c r="F17" s="397">
        <v>5834094.2036533561</v>
      </c>
      <c r="G17" s="470">
        <v>5384999.2429059735</v>
      </c>
      <c r="H17" s="651">
        <v>5287507.2710010512</v>
      </c>
      <c r="I17" s="40">
        <v>5326361.8949007057</v>
      </c>
      <c r="J17" s="40">
        <v>5369195.8465937106</v>
      </c>
      <c r="K17" s="40">
        <v>5365461.7338184668</v>
      </c>
      <c r="L17" s="40">
        <v>5341250.2823567828</v>
      </c>
      <c r="M17" s="40">
        <v>5345153.8362545697</v>
      </c>
      <c r="N17" s="40">
        <v>5357457.7634038441</v>
      </c>
      <c r="O17" s="40">
        <v>5399484.1513423175</v>
      </c>
      <c r="P17" s="40">
        <v>5460172.701049353</v>
      </c>
      <c r="Q17" s="40">
        <v>5526089.6915295823</v>
      </c>
      <c r="R17" s="651">
        <v>5596403.9244757099</v>
      </c>
      <c r="S17" s="40">
        <v>5679110.2961091185</v>
      </c>
      <c r="T17" s="40">
        <v>5758452.5678000422</v>
      </c>
      <c r="U17" s="40">
        <v>5845711.1712789703</v>
      </c>
      <c r="V17" s="40">
        <v>5938051.1276020398</v>
      </c>
      <c r="W17" s="40">
        <v>6035480.094374761</v>
      </c>
      <c r="X17" s="40">
        <v>6113166.0442808047</v>
      </c>
      <c r="Y17" s="5">
        <v>6180614.3615750056</v>
      </c>
      <c r="Z17" s="859">
        <v>6238091.8051933236</v>
      </c>
      <c r="AA17" s="5">
        <v>6284207.3844873756</v>
      </c>
      <c r="AB17" s="5"/>
      <c r="AC17" s="5"/>
      <c r="AD17" s="5"/>
      <c r="AE17" s="5"/>
      <c r="AF17" s="5"/>
      <c r="AG17" s="5"/>
      <c r="AH17" s="5"/>
    </row>
    <row r="18" spans="1:34" x14ac:dyDescent="0.3">
      <c r="A18" s="1038"/>
      <c r="B18" s="39"/>
      <c r="C18" s="39"/>
      <c r="D18" s="39"/>
      <c r="E18" s="39"/>
      <c r="F18" s="39"/>
      <c r="G18" s="39"/>
      <c r="H18" s="652"/>
      <c r="I18" s="39"/>
      <c r="J18" s="39"/>
      <c r="K18" s="39"/>
      <c r="L18" s="39"/>
      <c r="M18" s="39"/>
      <c r="N18" s="39"/>
      <c r="O18" s="39"/>
      <c r="P18" s="39"/>
      <c r="Q18" s="39"/>
      <c r="R18" s="652"/>
      <c r="S18" s="39"/>
      <c r="T18" s="39"/>
      <c r="U18" s="39"/>
      <c r="V18" s="39"/>
      <c r="W18" s="39"/>
      <c r="X18" s="39"/>
      <c r="Y18" s="7"/>
      <c r="Z18" s="7"/>
      <c r="AA18" s="7"/>
      <c r="AB18" s="7"/>
      <c r="AC18" s="7"/>
      <c r="AD18" s="7"/>
    </row>
    <row r="19" spans="1:34" s="10" customFormat="1" x14ac:dyDescent="0.3">
      <c r="A19" s="1038"/>
      <c r="B19" s="398" t="s">
        <v>165</v>
      </c>
      <c r="C19" s="398"/>
      <c r="D19" s="480">
        <v>369107</v>
      </c>
      <c r="E19" s="480">
        <v>369107</v>
      </c>
      <c r="F19" s="480">
        <v>369107</v>
      </c>
      <c r="G19" s="480">
        <v>369107</v>
      </c>
      <c r="H19" s="653">
        <v>369107</v>
      </c>
      <c r="I19" s="398">
        <v>369107</v>
      </c>
      <c r="J19" s="398">
        <v>369107</v>
      </c>
      <c r="K19" s="398">
        <v>369107</v>
      </c>
      <c r="L19" s="398">
        <v>369107</v>
      </c>
      <c r="M19" s="398">
        <v>369107</v>
      </c>
      <c r="N19" s="398">
        <v>369107</v>
      </c>
      <c r="O19" s="398">
        <v>369107</v>
      </c>
      <c r="P19" s="398">
        <v>369107</v>
      </c>
      <c r="Q19" s="398">
        <v>369107</v>
      </c>
      <c r="R19" s="653">
        <v>369107</v>
      </c>
      <c r="S19" s="884">
        <v>369107</v>
      </c>
      <c r="T19" s="884">
        <v>369107</v>
      </c>
      <c r="U19" s="398">
        <v>369107</v>
      </c>
      <c r="V19" s="398">
        <v>369107</v>
      </c>
      <c r="W19" s="398">
        <v>369107</v>
      </c>
      <c r="X19" s="398">
        <v>369107</v>
      </c>
      <c r="Y19" s="36"/>
      <c r="Z19" s="36"/>
      <c r="AA19" s="36"/>
      <c r="AB19" s="36"/>
      <c r="AC19" s="36"/>
      <c r="AD19" s="35"/>
    </row>
    <row r="20" spans="1:34" x14ac:dyDescent="0.3">
      <c r="A20" s="1038"/>
      <c r="B20" s="39" t="s">
        <v>166</v>
      </c>
      <c r="C20" s="39" t="s">
        <v>122</v>
      </c>
      <c r="D20" s="481">
        <f>D14-D15</f>
        <v>35268.430000000633</v>
      </c>
      <c r="E20" s="481">
        <f>E14-E15</f>
        <v>90251.040513036773</v>
      </c>
      <c r="F20" s="481">
        <f>F14-F15</f>
        <v>139795.16952459142</v>
      </c>
      <c r="G20" s="480">
        <v>75274</v>
      </c>
      <c r="H20" s="654">
        <v>111920.03986795217</v>
      </c>
      <c r="I20" s="10">
        <v>165351.93987766301</v>
      </c>
      <c r="J20" s="10">
        <v>198336.97770753136</v>
      </c>
      <c r="K20" s="10">
        <v>232745.42901368433</v>
      </c>
      <c r="L20" s="10">
        <v>252069.36810881802</v>
      </c>
      <c r="M20" s="10">
        <v>260956.65814310993</v>
      </c>
      <c r="N20" s="10">
        <v>270602.34072671941</v>
      </c>
      <c r="O20" s="10">
        <v>276874.32987080474</v>
      </c>
      <c r="P20" s="10">
        <v>277417.31136295159</v>
      </c>
      <c r="Q20" s="10">
        <v>281555.62891344173</v>
      </c>
      <c r="R20" s="654">
        <v>286790.17643743573</v>
      </c>
      <c r="S20" s="32">
        <v>294188.49971304293</v>
      </c>
      <c r="T20" s="32">
        <v>294892.33737037872</v>
      </c>
      <c r="U20" s="10">
        <v>297393.15349457745</v>
      </c>
      <c r="V20" s="10">
        <v>298409.86472358898</v>
      </c>
      <c r="W20" s="10">
        <v>301673.79973195883</v>
      </c>
      <c r="X20" s="10">
        <v>301568.95864186628</v>
      </c>
      <c r="Y20" s="10"/>
      <c r="Z20" s="10"/>
      <c r="AA20" s="10"/>
      <c r="AB20" s="7"/>
      <c r="AC20" s="7"/>
      <c r="AD20" s="7"/>
    </row>
    <row r="21" spans="1:34" x14ac:dyDescent="0.3">
      <c r="A21" s="1038"/>
      <c r="B21" s="39" t="s">
        <v>167</v>
      </c>
      <c r="C21" s="39" t="s">
        <v>122</v>
      </c>
      <c r="D21" s="481">
        <f>D16-D15</f>
        <v>0</v>
      </c>
      <c r="E21" s="481">
        <f t="shared" ref="E21:M21" si="8">E16-E15</f>
        <v>7683.8100041719154</v>
      </c>
      <c r="F21" s="481">
        <f>F16-F15</f>
        <v>15292.274381156079</v>
      </c>
      <c r="G21" s="481">
        <f t="shared" si="8"/>
        <v>10119.036518775858</v>
      </c>
      <c r="H21" s="655">
        <f>H16-H15</f>
        <v>20906.504802396521</v>
      </c>
      <c r="I21" s="42">
        <f>I16-I15</f>
        <v>33041.161063031293</v>
      </c>
      <c r="J21" s="42">
        <f>J16-J15</f>
        <v>46272.235214908607</v>
      </c>
      <c r="K21" s="42">
        <f t="shared" si="8"/>
        <v>60583.66501815524</v>
      </c>
      <c r="L21" s="42">
        <f t="shared" si="8"/>
        <v>75946.909722805023</v>
      </c>
      <c r="M21" s="42">
        <f t="shared" si="8"/>
        <v>92388.284223396331</v>
      </c>
      <c r="N21" s="42">
        <f>N16-N15</f>
        <v>110013.84387656394</v>
      </c>
      <c r="O21" s="42">
        <f>O16-O15</f>
        <v>128795.56785622053</v>
      </c>
      <c r="P21" s="42">
        <f t="shared" ref="P21:X21" si="9">P16-P15</f>
        <v>148756.76129037328</v>
      </c>
      <c r="Q21" s="42">
        <f t="shared" si="9"/>
        <v>167752.61604579166</v>
      </c>
      <c r="R21" s="655">
        <f t="shared" si="9"/>
        <v>184082.12202150933</v>
      </c>
      <c r="S21" s="42">
        <f t="shared" si="9"/>
        <v>199638.29755643476</v>
      </c>
      <c r="T21" s="42">
        <f t="shared" si="9"/>
        <v>214292.11690344382</v>
      </c>
      <c r="U21" s="42">
        <f t="shared" si="9"/>
        <v>229087.31252454408</v>
      </c>
      <c r="V21" s="42">
        <f t="shared" si="9"/>
        <v>243906.65650915261</v>
      </c>
      <c r="W21" s="42">
        <f t="shared" si="9"/>
        <v>258980.47964254115</v>
      </c>
      <c r="X21" s="42">
        <f t="shared" si="9"/>
        <v>274144.86711772345</v>
      </c>
      <c r="Y21" s="7"/>
      <c r="Z21" s="7"/>
      <c r="AA21" s="7"/>
      <c r="AB21" s="7"/>
      <c r="AC21" s="7"/>
      <c r="AD21" s="7"/>
    </row>
    <row r="22" spans="1:34" x14ac:dyDescent="0.3">
      <c r="A22" s="1038"/>
      <c r="B22" s="39" t="s">
        <v>168</v>
      </c>
      <c r="C22" s="39" t="s">
        <v>122</v>
      </c>
      <c r="D22" s="481">
        <f>D17-D16</f>
        <v>1263.1900000004098</v>
      </c>
      <c r="E22" s="481">
        <f t="shared" ref="E22:N22" si="10">E17-E16</f>
        <v>3194.8787975469604</v>
      </c>
      <c r="F22" s="481">
        <f t="shared" si="10"/>
        <v>5428.208591372706</v>
      </c>
      <c r="G22" s="481">
        <f t="shared" si="10"/>
        <v>4034.538623124361</v>
      </c>
      <c r="H22" s="655">
        <f t="shared" si="10"/>
        <v>9439.9983025109395</v>
      </c>
      <c r="I22" s="42">
        <f>I17-I16</f>
        <v>16618.555951317772</v>
      </c>
      <c r="J22" s="42">
        <f t="shared" si="10"/>
        <v>26115.021322261542</v>
      </c>
      <c r="K22" s="42">
        <f t="shared" si="10"/>
        <v>38615.820049958304</v>
      </c>
      <c r="L22" s="42">
        <f t="shared" si="10"/>
        <v>54966.942978731357</v>
      </c>
      <c r="M22" s="42">
        <f t="shared" si="10"/>
        <v>76179.202410225756</v>
      </c>
      <c r="N22" s="42">
        <f t="shared" si="10"/>
        <v>103407.28248992935</v>
      </c>
      <c r="O22" s="42">
        <f t="shared" ref="O22:X22" si="11">O17-O16</f>
        <v>137883.0155928582</v>
      </c>
      <c r="P22" s="42">
        <f t="shared" si="11"/>
        <v>180778.92335782014</v>
      </c>
      <c r="Q22" s="42">
        <f t="shared" si="11"/>
        <v>232980.98663319834</v>
      </c>
      <c r="R22" s="655">
        <f t="shared" si="11"/>
        <v>294769.15112755075</v>
      </c>
      <c r="S22" s="42">
        <f t="shared" si="11"/>
        <v>365449.76050159242</v>
      </c>
      <c r="T22" s="42">
        <f t="shared" si="11"/>
        <v>443054.23050290812</v>
      </c>
      <c r="U22" s="42">
        <f t="shared" si="11"/>
        <v>524281.36448488571</v>
      </c>
      <c r="V22" s="42">
        <f t="shared" si="11"/>
        <v>604848.62805242464</v>
      </c>
      <c r="W22" s="42">
        <f t="shared" si="11"/>
        <v>680267.33670007996</v>
      </c>
      <c r="X22" s="42">
        <f t="shared" si="11"/>
        <v>746805.13804088347</v>
      </c>
      <c r="Y22" s="7"/>
      <c r="Z22" s="7"/>
      <c r="AA22" s="7"/>
      <c r="AB22" s="7"/>
      <c r="AC22" s="7"/>
      <c r="AD22" s="7"/>
    </row>
    <row r="23" spans="1:34" x14ac:dyDescent="0.3">
      <c r="E23" s="15"/>
      <c r="F23" s="15"/>
      <c r="G23" s="15"/>
      <c r="H23" s="656"/>
      <c r="I23" s="15"/>
      <c r="J23" s="15"/>
      <c r="K23" s="15"/>
      <c r="L23" s="15"/>
      <c r="M23" s="15"/>
      <c r="N23" s="15"/>
      <c r="O23" s="15"/>
      <c r="P23" s="15"/>
      <c r="Q23" s="15"/>
      <c r="R23" s="656"/>
      <c r="S23" s="885"/>
      <c r="T23" s="885"/>
      <c r="U23" s="15"/>
      <c r="V23" s="15"/>
      <c r="W23" s="15"/>
      <c r="X23" s="15"/>
      <c r="Y23" s="38"/>
      <c r="Z23" s="38"/>
      <c r="AA23" s="38"/>
      <c r="AB23" s="38"/>
    </row>
    <row r="24" spans="1:34" x14ac:dyDescent="0.3">
      <c r="A24" s="288" t="s">
        <v>169</v>
      </c>
      <c r="B24" t="s">
        <v>170</v>
      </c>
      <c r="C24" t="s">
        <v>122</v>
      </c>
      <c r="D24" s="480">
        <f>D57*0.155*8760</f>
        <v>0</v>
      </c>
      <c r="E24" s="480">
        <f t="shared" ref="E24:F24" si="12">E57*0.155*8760</f>
        <v>0</v>
      </c>
      <c r="F24" s="480">
        <f t="shared" si="12"/>
        <v>0</v>
      </c>
      <c r="G24" s="480">
        <f>G57*0.155*8760</f>
        <v>294642.59999999998</v>
      </c>
      <c r="H24" s="654">
        <f>H57*0.15*8760</f>
        <v>285138</v>
      </c>
      <c r="I24" s="10">
        <f>I57*0.15*8760</f>
        <v>285138</v>
      </c>
      <c r="J24" s="10">
        <f t="shared" ref="J24:R24" si="13">J57*0.15*8760</f>
        <v>285138</v>
      </c>
      <c r="K24" s="10">
        <f t="shared" si="13"/>
        <v>285138</v>
      </c>
      <c r="L24" s="10">
        <f t="shared" si="13"/>
        <v>285138</v>
      </c>
      <c r="M24" s="10">
        <f t="shared" si="13"/>
        <v>285138</v>
      </c>
      <c r="N24" s="10">
        <f t="shared" si="13"/>
        <v>285138</v>
      </c>
      <c r="O24" s="10">
        <f t="shared" si="13"/>
        <v>285138</v>
      </c>
      <c r="P24" s="10">
        <f t="shared" si="13"/>
        <v>285138</v>
      </c>
      <c r="Q24" s="10">
        <f t="shared" si="13"/>
        <v>285138</v>
      </c>
      <c r="R24" s="654">
        <f t="shared" si="13"/>
        <v>285138</v>
      </c>
      <c r="S24" s="32">
        <f t="shared" ref="S24" si="14">S57*0.15*8760</f>
        <v>283824</v>
      </c>
      <c r="T24" s="32"/>
      <c r="U24" s="10"/>
      <c r="V24" s="10"/>
      <c r="W24" s="10"/>
      <c r="X24" s="10"/>
      <c r="Y24" s="38"/>
      <c r="Z24" s="38"/>
      <c r="AA24" s="38"/>
      <c r="AB24" s="38"/>
    </row>
    <row r="25" spans="1:34" x14ac:dyDescent="0.3">
      <c r="A25" s="288" t="s">
        <v>169</v>
      </c>
      <c r="B25" s="250" t="s">
        <v>171</v>
      </c>
      <c r="C25" t="s">
        <v>122</v>
      </c>
      <c r="D25" s="480">
        <f>D58*0.155*8760</f>
        <v>0</v>
      </c>
      <c r="E25" s="480">
        <f t="shared" ref="E25:F25" si="15">E58*0.155*8760</f>
        <v>0</v>
      </c>
      <c r="F25" s="480">
        <f t="shared" si="15"/>
        <v>0</v>
      </c>
      <c r="G25" s="480">
        <f t="shared" ref="G25" si="16">G58*0.155*8760</f>
        <v>74679</v>
      </c>
      <c r="H25" s="654">
        <f>H58*0.15*8760</f>
        <v>72270</v>
      </c>
      <c r="I25" s="10">
        <f>I58*0.15*8760</f>
        <v>72270</v>
      </c>
      <c r="J25" s="10">
        <f>J58*0.15*8760</f>
        <v>72270</v>
      </c>
      <c r="K25" s="10">
        <f t="shared" ref="K25:R25" si="17">K58*0.15*8760</f>
        <v>72270</v>
      </c>
      <c r="L25" s="10">
        <f t="shared" si="17"/>
        <v>72270</v>
      </c>
      <c r="M25" s="10">
        <f t="shared" si="17"/>
        <v>72270</v>
      </c>
      <c r="N25" s="10">
        <f t="shared" si="17"/>
        <v>72270</v>
      </c>
      <c r="O25" s="10">
        <f t="shared" si="17"/>
        <v>72270</v>
      </c>
      <c r="P25" s="10">
        <f t="shared" si="17"/>
        <v>72270</v>
      </c>
      <c r="Q25" s="10">
        <f t="shared" si="17"/>
        <v>72270</v>
      </c>
      <c r="R25" s="654">
        <f t="shared" si="17"/>
        <v>72270</v>
      </c>
      <c r="S25" s="32">
        <f t="shared" ref="S25" si="18">S58*0.15*8760</f>
        <v>73584</v>
      </c>
      <c r="T25" s="32"/>
      <c r="U25" s="10"/>
      <c r="V25" s="10"/>
      <c r="W25" s="10"/>
      <c r="X25" s="10"/>
      <c r="Y25" s="36"/>
      <c r="Z25" s="36"/>
      <c r="AA25" s="36"/>
      <c r="AB25" s="36"/>
    </row>
    <row r="26" spans="1:34" x14ac:dyDescent="0.3">
      <c r="A26" s="289" t="str">
        <f>NM_escalation</f>
        <v>mid</v>
      </c>
      <c r="B26" s="251" t="s">
        <v>172</v>
      </c>
      <c r="C26" s="13" t="s">
        <v>122</v>
      </c>
      <c r="D26" s="482"/>
      <c r="E26" s="482"/>
      <c r="F26" s="482"/>
      <c r="G26" s="757">
        <f>'Tier II'!E7</f>
        <v>38018.400000000009</v>
      </c>
      <c r="H26" s="657">
        <f>'Tier II'!F7</f>
        <v>72725.51999999999</v>
      </c>
      <c r="I26" s="31">
        <f>'Tier II'!G7</f>
        <v>120986.59097651196</v>
      </c>
      <c r="J26" s="31">
        <f>'Tier II'!H7</f>
        <v>150779.52837123282</v>
      </c>
      <c r="K26" s="31">
        <f>'Tier II'!I7</f>
        <v>181858.12955098436</v>
      </c>
      <c r="L26" s="31">
        <f>'Tier II'!J7</f>
        <v>199312.01002400785</v>
      </c>
      <c r="M26" s="31">
        <f>'Tier II'!K7</f>
        <v>207339.23973240057</v>
      </c>
      <c r="N26" s="31">
        <f>'Tier II'!L7</f>
        <v>216051.46916275751</v>
      </c>
      <c r="O26" s="31">
        <f>'Tier II'!M7</f>
        <v>221716.49161547972</v>
      </c>
      <c r="P26" s="31">
        <f>'Tier II'!N7</f>
        <v>222206.92651161237</v>
      </c>
      <c r="Q26" s="479">
        <f>'Tier II'!O7</f>
        <v>225944.76171850672</v>
      </c>
      <c r="R26" s="681">
        <f>'Tier II'!P7</f>
        <v>227171.16171850654</v>
      </c>
      <c r="S26" s="479">
        <f>'Tier II'!Q7</f>
        <v>0</v>
      </c>
      <c r="T26" s="32"/>
      <c r="U26" s="32"/>
      <c r="V26" s="32"/>
      <c r="W26" s="32"/>
      <c r="X26" s="32"/>
      <c r="Y26" s="36"/>
      <c r="Z26" s="638"/>
      <c r="AA26" s="36"/>
      <c r="AB26" s="36"/>
    </row>
    <row r="27" spans="1:34" x14ac:dyDescent="0.3">
      <c r="B27" t="s">
        <v>173</v>
      </c>
      <c r="C27" t="s">
        <v>122</v>
      </c>
      <c r="D27" s="480">
        <f t="shared" ref="D27:R27" si="19">SUM(D24:D26)</f>
        <v>0</v>
      </c>
      <c r="E27" s="480">
        <f t="shared" si="19"/>
        <v>0</v>
      </c>
      <c r="F27" s="480">
        <f t="shared" si="19"/>
        <v>0</v>
      </c>
      <c r="G27" s="480">
        <f t="shared" si="19"/>
        <v>407340</v>
      </c>
      <c r="H27" s="654">
        <f>SUM(H24:H26)</f>
        <v>430133.52</v>
      </c>
      <c r="I27" s="10">
        <f t="shared" si="19"/>
        <v>478394.59097651194</v>
      </c>
      <c r="J27" s="10">
        <f t="shared" si="19"/>
        <v>508187.52837123279</v>
      </c>
      <c r="K27" s="10">
        <f t="shared" si="19"/>
        <v>539266.12955098436</v>
      </c>
      <c r="L27" s="10">
        <f t="shared" si="19"/>
        <v>556720.01002400788</v>
      </c>
      <c r="M27" s="10">
        <f t="shared" si="19"/>
        <v>564747.23973240051</v>
      </c>
      <c r="N27" s="10">
        <f t="shared" si="19"/>
        <v>573459.46916275751</v>
      </c>
      <c r="O27" s="10">
        <f t="shared" si="19"/>
        <v>579124.4916154797</v>
      </c>
      <c r="P27" s="10">
        <f t="shared" si="19"/>
        <v>579614.92651161237</v>
      </c>
      <c r="Q27" s="35">
        <f t="shared" si="19"/>
        <v>583352.76171850669</v>
      </c>
      <c r="R27" s="661">
        <f t="shared" si="19"/>
        <v>584579.1617185066</v>
      </c>
      <c r="S27" s="36">
        <f t="shared" ref="S27" si="20">SUM(S24:S26)</f>
        <v>357408</v>
      </c>
      <c r="T27" s="32"/>
      <c r="U27" s="10"/>
      <c r="V27" s="10"/>
      <c r="W27" s="10"/>
      <c r="X27" s="10"/>
      <c r="Y27" s="36"/>
      <c r="Z27" s="36"/>
      <c r="AA27" s="36"/>
      <c r="AB27" s="36"/>
    </row>
    <row r="28" spans="1:34" x14ac:dyDescent="0.3">
      <c r="D28" s="10"/>
      <c r="E28" s="10"/>
      <c r="F28" s="10"/>
      <c r="G28" s="10"/>
      <c r="H28" s="654"/>
      <c r="I28" s="10"/>
      <c r="J28" s="10"/>
      <c r="K28" s="10"/>
      <c r="L28" s="10"/>
      <c r="M28" s="10"/>
      <c r="N28" s="10"/>
      <c r="O28" s="10"/>
      <c r="P28" s="10"/>
      <c r="Q28" s="10"/>
      <c r="R28" s="654"/>
      <c r="S28" s="32"/>
      <c r="T28" s="32"/>
      <c r="U28" s="10"/>
      <c r="V28" s="10"/>
      <c r="W28" s="10"/>
      <c r="X28" s="10"/>
      <c r="Y28" s="36"/>
      <c r="Z28" s="36"/>
      <c r="AA28" s="36"/>
      <c r="AB28" s="36"/>
    </row>
    <row r="29" spans="1:34" x14ac:dyDescent="0.3">
      <c r="A29" s="1039" t="s">
        <v>174</v>
      </c>
      <c r="B29" t="s">
        <v>39</v>
      </c>
      <c r="C29" t="s">
        <v>122</v>
      </c>
      <c r="D29" s="481">
        <f>'Tier III'!D45</f>
        <v>0</v>
      </c>
      <c r="E29" s="481">
        <f>'Tier III'!D45</f>
        <v>0</v>
      </c>
      <c r="F29" s="481">
        <f>'Tier III'!D45</f>
        <v>0</v>
      </c>
      <c r="G29" s="602">
        <f>'Tier III'!E45</f>
        <v>17069.378136838532</v>
      </c>
      <c r="H29" s="648">
        <f>'Tier III'!F45</f>
        <v>27844.144785754648</v>
      </c>
      <c r="I29" s="7">
        <f>'Tier III'!G45</f>
        <v>40189.933815530931</v>
      </c>
      <c r="J29" s="7">
        <f>'Tier III'!H45</f>
        <v>54184.098672455984</v>
      </c>
      <c r="K29" s="7">
        <f>'Tier III'!I45</f>
        <v>69711.06119779282</v>
      </c>
      <c r="L29" s="7">
        <f>'Tier III'!J45</f>
        <v>86687.095564178977</v>
      </c>
      <c r="M29" s="7">
        <f>'Tier III'!K45</f>
        <v>105174.12190568986</v>
      </c>
      <c r="N29" s="7">
        <f>'Tier III'!L45</f>
        <v>125205.22643339523</v>
      </c>
      <c r="O29" s="7">
        <f>'Tier III'!M45</f>
        <v>146856.89350805679</v>
      </c>
      <c r="P29" s="7">
        <f>'Tier III'!N45</f>
        <v>170185.65409955717</v>
      </c>
      <c r="Q29" s="7">
        <f>'Tier III'!O45</f>
        <v>195205.06450817268</v>
      </c>
      <c r="R29" s="648">
        <f>'Tier III'!P45</f>
        <v>221983.93481361028</v>
      </c>
      <c r="S29" s="7">
        <f>'Tier III'!Q45</f>
        <v>0</v>
      </c>
      <c r="T29" s="7">
        <f>'Tier III'!S45</f>
        <v>0</v>
      </c>
      <c r="U29" s="7">
        <f>'Tier III'!T45</f>
        <v>0</v>
      </c>
      <c r="V29" s="7">
        <f>'Tier III'!U45</f>
        <v>0</v>
      </c>
      <c r="W29" s="7">
        <f>'Tier III'!V45</f>
        <v>0</v>
      </c>
      <c r="X29" s="7">
        <f>'Tier III'!W45</f>
        <v>0</v>
      </c>
      <c r="Y29" s="7"/>
      <c r="Z29" s="45"/>
      <c r="AA29" s="7"/>
      <c r="AB29" s="7"/>
    </row>
    <row r="30" spans="1:34" x14ac:dyDescent="0.3">
      <c r="A30" s="1039"/>
      <c r="B30" t="s">
        <v>40</v>
      </c>
      <c r="C30" t="s">
        <v>122</v>
      </c>
      <c r="D30" s="481">
        <f>'Tier III'!D46</f>
        <v>0</v>
      </c>
      <c r="E30" s="481">
        <f>'Tier III'!D46</f>
        <v>0</v>
      </c>
      <c r="F30" s="481">
        <f>'Tier III'!D46</f>
        <v>0</v>
      </c>
      <c r="G30" s="602">
        <f>'Tier III'!E46</f>
        <v>10321.653672907027</v>
      </c>
      <c r="H30" s="648">
        <f>'Tier III'!F46</f>
        <v>16931.747025181463</v>
      </c>
      <c r="I30" s="7">
        <f>'Tier III'!G46</f>
        <v>24505.62965794513</v>
      </c>
      <c r="J30" s="7">
        <f>'Tier III'!H46</f>
        <v>33090.756288107288</v>
      </c>
      <c r="K30" s="7">
        <f>'Tier III'!I46</f>
        <v>42616.222139385631</v>
      </c>
      <c r="L30" s="7">
        <f>'Tier III'!J46</f>
        <v>53030.663172734567</v>
      </c>
      <c r="M30" s="7">
        <f>'Tier III'!K46</f>
        <v>64372.066091714369</v>
      </c>
      <c r="N30" s="7">
        <f>'Tier III'!L46</f>
        <v>71918.861707732751</v>
      </c>
      <c r="O30" s="7">
        <f>'Tier III'!M46</f>
        <v>79621.918554478107</v>
      </c>
      <c r="P30" s="7">
        <f>'Tier III'!N46</f>
        <v>87323.530534419915</v>
      </c>
      <c r="Q30" s="7">
        <f>'Tier III'!O46</f>
        <v>102672.41407023658</v>
      </c>
      <c r="R30" s="648">
        <f>'Tier III'!P46</f>
        <v>119100.68935035124</v>
      </c>
      <c r="S30" s="7">
        <f>'Tier III'!Q46</f>
        <v>0</v>
      </c>
      <c r="T30" s="7">
        <f>'Tier III'!S46</f>
        <v>0</v>
      </c>
      <c r="U30" s="7">
        <f>'Tier III'!T46</f>
        <v>0</v>
      </c>
      <c r="V30" s="7">
        <f>'Tier III'!U46</f>
        <v>0</v>
      </c>
      <c r="W30" s="7">
        <f>'Tier III'!V46</f>
        <v>0</v>
      </c>
      <c r="X30" s="7">
        <f>'Tier III'!W46</f>
        <v>0</v>
      </c>
      <c r="Y30" s="7"/>
      <c r="Z30" s="45"/>
      <c r="AA30" s="7"/>
      <c r="AB30" s="7"/>
    </row>
    <row r="31" spans="1:34" x14ac:dyDescent="0.3">
      <c r="A31" s="1039"/>
      <c r="B31" t="s">
        <v>41</v>
      </c>
      <c r="C31" t="s">
        <v>122</v>
      </c>
      <c r="D31" s="481">
        <f>'Tier III'!D47</f>
        <v>0</v>
      </c>
      <c r="E31" s="481">
        <f>'Tier III'!D47</f>
        <v>0</v>
      </c>
      <c r="F31" s="481">
        <f>'Tier III'!D47</f>
        <v>0</v>
      </c>
      <c r="G31" s="602">
        <f>'Tier III'!E47</f>
        <v>0</v>
      </c>
      <c r="H31" s="648">
        <f>'Tier III'!F47</f>
        <v>0</v>
      </c>
      <c r="I31" s="7">
        <f>'Tier III'!G47</f>
        <v>0</v>
      </c>
      <c r="J31" s="7">
        <f>'Tier III'!H47</f>
        <v>0</v>
      </c>
      <c r="K31" s="7">
        <f>'Tier III'!I47</f>
        <v>0</v>
      </c>
      <c r="L31" s="7">
        <f>'Tier III'!J47</f>
        <v>0</v>
      </c>
      <c r="M31" s="7">
        <f>'Tier III'!K47</f>
        <v>0</v>
      </c>
      <c r="N31" s="7">
        <f>'Tier III'!L47</f>
        <v>0</v>
      </c>
      <c r="O31" s="7">
        <f>'Tier III'!M47</f>
        <v>0</v>
      </c>
      <c r="P31" s="7">
        <f>'Tier III'!N47</f>
        <v>0</v>
      </c>
      <c r="Q31" s="7">
        <f>'Tier III'!O47</f>
        <v>0</v>
      </c>
      <c r="R31" s="648">
        <f>'Tier III'!P47</f>
        <v>0</v>
      </c>
      <c r="S31" s="7">
        <f>'Tier III'!Q47</f>
        <v>0</v>
      </c>
      <c r="T31" s="7">
        <f>'Tier III'!S47</f>
        <v>0</v>
      </c>
      <c r="U31" s="7">
        <f>'Tier III'!T47</f>
        <v>0</v>
      </c>
      <c r="V31" s="7">
        <f>'Tier III'!U47</f>
        <v>0</v>
      </c>
      <c r="W31" s="7">
        <f>'Tier III'!V47</f>
        <v>0</v>
      </c>
      <c r="X31" s="7">
        <f>'Tier III'!W47</f>
        <v>0</v>
      </c>
      <c r="Y31" s="7"/>
      <c r="Z31" s="45"/>
      <c r="AA31" s="7"/>
      <c r="AB31" s="7"/>
    </row>
    <row r="32" spans="1:34" x14ac:dyDescent="0.3">
      <c r="A32" s="1039"/>
      <c r="B32" s="13" t="s">
        <v>42</v>
      </c>
      <c r="C32" s="13" t="s">
        <v>122</v>
      </c>
      <c r="D32" s="483">
        <f>'Tier III'!D48</f>
        <v>0</v>
      </c>
      <c r="E32" s="483">
        <f>'Tier III'!D48</f>
        <v>0</v>
      </c>
      <c r="F32" s="483">
        <f>'Tier III'!D48</f>
        <v>0</v>
      </c>
      <c r="G32" s="603">
        <f>'Tier III'!E48</f>
        <v>6933.5976562985388</v>
      </c>
      <c r="H32" s="658">
        <f>'Tier III'!F48</f>
        <v>8523.1473316742868</v>
      </c>
      <c r="I32" s="65">
        <f>'Tier III'!G48</f>
        <v>10344.462408276198</v>
      </c>
      <c r="J32" s="65">
        <f>'Tier III'!H48</f>
        <v>12408.954469245109</v>
      </c>
      <c r="K32" s="65">
        <f>'Tier III'!I48</f>
        <v>14699.572822841039</v>
      </c>
      <c r="L32" s="65">
        <f>'Tier III'!J48</f>
        <v>17203.965799089034</v>
      </c>
      <c r="M32" s="65">
        <f>'Tier III'!K48</f>
        <v>19931.268178557973</v>
      </c>
      <c r="N32" s="65">
        <f>'Tier III'!L48</f>
        <v>22886.361011369783</v>
      </c>
      <c r="O32" s="65">
        <f>'Tier III'!M48</f>
        <v>26080.527668643437</v>
      </c>
      <c r="P32" s="65">
        <f>'Tier III'!N48</f>
        <v>29522.107893387169</v>
      </c>
      <c r="Q32" s="65">
        <f>'Tier III'!O48</f>
        <v>33213.101581599243</v>
      </c>
      <c r="R32" s="658">
        <f>'Tier III'!P48</f>
        <v>37163.659954500952</v>
      </c>
      <c r="S32" s="65">
        <f>'Tier III'!Q48</f>
        <v>0</v>
      </c>
      <c r="T32" s="7">
        <f>'Tier III'!S48</f>
        <v>0</v>
      </c>
      <c r="U32" s="65">
        <f>'Tier III'!T48</f>
        <v>0</v>
      </c>
      <c r="V32" s="65">
        <f>'Tier III'!U48</f>
        <v>0</v>
      </c>
      <c r="W32" s="65">
        <f>'Tier III'!V48</f>
        <v>0</v>
      </c>
      <c r="X32" s="65">
        <f>'Tier III'!W48</f>
        <v>0</v>
      </c>
      <c r="Y32" s="7"/>
      <c r="Z32" s="45"/>
      <c r="AA32" s="7"/>
      <c r="AB32" s="7"/>
    </row>
    <row r="33" spans="1:28" x14ac:dyDescent="0.3">
      <c r="B33" t="s">
        <v>175</v>
      </c>
      <c r="C33" t="s">
        <v>122</v>
      </c>
      <c r="D33" s="484">
        <f t="shared" ref="D33:I33" si="21">SUM(D29:D32)</f>
        <v>0</v>
      </c>
      <c r="E33" s="484">
        <f t="shared" si="21"/>
        <v>0</v>
      </c>
      <c r="F33" s="484">
        <f t="shared" si="21"/>
        <v>0</v>
      </c>
      <c r="G33" s="601">
        <f t="shared" si="21"/>
        <v>34324.629466044098</v>
      </c>
      <c r="H33" s="659">
        <f t="shared" si="21"/>
        <v>53299.039142610396</v>
      </c>
      <c r="I33" s="12">
        <f t="shared" si="21"/>
        <v>75040.025881752255</v>
      </c>
      <c r="J33" s="12">
        <f t="shared" ref="J33:X33" si="22">SUM(J29:J32)</f>
        <v>99683.809429808374</v>
      </c>
      <c r="K33" s="12">
        <f t="shared" si="22"/>
        <v>127026.8561600195</v>
      </c>
      <c r="L33" s="12">
        <f t="shared" si="22"/>
        <v>156921.72453600258</v>
      </c>
      <c r="M33" s="12">
        <f t="shared" si="22"/>
        <v>189477.4561759622</v>
      </c>
      <c r="N33" s="12">
        <f t="shared" si="22"/>
        <v>220010.44915249778</v>
      </c>
      <c r="O33" s="12">
        <f t="shared" si="22"/>
        <v>252559.33973117836</v>
      </c>
      <c r="P33" s="12">
        <f t="shared" si="22"/>
        <v>287031.29252736422</v>
      </c>
      <c r="Q33" s="12">
        <f t="shared" si="22"/>
        <v>331090.58016000851</v>
      </c>
      <c r="R33" s="659">
        <f t="shared" ref="R33:S33" si="23">SUM(R29:R32)</f>
        <v>378248.28411846247</v>
      </c>
      <c r="S33" s="12">
        <f t="shared" si="23"/>
        <v>0</v>
      </c>
      <c r="T33" s="12">
        <f t="shared" si="22"/>
        <v>0</v>
      </c>
      <c r="U33" s="12">
        <f t="shared" si="22"/>
        <v>0</v>
      </c>
      <c r="V33" s="12">
        <f t="shared" si="22"/>
        <v>0</v>
      </c>
      <c r="W33" s="12">
        <f t="shared" si="22"/>
        <v>0</v>
      </c>
      <c r="X33" s="12">
        <f t="shared" si="22"/>
        <v>0</v>
      </c>
      <c r="Y33" s="12"/>
      <c r="Z33" s="45"/>
      <c r="AA33" s="12"/>
      <c r="AB33" s="12"/>
    </row>
    <row r="34" spans="1:28" x14ac:dyDescent="0.3">
      <c r="D34" s="12"/>
      <c r="E34" s="12"/>
      <c r="F34" s="12"/>
      <c r="G34" s="12"/>
      <c r="H34" s="659"/>
      <c r="I34" s="12"/>
      <c r="J34" s="12"/>
      <c r="K34" s="12"/>
      <c r="L34" s="12"/>
      <c r="M34" s="12"/>
      <c r="N34" s="12"/>
      <c r="O34" s="12"/>
      <c r="P34" s="12"/>
      <c r="Q34" s="12"/>
      <c r="R34" s="659"/>
      <c r="S34" s="12"/>
      <c r="T34" s="12"/>
      <c r="U34" s="12"/>
      <c r="V34" s="12"/>
      <c r="W34" s="12"/>
      <c r="X34" s="12"/>
      <c r="Y34" s="12"/>
      <c r="Z34" s="12"/>
      <c r="AA34" s="12"/>
      <c r="AB34" s="12"/>
    </row>
    <row r="35" spans="1:28" x14ac:dyDescent="0.3">
      <c r="A35" s="8" t="s">
        <v>176</v>
      </c>
      <c r="D35" s="12"/>
      <c r="E35" s="12"/>
      <c r="F35" s="12"/>
      <c r="G35" s="12"/>
      <c r="H35" s="659"/>
      <c r="I35" s="12"/>
      <c r="J35" s="12"/>
      <c r="K35" s="12"/>
      <c r="L35" s="12"/>
      <c r="M35" s="12"/>
      <c r="N35" s="12"/>
      <c r="O35" s="12"/>
      <c r="P35" s="12"/>
      <c r="Q35" s="12"/>
      <c r="R35" s="659"/>
      <c r="S35" s="12"/>
      <c r="T35" s="12"/>
      <c r="U35" s="12"/>
      <c r="V35" s="12"/>
      <c r="W35" s="12"/>
      <c r="X35" s="12"/>
      <c r="Y35" s="12"/>
      <c r="Z35" s="12"/>
      <c r="AA35" s="12"/>
      <c r="AB35" s="12"/>
    </row>
    <row r="36" spans="1:28" x14ac:dyDescent="0.3">
      <c r="A36" t="s">
        <v>157</v>
      </c>
      <c r="B36" t="s">
        <v>158</v>
      </c>
      <c r="C36" t="s">
        <v>122</v>
      </c>
      <c r="D36" s="12"/>
      <c r="E36" s="12"/>
      <c r="F36" s="12"/>
      <c r="G36" s="12"/>
      <c r="H36" s="659">
        <f>H10</f>
        <v>5382463.5149999997</v>
      </c>
      <c r="I36" s="12">
        <f>I10</f>
        <v>5442053.9042873001</v>
      </c>
      <c r="J36" s="12">
        <f t="shared" ref="J36:X36" si="24">J10</f>
        <v>5495145.3542873496</v>
      </c>
      <c r="K36" s="12">
        <f t="shared" si="24"/>
        <v>5499007.4642873146</v>
      </c>
      <c r="L36" s="12">
        <f t="shared" si="24"/>
        <v>5462405.5842873417</v>
      </c>
      <c r="M36" s="12">
        <f t="shared" si="24"/>
        <v>5437542.7942873351</v>
      </c>
      <c r="N36" s="12">
        <f t="shared" si="24"/>
        <v>5414638.7642873479</v>
      </c>
      <c r="O36" s="12">
        <f t="shared" si="24"/>
        <v>5409679.6842873208</v>
      </c>
      <c r="P36" s="12">
        <f t="shared" si="24"/>
        <v>5408054.1142873885</v>
      </c>
      <c r="Q36" s="12">
        <f t="shared" si="24"/>
        <v>5406911.5042873118</v>
      </c>
      <c r="R36" s="659">
        <f t="shared" si="24"/>
        <v>5404342.6142873634</v>
      </c>
      <c r="S36" s="12">
        <f t="shared" si="24"/>
        <v>5408210.5242874119</v>
      </c>
      <c r="T36" s="12">
        <f t="shared" si="24"/>
        <v>5395998.3442873461</v>
      </c>
      <c r="U36" s="12">
        <f t="shared" si="24"/>
        <v>5389735.4342873953</v>
      </c>
      <c r="V36" s="12">
        <f t="shared" si="24"/>
        <v>5387705.4942873288</v>
      </c>
      <c r="W36" s="12">
        <f t="shared" si="24"/>
        <v>5397905.8642873764</v>
      </c>
      <c r="X36" s="12">
        <f t="shared" si="24"/>
        <v>5393784.7842873419</v>
      </c>
      <c r="Y36" s="12"/>
      <c r="Z36" s="38" t="s">
        <v>177</v>
      </c>
      <c r="AA36" s="12"/>
      <c r="AB36" s="12"/>
    </row>
    <row r="37" spans="1:28" x14ac:dyDescent="0.3">
      <c r="A37" s="6" t="s">
        <v>178</v>
      </c>
      <c r="B37" t="s">
        <v>158</v>
      </c>
      <c r="C37" t="s">
        <v>122</v>
      </c>
      <c r="D37" s="12"/>
      <c r="E37" s="15"/>
      <c r="F37" s="15"/>
      <c r="G37" s="15"/>
      <c r="H37" s="660">
        <f>H10</f>
        <v>5382463.5149999997</v>
      </c>
      <c r="I37" s="513">
        <f t="shared" ref="I37:X37" si="25">I36-I26</f>
        <v>5321067.313310788</v>
      </c>
      <c r="J37" s="513">
        <f t="shared" si="25"/>
        <v>5344365.8259161171</v>
      </c>
      <c r="K37" s="513">
        <f t="shared" si="25"/>
        <v>5317149.3347363304</v>
      </c>
      <c r="L37" s="513">
        <f t="shared" si="25"/>
        <v>5263093.5742633343</v>
      </c>
      <c r="M37" s="513">
        <f t="shared" si="25"/>
        <v>5230203.5545549346</v>
      </c>
      <c r="N37" s="513">
        <f t="shared" si="25"/>
        <v>5198587.2951245904</v>
      </c>
      <c r="O37" s="513">
        <f t="shared" si="25"/>
        <v>5187963.192671841</v>
      </c>
      <c r="P37" s="513">
        <f t="shared" si="25"/>
        <v>5185847.1877757758</v>
      </c>
      <c r="Q37" s="513">
        <f t="shared" si="25"/>
        <v>5180966.7425688049</v>
      </c>
      <c r="R37" s="660">
        <f t="shared" si="25"/>
        <v>5177171.452568857</v>
      </c>
      <c r="S37" s="886">
        <f t="shared" si="25"/>
        <v>5408210.5242874119</v>
      </c>
      <c r="T37" s="886">
        <f t="shared" si="25"/>
        <v>5395998.3442873461</v>
      </c>
      <c r="U37" s="513">
        <f t="shared" si="25"/>
        <v>5389735.4342873953</v>
      </c>
      <c r="V37" s="513">
        <f t="shared" si="25"/>
        <v>5387705.4942873288</v>
      </c>
      <c r="W37" s="513">
        <f t="shared" si="25"/>
        <v>5397905.8642873764</v>
      </c>
      <c r="X37" s="513">
        <f t="shared" si="25"/>
        <v>5393784.7842873419</v>
      </c>
      <c r="Y37" s="38"/>
      <c r="Z37" s="38" t="s">
        <v>179</v>
      </c>
      <c r="AA37" s="38"/>
      <c r="AB37" s="38"/>
    </row>
    <row r="38" spans="1:28" x14ac:dyDescent="0.3">
      <c r="A38" s="6" t="s">
        <v>180</v>
      </c>
      <c r="B38" t="s">
        <v>158</v>
      </c>
      <c r="C38" t="s">
        <v>122</v>
      </c>
      <c r="D38" s="12"/>
      <c r="E38" s="15"/>
      <c r="F38" s="15"/>
      <c r="G38" s="15"/>
      <c r="H38" s="660">
        <f>H10</f>
        <v>5382463.5149999997</v>
      </c>
      <c r="I38" s="513">
        <f t="shared" ref="I38:S38" si="26">I37+(IF(H33&gt;I48,H33,I48))</f>
        <v>5396350.1980272476</v>
      </c>
      <c r="J38" s="513">
        <f t="shared" si="26"/>
        <v>5437205.3761997484</v>
      </c>
      <c r="K38" s="513">
        <f t="shared" si="26"/>
        <v>5429474.104653893</v>
      </c>
      <c r="L38" s="513">
        <f t="shared" si="26"/>
        <v>5396532.8107977593</v>
      </c>
      <c r="M38" s="513">
        <f t="shared" si="26"/>
        <v>5387125.2790909372</v>
      </c>
      <c r="N38" s="513">
        <f t="shared" si="26"/>
        <v>5388064.7513005529</v>
      </c>
      <c r="O38" s="513">
        <f t="shared" si="26"/>
        <v>5407973.6418243386</v>
      </c>
      <c r="P38" s="513">
        <f t="shared" si="26"/>
        <v>5438406.527506954</v>
      </c>
      <c r="Q38" s="513">
        <f t="shared" si="26"/>
        <v>5467998.0350961694</v>
      </c>
      <c r="R38" s="660">
        <f t="shared" si="26"/>
        <v>5508262.0327288657</v>
      </c>
      <c r="S38" s="886">
        <f t="shared" si="26"/>
        <v>5786458.8084058743</v>
      </c>
      <c r="T38" s="885"/>
      <c r="U38" s="15"/>
      <c r="V38" s="15"/>
      <c r="W38" s="15"/>
      <c r="X38" s="15"/>
      <c r="Y38" s="38"/>
      <c r="Z38" s="38"/>
      <c r="AA38" s="38"/>
      <c r="AB38" s="38"/>
    </row>
    <row r="39" spans="1:28" x14ac:dyDescent="0.3">
      <c r="D39" s="12"/>
      <c r="E39" s="15"/>
      <c r="F39" s="15"/>
      <c r="G39" s="15"/>
      <c r="H39" s="661"/>
      <c r="I39" s="10"/>
      <c r="J39" s="10"/>
      <c r="K39" s="10"/>
      <c r="L39" s="10"/>
      <c r="M39" s="10"/>
      <c r="N39" s="10"/>
      <c r="O39" s="10"/>
      <c r="P39" s="10"/>
      <c r="Q39" s="10"/>
      <c r="R39" s="654"/>
      <c r="S39" s="887"/>
      <c r="T39" s="885"/>
      <c r="U39" s="15"/>
      <c r="V39" s="15"/>
      <c r="W39" s="15"/>
      <c r="X39" s="15"/>
      <c r="Y39" s="38"/>
      <c r="Z39" s="38"/>
      <c r="AA39" s="38"/>
      <c r="AB39" s="38"/>
    </row>
    <row r="40" spans="1:28" x14ac:dyDescent="0.3">
      <c r="B40" t="s">
        <v>181</v>
      </c>
      <c r="D40" s="12"/>
      <c r="E40" s="15"/>
      <c r="F40" s="15"/>
      <c r="G40" s="15"/>
      <c r="H40" s="661"/>
      <c r="I40" s="10"/>
      <c r="J40" s="10"/>
      <c r="K40" s="10"/>
      <c r="L40" s="10"/>
      <c r="M40" s="10"/>
      <c r="N40" s="10"/>
      <c r="O40" s="10"/>
      <c r="P40" s="10"/>
      <c r="Q40" s="10"/>
      <c r="R40" s="654"/>
      <c r="S40" s="887"/>
      <c r="T40" s="885"/>
      <c r="U40" s="15"/>
      <c r="V40" s="15"/>
      <c r="W40" s="15"/>
      <c r="X40" s="15"/>
      <c r="Y40" s="38"/>
      <c r="Z40" s="38"/>
      <c r="AA40" s="38"/>
      <c r="AB40" s="38"/>
    </row>
    <row r="41" spans="1:28" x14ac:dyDescent="0.3">
      <c r="B41" t="s">
        <v>39</v>
      </c>
      <c r="C41" t="s">
        <v>182</v>
      </c>
      <c r="D41" s="12"/>
      <c r="E41" s="15"/>
      <c r="F41" s="15"/>
      <c r="G41" s="15"/>
      <c r="H41" s="880">
        <v>23649.959373180678</v>
      </c>
      <c r="I41" s="10">
        <v>30292.16807074453</v>
      </c>
      <c r="J41" s="10">
        <v>37415.93125191344</v>
      </c>
      <c r="K41" s="10">
        <v>45247.593677441095</v>
      </c>
      <c r="L41" s="10">
        <v>53579.415368509653</v>
      </c>
      <c r="M41" s="10">
        <v>62414.947589931544</v>
      </c>
      <c r="N41" s="10">
        <v>71757.880739595013</v>
      </c>
      <c r="O41" s="10">
        <v>81812.021208726394</v>
      </c>
      <c r="P41" s="10">
        <v>92579.783912369589</v>
      </c>
      <c r="Q41" s="10">
        <v>101726.82117550165</v>
      </c>
      <c r="R41" s="654">
        <v>109666.42124344913</v>
      </c>
      <c r="S41" s="32">
        <v>115993.12738366224</v>
      </c>
      <c r="T41" s="888"/>
      <c r="U41" s="15"/>
      <c r="V41" s="15"/>
      <c r="W41" s="15"/>
      <c r="X41" s="15"/>
      <c r="Y41" s="38"/>
      <c r="Z41" s="38"/>
      <c r="AA41" s="38"/>
      <c r="AB41" s="38"/>
    </row>
    <row r="42" spans="1:28" x14ac:dyDescent="0.3">
      <c r="B42" t="s">
        <v>40</v>
      </c>
      <c r="C42" t="s">
        <v>182</v>
      </c>
      <c r="D42" s="12"/>
      <c r="E42" s="15"/>
      <c r="F42" s="15"/>
      <c r="G42" s="15"/>
      <c r="H42" s="880">
        <v>4127.5543868037566</v>
      </c>
      <c r="I42" s="35">
        <v>5298.0948273009953</v>
      </c>
      <c r="J42" s="35">
        <v>6556.9354869103863</v>
      </c>
      <c r="K42" s="35">
        <v>7985.00913250555</v>
      </c>
      <c r="L42" s="35">
        <v>9609.6455656055114</v>
      </c>
      <c r="M42" s="35">
        <v>11352.611805597551</v>
      </c>
      <c r="N42" s="35">
        <v>13258.084981206604</v>
      </c>
      <c r="O42" s="35">
        <v>15394.436128347485</v>
      </c>
      <c r="P42" s="35">
        <v>17844.693845045418</v>
      </c>
      <c r="Q42" s="35">
        <v>20729.149730225134</v>
      </c>
      <c r="R42" s="661">
        <v>24162.481414712423</v>
      </c>
      <c r="S42" s="36">
        <v>28233.779943721034</v>
      </c>
      <c r="T42" s="888"/>
      <c r="U42" s="15"/>
      <c r="V42" s="15"/>
      <c r="W42" s="15"/>
      <c r="X42" s="15"/>
      <c r="Y42" s="38"/>
      <c r="Z42" s="38"/>
      <c r="AA42" s="38"/>
      <c r="AB42" s="38"/>
    </row>
    <row r="43" spans="1:28" x14ac:dyDescent="0.3">
      <c r="D43" s="12"/>
      <c r="E43" s="15"/>
      <c r="F43" s="15"/>
      <c r="G43" s="15"/>
      <c r="H43" s="656"/>
      <c r="I43" s="15"/>
      <c r="J43" s="15"/>
      <c r="K43" s="15"/>
      <c r="L43" s="15"/>
      <c r="M43" s="15"/>
      <c r="N43" s="15"/>
      <c r="O43" s="15"/>
      <c r="P43" s="15"/>
      <c r="Q43" s="15"/>
      <c r="R43" s="656"/>
      <c r="S43" s="885"/>
      <c r="T43" s="885"/>
      <c r="U43" s="15"/>
      <c r="V43" s="15"/>
      <c r="W43" s="15"/>
      <c r="X43" s="15"/>
      <c r="Y43" s="38"/>
      <c r="Z43" s="38"/>
      <c r="AA43" s="38"/>
      <c r="AB43" s="38"/>
    </row>
    <row r="44" spans="1:28" x14ac:dyDescent="0.3">
      <c r="B44" t="s">
        <v>183</v>
      </c>
      <c r="D44" s="12"/>
      <c r="E44" s="15"/>
      <c r="F44" s="15"/>
      <c r="G44" s="15"/>
      <c r="H44" s="878">
        <f>H2</f>
        <v>2021</v>
      </c>
      <c r="I44" s="879">
        <f>I2</f>
        <v>2022</v>
      </c>
      <c r="J44" s="879">
        <f>J2</f>
        <v>2023</v>
      </c>
      <c r="K44" s="879">
        <f t="shared" ref="K44:Q44" si="27">K2</f>
        <v>2024</v>
      </c>
      <c r="L44" s="879">
        <f t="shared" si="27"/>
        <v>2025</v>
      </c>
      <c r="M44" s="879">
        <f t="shared" si="27"/>
        <v>2026</v>
      </c>
      <c r="N44" s="879">
        <f t="shared" si="27"/>
        <v>2027</v>
      </c>
      <c r="O44" s="879">
        <f t="shared" si="27"/>
        <v>2028</v>
      </c>
      <c r="P44" s="879">
        <f t="shared" si="27"/>
        <v>2029</v>
      </c>
      <c r="Q44" s="879">
        <f t="shared" si="27"/>
        <v>2030</v>
      </c>
      <c r="R44" s="878">
        <f>R2</f>
        <v>2031</v>
      </c>
      <c r="S44" s="879">
        <f>S2</f>
        <v>2032</v>
      </c>
      <c r="T44" s="885"/>
      <c r="U44" s="15"/>
      <c r="V44" s="15"/>
      <c r="W44" s="15"/>
      <c r="X44" s="15"/>
      <c r="Y44" s="38"/>
      <c r="Z44" s="38"/>
      <c r="AA44" s="38"/>
      <c r="AB44" s="38"/>
    </row>
    <row r="45" spans="1:28" x14ac:dyDescent="0.3">
      <c r="A45" s="1039" t="s">
        <v>184</v>
      </c>
      <c r="B45" t="s">
        <v>39</v>
      </c>
      <c r="C45" t="s">
        <v>122</v>
      </c>
      <c r="D45" s="12"/>
      <c r="E45" s="15"/>
      <c r="F45" s="15"/>
      <c r="G45" s="15"/>
      <c r="H45" s="661">
        <f>H21</f>
        <v>20906.504802396521</v>
      </c>
      <c r="I45" s="10">
        <f>I41*'Tier III'!$G$3</f>
        <v>52148.439546261237</v>
      </c>
      <c r="J45" s="10">
        <f>J41*'Tier III'!$G$3</f>
        <v>64412.108912134318</v>
      </c>
      <c r="K45" s="10">
        <f>K41*'Tier III'!$G$3</f>
        <v>77894.437862328763</v>
      </c>
      <c r="L45" s="10">
        <f>L41*'Tier III'!$G$3</f>
        <v>92237.798784934319</v>
      </c>
      <c r="M45" s="10">
        <f>M41*'Tier III'!$G$3</f>
        <v>107448.30523768482</v>
      </c>
      <c r="N45" s="10">
        <f>N41*'Tier III'!$G$3</f>
        <v>123532.31029807305</v>
      </c>
      <c r="O45" s="10">
        <f>O41*'Tier III'!$G$3</f>
        <v>140840.66984565131</v>
      </c>
      <c r="P45" s="10">
        <f>P41*'Tier III'!$G$3</f>
        <v>159377.54119431283</v>
      </c>
      <c r="Q45" s="10">
        <f>Q41*'Tier III'!$G$3</f>
        <v>175124.30843229473</v>
      </c>
      <c r="R45" s="654">
        <f>R41*'Tier III'!$G$3</f>
        <v>188792.45371651155</v>
      </c>
      <c r="S45" s="32">
        <f>S41*'Tier III'!$G$3</f>
        <v>199683.97696137629</v>
      </c>
      <c r="T45" s="885"/>
      <c r="U45" s="15"/>
      <c r="V45" s="15"/>
      <c r="W45" s="15"/>
      <c r="X45" s="15"/>
      <c r="Y45" s="38"/>
      <c r="Z45" s="38"/>
      <c r="AA45" s="38"/>
      <c r="AB45" s="38"/>
    </row>
    <row r="46" spans="1:28" x14ac:dyDescent="0.3">
      <c r="A46" s="1039"/>
      <c r="B46" t="s">
        <v>40</v>
      </c>
      <c r="C46" t="s">
        <v>122</v>
      </c>
      <c r="D46" s="12"/>
      <c r="E46" s="15"/>
      <c r="F46" s="15"/>
      <c r="G46" s="15"/>
      <c r="H46" s="661">
        <f>H22</f>
        <v>9439.9983025109395</v>
      </c>
      <c r="I46" s="10">
        <f>I42*'Tier III'!$G$4</f>
        <v>14611.297838523778</v>
      </c>
      <c r="J46" s="10">
        <f>J42*'Tier III'!$G$4</f>
        <v>18082.978963220943</v>
      </c>
      <c r="K46" s="10">
        <f>K42*'Tier III'!$G$4</f>
        <v>22021.37758598911</v>
      </c>
      <c r="L46" s="10">
        <f>L42*'Tier III'!$G$4</f>
        <v>26501.864926649505</v>
      </c>
      <c r="M46" s="10">
        <f>M42*'Tier III'!$G$4</f>
        <v>31308.686941949152</v>
      </c>
      <c r="N46" s="10">
        <f>N42*'Tier III'!$G$4</f>
        <v>36563.677084570823</v>
      </c>
      <c r="O46" s="10">
        <f>O42*'Tier III'!$G$4</f>
        <v>42455.391732201831</v>
      </c>
      <c r="P46" s="10">
        <f>P42*'Tier III'!$G$4</f>
        <v>49212.810473620062</v>
      </c>
      <c r="Q46" s="10">
        <f>Q42*'Tier III'!$G$4</f>
        <v>57167.678292004086</v>
      </c>
      <c r="R46" s="654">
        <f>R42*'Tier III'!$G$4</f>
        <v>66636.257744750517</v>
      </c>
      <c r="S46" s="32">
        <f>S42*'Tier III'!$G$4</f>
        <v>77864.247679991618</v>
      </c>
      <c r="T46" s="885"/>
      <c r="U46" s="15"/>
      <c r="V46" s="15"/>
      <c r="W46" s="15"/>
      <c r="X46" s="15"/>
      <c r="Y46" s="38"/>
      <c r="Z46" s="38"/>
      <c r="AA46" s="38"/>
      <c r="AB46" s="38"/>
    </row>
    <row r="47" spans="1:28" ht="15" thickBot="1" x14ac:dyDescent="0.35">
      <c r="A47" s="1039"/>
      <c r="B47" t="s">
        <v>185</v>
      </c>
      <c r="C47" t="s">
        <v>122</v>
      </c>
      <c r="D47" s="12"/>
      <c r="E47" s="15"/>
      <c r="F47" s="15"/>
      <c r="G47" s="15"/>
      <c r="H47" s="662">
        <f t="shared" ref="H47:S47" si="28">G32</f>
        <v>6933.5976562985388</v>
      </c>
      <c r="I47" s="570">
        <f t="shared" si="28"/>
        <v>8523.1473316742868</v>
      </c>
      <c r="J47" s="570">
        <f t="shared" si="28"/>
        <v>10344.462408276198</v>
      </c>
      <c r="K47" s="570">
        <f t="shared" si="28"/>
        <v>12408.954469245109</v>
      </c>
      <c r="L47" s="570">
        <f t="shared" si="28"/>
        <v>14699.572822841039</v>
      </c>
      <c r="M47" s="570">
        <f t="shared" si="28"/>
        <v>17203.965799089034</v>
      </c>
      <c r="N47" s="570">
        <f t="shared" si="28"/>
        <v>19931.268178557973</v>
      </c>
      <c r="O47" s="570">
        <f t="shared" si="28"/>
        <v>22886.361011369783</v>
      </c>
      <c r="P47" s="570">
        <f t="shared" si="28"/>
        <v>26080.527668643437</v>
      </c>
      <c r="Q47" s="570">
        <f t="shared" si="28"/>
        <v>29522.107893387169</v>
      </c>
      <c r="R47" s="662">
        <f t="shared" si="28"/>
        <v>33213.101581599243</v>
      </c>
      <c r="S47" s="881">
        <f t="shared" si="28"/>
        <v>37163.659954500952</v>
      </c>
      <c r="T47" s="885"/>
      <c r="U47" s="15"/>
      <c r="V47" s="15"/>
      <c r="W47" s="15"/>
      <c r="X47" s="15"/>
      <c r="Y47" s="38"/>
      <c r="Z47" s="38"/>
      <c r="AA47" s="38"/>
      <c r="AB47" s="38"/>
    </row>
    <row r="48" spans="1:28" ht="15" thickTop="1" x14ac:dyDescent="0.3">
      <c r="B48" t="s">
        <v>186</v>
      </c>
      <c r="C48" t="s">
        <v>122</v>
      </c>
      <c r="D48" s="12"/>
      <c r="E48" s="15"/>
      <c r="F48" s="15"/>
      <c r="G48" s="15"/>
      <c r="H48" s="660">
        <f>SUM(H45:H47)</f>
        <v>37280.100761205998</v>
      </c>
      <c r="I48" s="513">
        <f>SUM(I45:I47)</f>
        <v>75282.884716459303</v>
      </c>
      <c r="J48" s="513">
        <f t="shared" ref="J48:R48" si="29">SUM(J45:J47)</f>
        <v>92839.55028363147</v>
      </c>
      <c r="K48" s="513">
        <f t="shared" si="29"/>
        <v>112324.76991756298</v>
      </c>
      <c r="L48" s="513">
        <f t="shared" si="29"/>
        <v>133439.23653442485</v>
      </c>
      <c r="M48" s="513">
        <f t="shared" si="29"/>
        <v>155960.95797872299</v>
      </c>
      <c r="N48" s="513">
        <f t="shared" si="29"/>
        <v>180027.25556120183</v>
      </c>
      <c r="O48" s="513">
        <f t="shared" si="29"/>
        <v>206182.42258922293</v>
      </c>
      <c r="P48" s="513">
        <f t="shared" si="29"/>
        <v>234670.87933657633</v>
      </c>
      <c r="Q48" s="513">
        <f t="shared" si="29"/>
        <v>261814.09461768597</v>
      </c>
      <c r="R48" s="660">
        <f t="shared" si="29"/>
        <v>288641.81304286129</v>
      </c>
      <c r="S48" s="886">
        <f t="shared" ref="S48" si="30">SUM(S45:S47)</f>
        <v>314711.88459586888</v>
      </c>
      <c r="T48" s="885"/>
      <c r="U48" s="513"/>
      <c r="V48" s="513"/>
      <c r="W48" s="513"/>
      <c r="X48" s="513"/>
      <c r="Y48" s="513"/>
      <c r="Z48" s="513"/>
      <c r="AA48" s="513"/>
      <c r="AB48" s="513"/>
    </row>
    <row r="49" spans="1:37" x14ac:dyDescent="0.3">
      <c r="D49" s="12"/>
      <c r="E49" s="15"/>
      <c r="F49" s="15"/>
      <c r="G49" s="15"/>
      <c r="H49" s="656"/>
      <c r="I49" s="513"/>
      <c r="J49" s="513"/>
      <c r="K49" s="513"/>
      <c r="L49" s="513"/>
      <c r="M49" s="513"/>
      <c r="N49" s="513"/>
      <c r="O49" s="513"/>
      <c r="P49" s="513"/>
      <c r="Q49" s="513"/>
      <c r="R49" s="660"/>
      <c r="S49" s="885"/>
      <c r="T49" s="885"/>
      <c r="U49" s="15"/>
      <c r="V49" s="15"/>
      <c r="W49" s="15"/>
      <c r="X49" s="15"/>
      <c r="Y49" s="38"/>
      <c r="Z49" s="38"/>
      <c r="AA49" s="38"/>
      <c r="AB49" s="38"/>
    </row>
    <row r="50" spans="1:37" x14ac:dyDescent="0.3">
      <c r="D50" s="12"/>
      <c r="E50" s="15"/>
      <c r="F50" s="15"/>
      <c r="G50" s="15"/>
      <c r="H50" s="656">
        <f t="shared" ref="H50:N50" si="31">H26/G26-1</f>
        <v>0.91290322580645089</v>
      </c>
      <c r="I50" s="15">
        <f t="shared" si="31"/>
        <v>0.66360571882486341</v>
      </c>
      <c r="J50" s="15">
        <f t="shared" si="31"/>
        <v>0.24624991211220082</v>
      </c>
      <c r="K50" s="15">
        <f t="shared" si="31"/>
        <v>0.20611950120465439</v>
      </c>
      <c r="L50" s="15">
        <f t="shared" si="31"/>
        <v>9.597525563535636E-2</v>
      </c>
      <c r="M50" s="15">
        <f t="shared" si="31"/>
        <v>4.0274691462023782E-2</v>
      </c>
      <c r="N50" s="15">
        <f t="shared" si="31"/>
        <v>4.2019202161642122E-2</v>
      </c>
      <c r="O50" s="15"/>
      <c r="P50" s="15"/>
      <c r="Q50" s="15"/>
      <c r="R50" s="656"/>
      <c r="S50" s="885"/>
      <c r="T50" s="885"/>
      <c r="U50" s="15"/>
      <c r="V50" s="15"/>
      <c r="W50" s="15"/>
      <c r="X50" s="15"/>
      <c r="Y50" s="12"/>
      <c r="Z50" s="12"/>
      <c r="AA50" s="12"/>
      <c r="AB50" s="12"/>
    </row>
    <row r="51" spans="1:37" ht="18.75" customHeight="1" x14ac:dyDescent="0.3">
      <c r="A51" s="8" t="s">
        <v>187</v>
      </c>
      <c r="D51" s="12"/>
      <c r="E51" s="15"/>
      <c r="F51" s="15"/>
      <c r="G51" s="15"/>
      <c r="H51" s="656"/>
      <c r="I51" s="15"/>
      <c r="J51" s="15"/>
      <c r="K51" s="15"/>
      <c r="L51" s="15"/>
      <c r="M51" s="15"/>
      <c r="N51" s="15"/>
      <c r="O51" s="15"/>
      <c r="P51" s="15"/>
      <c r="Q51" s="15"/>
      <c r="R51" s="656"/>
      <c r="S51" s="885"/>
      <c r="T51" s="885"/>
      <c r="U51" s="15"/>
      <c r="V51" s="15"/>
      <c r="W51" s="15"/>
      <c r="X51" s="15"/>
      <c r="Y51" s="12"/>
      <c r="Z51" s="12"/>
      <c r="AA51" s="12"/>
      <c r="AB51" s="12"/>
    </row>
    <row r="52" spans="1:37" x14ac:dyDescent="0.3">
      <c r="A52" t="s">
        <v>188</v>
      </c>
      <c r="B52" t="s">
        <v>158</v>
      </c>
      <c r="C52" t="s">
        <v>122</v>
      </c>
      <c r="D52" s="12"/>
      <c r="E52" s="15"/>
      <c r="F52" s="15"/>
      <c r="G52" s="526">
        <f>5300757</f>
        <v>5300757</v>
      </c>
      <c r="H52" s="663">
        <v>5003547.2232478922</v>
      </c>
      <c r="I52" s="592">
        <v>5139894.744441445</v>
      </c>
      <c r="J52" s="592">
        <v>5290425.3175311591</v>
      </c>
      <c r="K52" s="592">
        <v>5466396.0999871884</v>
      </c>
      <c r="L52" s="592">
        <v>5640329.0191211971</v>
      </c>
      <c r="M52" s="592">
        <v>5850000.598988086</v>
      </c>
      <c r="N52" s="592">
        <v>6064528.2862590253</v>
      </c>
      <c r="O52" s="592">
        <v>6330202.9786261572</v>
      </c>
      <c r="P52" s="592">
        <v>6630288.4852117058</v>
      </c>
      <c r="Q52" s="592">
        <v>6917834.3657930745</v>
      </c>
      <c r="R52" s="663">
        <v>7236325.2367071137</v>
      </c>
      <c r="S52" s="889">
        <v>7601461.7987557165</v>
      </c>
      <c r="T52" s="889">
        <v>7930554.3189679477</v>
      </c>
      <c r="U52" s="592">
        <v>8289190.2336753728</v>
      </c>
      <c r="V52" s="592">
        <v>8646035.3230005316</v>
      </c>
      <c r="W52" s="592">
        <v>9012049.766916994</v>
      </c>
      <c r="X52" s="592">
        <v>9363076.2085612789</v>
      </c>
      <c r="Y52" s="592">
        <v>9675493.8997590672</v>
      </c>
      <c r="Z52" s="592">
        <v>9959095.081439428</v>
      </c>
      <c r="AA52" s="592">
        <v>10222183.693378251</v>
      </c>
      <c r="AB52" s="592">
        <v>10404064.578078996</v>
      </c>
      <c r="AC52" s="592">
        <v>10576525.730422476</v>
      </c>
      <c r="AD52" s="592">
        <v>10718565.021235175</v>
      </c>
      <c r="AE52" s="592">
        <v>10877622.122059332</v>
      </c>
      <c r="AF52" s="592">
        <v>10997695.553362297</v>
      </c>
      <c r="AG52" s="592">
        <v>11086552.144719251</v>
      </c>
      <c r="AH52" s="592">
        <v>11180527.236401914</v>
      </c>
      <c r="AI52" s="592">
        <v>11265082.256993674</v>
      </c>
      <c r="AJ52" s="592">
        <v>11342368.713359302</v>
      </c>
      <c r="AK52" s="592">
        <v>11427813.964310922</v>
      </c>
    </row>
    <row r="53" spans="1:37" x14ac:dyDescent="0.3">
      <c r="A53" s="6" t="s">
        <v>178</v>
      </c>
      <c r="B53" t="s">
        <v>158</v>
      </c>
      <c r="C53" t="s">
        <v>122</v>
      </c>
      <c r="D53" s="12"/>
      <c r="E53" s="15"/>
      <c r="F53" s="15"/>
      <c r="G53" s="15"/>
      <c r="H53" s="664">
        <f t="shared" ref="H53:S53" si="32">H52-H26</f>
        <v>4930821.7032478927</v>
      </c>
      <c r="I53" s="33">
        <f t="shared" si="32"/>
        <v>5018908.1534649329</v>
      </c>
      <c r="J53" s="33">
        <f t="shared" si="32"/>
        <v>5139645.7891599266</v>
      </c>
      <c r="K53" s="33">
        <f t="shared" si="32"/>
        <v>5284537.9704362042</v>
      </c>
      <c r="L53" s="33">
        <f t="shared" si="32"/>
        <v>5441017.0090971896</v>
      </c>
      <c r="M53" s="33">
        <f t="shared" si="32"/>
        <v>5642661.3592556855</v>
      </c>
      <c r="N53" s="33">
        <f t="shared" si="32"/>
        <v>5848476.8170962678</v>
      </c>
      <c r="O53" s="33">
        <f t="shared" si="32"/>
        <v>6108486.4870106773</v>
      </c>
      <c r="P53" s="33">
        <f t="shared" si="32"/>
        <v>6408081.5587000931</v>
      </c>
      <c r="Q53" s="33">
        <f t="shared" si="32"/>
        <v>6691889.6040745676</v>
      </c>
      <c r="R53" s="664">
        <f t="shared" si="32"/>
        <v>7009154.0749886073</v>
      </c>
      <c r="S53" s="890">
        <f t="shared" si="32"/>
        <v>7601461.7987557165</v>
      </c>
      <c r="T53" s="890"/>
      <c r="U53" s="33"/>
      <c r="V53" s="33"/>
      <c r="W53" s="33"/>
      <c r="X53" s="33"/>
      <c r="Y53" s="33"/>
      <c r="Z53" s="12"/>
      <c r="AA53" s="12"/>
      <c r="AB53" s="12"/>
    </row>
    <row r="54" spans="1:37" x14ac:dyDescent="0.3">
      <c r="D54" s="12"/>
      <c r="E54" s="15"/>
      <c r="F54" s="15"/>
      <c r="G54" s="15"/>
      <c r="H54" s="656"/>
      <c r="I54" s="15"/>
      <c r="J54" s="15"/>
      <c r="K54" s="15"/>
      <c r="L54" s="15"/>
      <c r="M54" s="15"/>
      <c r="N54" s="15"/>
      <c r="O54" s="15"/>
      <c r="P54" s="15"/>
      <c r="Q54" s="15"/>
      <c r="R54" s="656"/>
      <c r="S54" s="885"/>
      <c r="T54" s="885"/>
      <c r="U54" s="15"/>
      <c r="V54" s="15"/>
      <c r="W54" s="15"/>
      <c r="X54" s="15"/>
      <c r="Y54" s="12"/>
      <c r="Z54" s="12"/>
      <c r="AA54" s="12"/>
      <c r="AB54" s="12"/>
    </row>
    <row r="55" spans="1:37" x14ac:dyDescent="0.3">
      <c r="S55" s="892"/>
    </row>
    <row r="56" spans="1:37" x14ac:dyDescent="0.3">
      <c r="B56" s="248" t="s">
        <v>189</v>
      </c>
      <c r="C56" s="249"/>
      <c r="D56" s="486">
        <v>2017</v>
      </c>
      <c r="E56" s="486">
        <v>2018</v>
      </c>
      <c r="F56" s="486">
        <v>2019</v>
      </c>
      <c r="G56" s="486">
        <v>2020</v>
      </c>
      <c r="H56" s="665">
        <v>2021</v>
      </c>
      <c r="I56" s="255">
        <v>2022</v>
      </c>
      <c r="J56" s="255">
        <v>2023</v>
      </c>
      <c r="K56" s="255">
        <v>2024</v>
      </c>
      <c r="L56" s="255">
        <v>2025</v>
      </c>
      <c r="M56" s="255">
        <v>2026</v>
      </c>
      <c r="N56" s="255">
        <v>2027</v>
      </c>
      <c r="O56" s="256">
        <v>2028</v>
      </c>
      <c r="P56" s="255">
        <v>2029</v>
      </c>
      <c r="Q56" s="255">
        <v>2030</v>
      </c>
      <c r="R56" s="682">
        <v>2031</v>
      </c>
      <c r="S56" s="891">
        <v>2032</v>
      </c>
      <c r="T56" s="9"/>
      <c r="U56" s="9"/>
      <c r="V56" s="9"/>
      <c r="W56" s="9"/>
      <c r="X56" s="9"/>
    </row>
    <row r="57" spans="1:37" x14ac:dyDescent="0.3">
      <c r="B57" s="17" t="s">
        <v>190</v>
      </c>
      <c r="C57" s="19"/>
      <c r="D57" s="484"/>
      <c r="E57" s="484"/>
      <c r="F57" s="484"/>
      <c r="G57" s="484">
        <f>272-G58</f>
        <v>217</v>
      </c>
      <c r="H57" s="659">
        <f>272-H58</f>
        <v>217</v>
      </c>
      <c r="I57" s="12">
        <f t="shared" ref="I57:O57" si="33">272-I58</f>
        <v>217</v>
      </c>
      <c r="J57" s="12">
        <f t="shared" si="33"/>
        <v>217</v>
      </c>
      <c r="K57" s="12">
        <f t="shared" si="33"/>
        <v>217</v>
      </c>
      <c r="L57" s="12">
        <f t="shared" si="33"/>
        <v>217</v>
      </c>
      <c r="M57" s="12">
        <f t="shared" si="33"/>
        <v>217</v>
      </c>
      <c r="N57" s="12">
        <f t="shared" si="33"/>
        <v>217</v>
      </c>
      <c r="O57" s="12">
        <f t="shared" si="33"/>
        <v>217</v>
      </c>
      <c r="P57" s="12">
        <f>272-P58</f>
        <v>217</v>
      </c>
      <c r="Q57" s="12">
        <f>272-Q58</f>
        <v>217</v>
      </c>
      <c r="R57" s="659">
        <f>272-R58</f>
        <v>217</v>
      </c>
      <c r="S57" s="12">
        <f>272-S58</f>
        <v>216</v>
      </c>
      <c r="T57" s="12"/>
      <c r="U57" s="12"/>
      <c r="V57" s="12"/>
      <c r="W57" s="12"/>
      <c r="X57" s="12"/>
    </row>
    <row r="58" spans="1:37" x14ac:dyDescent="0.3">
      <c r="B58" s="250" t="s">
        <v>191</v>
      </c>
      <c r="D58" s="484"/>
      <c r="E58" s="484"/>
      <c r="F58" s="484"/>
      <c r="G58" s="484">
        <v>55</v>
      </c>
      <c r="H58" s="659">
        <v>55</v>
      </c>
      <c r="I58" s="12">
        <v>55</v>
      </c>
      <c r="J58" s="12">
        <v>55</v>
      </c>
      <c r="K58" s="12">
        <v>55</v>
      </c>
      <c r="L58" s="12">
        <v>55</v>
      </c>
      <c r="M58" s="12">
        <v>55</v>
      </c>
      <c r="N58" s="12">
        <v>55</v>
      </c>
      <c r="O58" s="12">
        <v>55</v>
      </c>
      <c r="P58" s="12">
        <v>55</v>
      </c>
      <c r="Q58" s="12">
        <v>55</v>
      </c>
      <c r="R58" s="659">
        <v>55</v>
      </c>
      <c r="S58" s="12">
        <v>56</v>
      </c>
      <c r="T58" s="12"/>
      <c r="U58" s="12"/>
      <c r="V58" s="12"/>
      <c r="W58" s="12"/>
      <c r="X58" s="12"/>
    </row>
    <row r="59" spans="1:37" x14ac:dyDescent="0.3">
      <c r="B59" s="251" t="s">
        <v>192</v>
      </c>
      <c r="C59" s="13"/>
      <c r="D59" s="485">
        <f>D26/8760/0.14</f>
        <v>0</v>
      </c>
      <c r="E59" s="485">
        <f>E26/8760/0.14</f>
        <v>0</v>
      </c>
      <c r="F59" s="485"/>
      <c r="G59" s="485">
        <f>'Tier II'!E34</f>
        <v>31</v>
      </c>
      <c r="H59" s="722">
        <f>'Tier II'!F34</f>
        <v>59.3</v>
      </c>
      <c r="I59" s="247">
        <f t="shared" ref="I59:S59" si="34">I26/8760/0.14</f>
        <v>98.651819126314379</v>
      </c>
      <c r="J59" s="247">
        <f t="shared" si="34"/>
        <v>122.94482091587803</v>
      </c>
      <c r="K59" s="247">
        <f t="shared" si="34"/>
        <v>148.28614607875437</v>
      </c>
      <c r="L59" s="247">
        <f t="shared" si="34"/>
        <v>162.5179468558446</v>
      </c>
      <c r="M59" s="247">
        <f t="shared" si="34"/>
        <v>169.06330702250534</v>
      </c>
      <c r="N59" s="247">
        <f t="shared" si="34"/>
        <v>176.16721229839976</v>
      </c>
      <c r="O59" s="247">
        <f t="shared" si="34"/>
        <v>180.78644130420719</v>
      </c>
      <c r="P59" s="247">
        <f t="shared" si="34"/>
        <v>181.18633929518293</v>
      </c>
      <c r="Q59" s="247">
        <f t="shared" si="34"/>
        <v>184.23415012924551</v>
      </c>
      <c r="R59" s="666">
        <f t="shared" si="34"/>
        <v>185.23415012924536</v>
      </c>
      <c r="S59" s="882">
        <f t="shared" si="34"/>
        <v>0</v>
      </c>
      <c r="T59" s="283"/>
      <c r="U59" s="283"/>
      <c r="V59" s="283"/>
      <c r="W59" s="283"/>
      <c r="X59" s="283"/>
    </row>
    <row r="60" spans="1:37" x14ac:dyDescent="0.3">
      <c r="B60" s="252" t="s">
        <v>173</v>
      </c>
      <c r="C60" s="253"/>
      <c r="D60" s="487">
        <f t="shared" ref="D60:Q60" si="35">SUM(D57:D59)</f>
        <v>0</v>
      </c>
      <c r="E60" s="487">
        <f t="shared" si="35"/>
        <v>0</v>
      </c>
      <c r="F60" s="487">
        <f t="shared" si="35"/>
        <v>0</v>
      </c>
      <c r="G60" s="487">
        <f>SUM(G57:G59)</f>
        <v>303</v>
      </c>
      <c r="H60" s="667">
        <f>SUM(H57:H59)</f>
        <v>331.3</v>
      </c>
      <c r="I60" s="254">
        <f t="shared" si="35"/>
        <v>370.65181912631436</v>
      </c>
      <c r="J60" s="254">
        <f t="shared" si="35"/>
        <v>394.94482091587804</v>
      </c>
      <c r="K60" s="254">
        <f t="shared" si="35"/>
        <v>420.28614607875437</v>
      </c>
      <c r="L60" s="254">
        <f t="shared" si="35"/>
        <v>434.51794685584457</v>
      </c>
      <c r="M60" s="254">
        <f t="shared" si="35"/>
        <v>441.06330702250534</v>
      </c>
      <c r="N60" s="254">
        <f t="shared" si="35"/>
        <v>448.16721229839976</v>
      </c>
      <c r="O60" s="254">
        <f t="shared" si="35"/>
        <v>452.78644130420719</v>
      </c>
      <c r="P60" s="254">
        <f t="shared" si="35"/>
        <v>453.18633929518296</v>
      </c>
      <c r="Q60" s="254">
        <f t="shared" si="35"/>
        <v>456.23415012924551</v>
      </c>
      <c r="R60" s="667">
        <f>SUM(R57:R59)</f>
        <v>457.23415012924534</v>
      </c>
      <c r="S60" s="893">
        <f t="shared" ref="S60" si="36">SUM(S57:S59)</f>
        <v>272</v>
      </c>
      <c r="T60" s="284"/>
      <c r="U60" s="284"/>
      <c r="V60" s="284"/>
      <c r="W60" s="284"/>
      <c r="X60" s="284"/>
    </row>
    <row r="61" spans="1:37" x14ac:dyDescent="0.3">
      <c r="D61" s="26"/>
      <c r="E61" s="26"/>
      <c r="F61" s="26"/>
      <c r="G61" s="26"/>
      <c r="Q61">
        <v>548</v>
      </c>
      <c r="R61" s="668">
        <v>424</v>
      </c>
      <c r="S61">
        <v>425</v>
      </c>
    </row>
    <row r="62" spans="1:37" x14ac:dyDescent="0.3">
      <c r="G62" s="242">
        <f>G20/0.155/8760</f>
        <v>55.438208867285311</v>
      </c>
      <c r="H62" s="669">
        <f>H20/0.155/8760</f>
        <v>82.427485541281612</v>
      </c>
      <c r="I62" s="242">
        <f t="shared" ref="I62:W62" si="37">I20/0.155/8760</f>
        <v>121.77930466759685</v>
      </c>
      <c r="J62" s="242">
        <f t="shared" si="37"/>
        <v>146.07230645715964</v>
      </c>
      <c r="K62" s="242">
        <f t="shared" si="37"/>
        <v>171.4136316200356</v>
      </c>
      <c r="L62" s="242">
        <f t="shared" si="37"/>
        <v>185.64543239712623</v>
      </c>
      <c r="M62" s="242">
        <f t="shared" si="37"/>
        <v>192.19079256378697</v>
      </c>
      <c r="N62" s="242">
        <f t="shared" si="37"/>
        <v>199.29469783968139</v>
      </c>
      <c r="O62" s="242">
        <f t="shared" si="37"/>
        <v>203.91392684548882</v>
      </c>
      <c r="P62" s="242">
        <f t="shared" si="37"/>
        <v>204.31382483646456</v>
      </c>
      <c r="Q62" s="242">
        <f t="shared" si="37"/>
        <v>207.36163567052714</v>
      </c>
      <c r="R62" s="669">
        <f t="shared" si="37"/>
        <v>211.2168039751331</v>
      </c>
      <c r="S62" s="242">
        <f t="shared" ref="S62" si="38">S20/0.155/8760</f>
        <v>216.66556172709011</v>
      </c>
      <c r="T62" s="242">
        <f t="shared" si="37"/>
        <v>217.18392794990331</v>
      </c>
      <c r="U62" s="242">
        <f t="shared" si="37"/>
        <v>219.02574274162427</v>
      </c>
      <c r="V62" s="242">
        <f t="shared" si="37"/>
        <v>219.77453581056781</v>
      </c>
      <c r="W62" s="242">
        <f t="shared" si="37"/>
        <v>222.17837658856891</v>
      </c>
    </row>
  </sheetData>
  <mergeCells count="3">
    <mergeCell ref="A14:A22"/>
    <mergeCell ref="A29:A32"/>
    <mergeCell ref="A45:A47"/>
  </mergeCells>
  <phoneticPr fontId="34" type="noConversion"/>
  <pageMargins left="0.7" right="0.7" top="0.75" bottom="0.75" header="0.3" footer="0.3"/>
  <pageSetup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52"/>
  <sheetViews>
    <sheetView zoomScaleNormal="100" workbookViewId="0"/>
  </sheetViews>
  <sheetFormatPr defaultRowHeight="14.4" x14ac:dyDescent="0.3"/>
  <cols>
    <col min="1" max="1" width="16.5546875" customWidth="1"/>
    <col min="2" max="2" width="47" customWidth="1"/>
    <col min="3" max="3" width="17.33203125" bestFit="1" customWidth="1"/>
    <col min="4" max="4" width="15.109375" hidden="1" customWidth="1"/>
    <col min="5" max="5" width="14.109375" hidden="1" customWidth="1"/>
    <col min="6" max="6" width="13.5546875" hidden="1" customWidth="1"/>
    <col min="7" max="7" width="14.44140625" style="780" bestFit="1" customWidth="1"/>
    <col min="8" max="8" width="18.33203125" customWidth="1"/>
    <col min="9" max="9" width="15.5546875" customWidth="1"/>
    <col min="10" max="13" width="15.88671875" bestFit="1" customWidth="1"/>
    <col min="14" max="15" width="16.33203125" bestFit="1" customWidth="1"/>
    <col min="16" max="16" width="16" customWidth="1"/>
    <col min="17" max="17" width="16" style="668" customWidth="1"/>
    <col min="18" max="18" width="14.88671875" bestFit="1" customWidth="1"/>
  </cols>
  <sheetData>
    <row r="1" spans="1:25" ht="15" thickBot="1" x14ac:dyDescent="0.35">
      <c r="G1" s="26"/>
      <c r="Q1" s="643"/>
    </row>
    <row r="2" spans="1:25" x14ac:dyDescent="0.3">
      <c r="B2" s="141" t="s">
        <v>193</v>
      </c>
      <c r="C2" s="142"/>
      <c r="G2" s="26"/>
    </row>
    <row r="3" spans="1:25" x14ac:dyDescent="0.3">
      <c r="B3" s="139" t="s">
        <v>194</v>
      </c>
      <c r="C3" s="812">
        <v>0.3</v>
      </c>
      <c r="G3" s="26"/>
    </row>
    <row r="4" spans="1:25" x14ac:dyDescent="0.3">
      <c r="B4" s="139" t="s">
        <v>195</v>
      </c>
      <c r="C4" s="812">
        <v>0.6</v>
      </c>
      <c r="G4" s="26"/>
    </row>
    <row r="5" spans="1:25" ht="15" thickBot="1" x14ac:dyDescent="0.35">
      <c r="A5" s="7"/>
      <c r="B5" s="140" t="s">
        <v>196</v>
      </c>
      <c r="C5" s="813">
        <v>0.1</v>
      </c>
      <c r="F5" s="2"/>
      <c r="G5" s="802"/>
      <c r="H5" s="2"/>
      <c r="I5" s="2"/>
      <c r="J5" s="2"/>
      <c r="K5" s="2"/>
      <c r="L5" s="2"/>
    </row>
    <row r="6" spans="1:25" ht="15" thickBot="1" x14ac:dyDescent="0.35">
      <c r="B6" s="510" t="s">
        <v>197</v>
      </c>
      <c r="C6" s="290">
        <v>877819556.87827206</v>
      </c>
      <c r="F6" s="76"/>
      <c r="G6" s="26"/>
    </row>
    <row r="7" spans="1:25" x14ac:dyDescent="0.3">
      <c r="G7" s="26"/>
    </row>
    <row r="8" spans="1:25" x14ac:dyDescent="0.3">
      <c r="G8" s="26"/>
    </row>
    <row r="9" spans="1:25" s="8" customFormat="1" x14ac:dyDescent="0.3">
      <c r="C9" s="8" t="s">
        <v>198</v>
      </c>
      <c r="D9" s="9">
        <v>2017</v>
      </c>
      <c r="E9" s="291">
        <f>base_year-2</f>
        <v>2019</v>
      </c>
      <c r="F9" s="9">
        <f>E9+1</f>
        <v>2020</v>
      </c>
      <c r="G9" s="803">
        <f t="shared" ref="G9:O9" si="0">F9+1</f>
        <v>2021</v>
      </c>
      <c r="H9" s="9">
        <f t="shared" si="0"/>
        <v>2022</v>
      </c>
      <c r="I9" s="9">
        <f t="shared" si="0"/>
        <v>2023</v>
      </c>
      <c r="J9" s="9">
        <f t="shared" si="0"/>
        <v>2024</v>
      </c>
      <c r="K9" s="9">
        <f t="shared" si="0"/>
        <v>2025</v>
      </c>
      <c r="L9" s="9">
        <f t="shared" si="0"/>
        <v>2026</v>
      </c>
      <c r="M9" s="9">
        <f t="shared" si="0"/>
        <v>2027</v>
      </c>
      <c r="N9" s="9">
        <f t="shared" si="0"/>
        <v>2028</v>
      </c>
      <c r="O9" s="9">
        <f t="shared" si="0"/>
        <v>2029</v>
      </c>
      <c r="P9" s="9">
        <v>2030</v>
      </c>
      <c r="Q9" s="644">
        <v>2031</v>
      </c>
      <c r="R9" s="9"/>
      <c r="S9" s="9"/>
      <c r="T9" s="9"/>
      <c r="U9" s="9"/>
      <c r="V9" s="9"/>
      <c r="W9" s="9"/>
      <c r="X9" s="9"/>
      <c r="Y9" s="9"/>
    </row>
    <row r="10" spans="1:25" x14ac:dyDescent="0.3">
      <c r="A10" s="21"/>
      <c r="E10" s="17"/>
      <c r="G10" s="26"/>
    </row>
    <row r="11" spans="1:25" x14ac:dyDescent="0.3">
      <c r="A11" s="25"/>
      <c r="B11" s="8" t="s">
        <v>199</v>
      </c>
      <c r="E11" s="17"/>
      <c r="G11" s="858"/>
    </row>
    <row r="12" spans="1:25" x14ac:dyDescent="0.3">
      <c r="A12" s="2"/>
      <c r="B12" t="s">
        <v>200</v>
      </c>
      <c r="C12" s="80"/>
      <c r="E12" s="292">
        <f>C6*$C$3</f>
        <v>263345867.0634816</v>
      </c>
      <c r="F12" s="21">
        <f>C6*C3</f>
        <v>263345867.0634816</v>
      </c>
      <c r="G12" s="804">
        <f>C6*C3</f>
        <v>263345867.0634816</v>
      </c>
      <c r="H12" s="21">
        <f>G15*$C$3*'price forecasts'!G39</f>
        <v>522832601.18080175</v>
      </c>
      <c r="I12" s="21">
        <f>H15*$C$3*'price forecasts'!H39</f>
        <v>359999027.53644514</v>
      </c>
      <c r="J12" s="21">
        <f>I15*$C$3*'price forecasts'!I39</f>
        <v>270507909.91779095</v>
      </c>
      <c r="K12" s="21">
        <f>J15*$C$3*'price forecasts'!J39</f>
        <v>274830303.64521217</v>
      </c>
      <c r="L12" s="21">
        <f>K15*$C$3*'price forecasts'!K39</f>
        <v>290789704.95194161</v>
      </c>
      <c r="M12" s="21">
        <f>L15*$C$3*'price forecasts'!L39</f>
        <v>300657275.15450877</v>
      </c>
      <c r="N12" s="21">
        <f>M15*$C$3*'price forecasts'!M39</f>
        <v>308772528.89975822</v>
      </c>
      <c r="O12" s="21">
        <f>N15*$C$3*'price forecasts'!N39</f>
        <v>319110964.40296382</v>
      </c>
      <c r="P12" s="21">
        <f>O15*$C$3*'price forecasts'!O39</f>
        <v>328785299.04796594</v>
      </c>
      <c r="Q12" s="21">
        <f>P15*$C$3*'price forecasts'!P39</f>
        <v>347586658.88229114</v>
      </c>
      <c r="R12" s="2">
        <f>(Q12/E12)^(1/($Q$9-$E$9))-1</f>
        <v>2.3398358401511388E-2</v>
      </c>
    </row>
    <row r="13" spans="1:25" x14ac:dyDescent="0.3">
      <c r="B13" t="s">
        <v>201</v>
      </c>
      <c r="C13" s="80"/>
      <c r="E13" s="292">
        <f>C6*$C$4</f>
        <v>526691734.1269632</v>
      </c>
      <c r="F13" s="21">
        <f>C6*C4</f>
        <v>526691734.1269632</v>
      </c>
      <c r="G13" s="804">
        <f>C6*C4</f>
        <v>526691734.1269632</v>
      </c>
      <c r="H13" s="21">
        <f>G13*(1+inflation_rate)</f>
        <v>547759403.49204171</v>
      </c>
      <c r="I13" s="21">
        <f>H13*(1+inflation_rate)</f>
        <v>569669779.6317234</v>
      </c>
      <c r="J13" s="21">
        <f t="shared" ref="J13:Q13" si="1">I13*(1+inflation_rate)</f>
        <v>592456570.8169924</v>
      </c>
      <c r="K13" s="21">
        <f t="shared" si="1"/>
        <v>616154833.64967215</v>
      </c>
      <c r="L13" s="21">
        <f t="shared" si="1"/>
        <v>640801026.99565911</v>
      </c>
      <c r="M13" s="21">
        <f t="shared" si="1"/>
        <v>666433068.07548547</v>
      </c>
      <c r="N13" s="21">
        <f t="shared" si="1"/>
        <v>693090390.79850495</v>
      </c>
      <c r="O13" s="21">
        <f t="shared" si="1"/>
        <v>720814006.43044519</v>
      </c>
      <c r="P13" s="21">
        <f t="shared" si="1"/>
        <v>749646566.68766308</v>
      </c>
      <c r="Q13" s="683">
        <f t="shared" si="1"/>
        <v>779632429.35516965</v>
      </c>
      <c r="R13" s="2">
        <f t="shared" ref="R13:R15" si="2">(Q13/E13)^(1/($Q$9-$E$9))-1</f>
        <v>3.3223914091823348E-2</v>
      </c>
    </row>
    <row r="14" spans="1:25" x14ac:dyDescent="0.3">
      <c r="B14" s="13" t="s">
        <v>202</v>
      </c>
      <c r="C14" s="116"/>
      <c r="D14" s="13"/>
      <c r="E14" s="293">
        <f>C6*$C$5</f>
        <v>87781955.687827215</v>
      </c>
      <c r="F14" s="67">
        <f>C5*C6</f>
        <v>87781955.687827215</v>
      </c>
      <c r="G14" s="805">
        <f>C5*C6</f>
        <v>87781955.687827215</v>
      </c>
      <c r="H14" s="67">
        <f>G14*(1+depreciation_rate)</f>
        <v>86904136.130948946</v>
      </c>
      <c r="I14" s="67">
        <f t="shared" ref="I14:Q14" si="3">H14*(1+depreciation_rate)</f>
        <v>86035094.769639462</v>
      </c>
      <c r="J14" s="67">
        <f t="shared" si="3"/>
        <v>85174743.82194306</v>
      </c>
      <c r="K14" s="67">
        <f t="shared" si="3"/>
        <v>84322996.383723632</v>
      </c>
      <c r="L14" s="67">
        <f t="shared" si="3"/>
        <v>83479766.419886395</v>
      </c>
      <c r="M14" s="67">
        <f t="shared" si="3"/>
        <v>82644968.755687535</v>
      </c>
      <c r="N14" s="67">
        <f t="shared" si="3"/>
        <v>81818519.068130657</v>
      </c>
      <c r="O14" s="67">
        <f t="shared" si="3"/>
        <v>81000333.877449349</v>
      </c>
      <c r="P14" s="67">
        <f t="shared" si="3"/>
        <v>80190330.538674861</v>
      </c>
      <c r="Q14" s="684">
        <f t="shared" si="3"/>
        <v>79388427.233288109</v>
      </c>
      <c r="R14" s="2">
        <f t="shared" si="2"/>
        <v>-8.3403049311669974E-3</v>
      </c>
    </row>
    <row r="15" spans="1:25" x14ac:dyDescent="0.3">
      <c r="B15" t="s">
        <v>203</v>
      </c>
      <c r="C15" s="80">
        <f>NPV(discount_rate,H15:Q15)</f>
        <v>7846645900.7720795</v>
      </c>
      <c r="E15" s="294">
        <f>SUM(E12:E14)</f>
        <v>877819556.87827206</v>
      </c>
      <c r="F15" s="25">
        <f>SUM(F12:F14)</f>
        <v>877819556.87827206</v>
      </c>
      <c r="G15" s="806">
        <f>SUM(G12:G14)-16940963</f>
        <v>860878593.87827206</v>
      </c>
      <c r="H15" s="25">
        <f>SUM(H12:H14)</f>
        <v>1157496140.8037925</v>
      </c>
      <c r="I15" s="25">
        <f t="shared" ref="I15:N15" si="4">SUM(I12:I14)</f>
        <v>1015703901.937808</v>
      </c>
      <c r="J15" s="25">
        <f t="shared" si="4"/>
        <v>948139224.55672646</v>
      </c>
      <c r="K15" s="25">
        <f t="shared" si="4"/>
        <v>975308133.67860794</v>
      </c>
      <c r="L15" s="25">
        <f t="shared" si="4"/>
        <v>1015070498.3674871</v>
      </c>
      <c r="M15" s="25">
        <f t="shared" si="4"/>
        <v>1049735311.9856818</v>
      </c>
      <c r="N15" s="25">
        <f t="shared" si="4"/>
        <v>1083681438.7663939</v>
      </c>
      <c r="O15" s="25">
        <f>SUM(O12:O14)</f>
        <v>1120925304.7108583</v>
      </c>
      <c r="P15" s="25">
        <f>SUM(P12:P14)</f>
        <v>1158622196.2743039</v>
      </c>
      <c r="Q15" s="685">
        <f>SUM(Q12:Q14)</f>
        <v>1206607515.4707489</v>
      </c>
      <c r="R15" s="2">
        <f t="shared" si="2"/>
        <v>2.6865109570954226E-2</v>
      </c>
    </row>
    <row r="16" spans="1:25" x14ac:dyDescent="0.3">
      <c r="E16" s="17"/>
    </row>
    <row r="17" spans="1:18" x14ac:dyDescent="0.3">
      <c r="B17" t="s">
        <v>204</v>
      </c>
      <c r="C17" s="78"/>
      <c r="D17" s="7">
        <f>loads!D10</f>
        <v>5415649.5630000001</v>
      </c>
      <c r="E17" s="295">
        <f>SUMIF(loads!2:2,impact!E9,loads!10:10)</f>
        <v>5405687</v>
      </c>
      <c r="F17" s="7">
        <f>SUMIF(loads!2:2,impact!F9,loads!10:10)</f>
        <v>5300757</v>
      </c>
      <c r="G17" s="784">
        <f>SUMIF(loads!2:2,impact!G9,loads!10:10)</f>
        <v>5382463.5149999997</v>
      </c>
      <c r="H17" s="7">
        <f>SUMIF(loads!2:2,impact!H9,loads!10:10)</f>
        <v>5442053.9042873001</v>
      </c>
      <c r="I17" s="7">
        <f>SUMIF(loads!2:2,impact!I9,loads!10:10)</f>
        <v>5495145.3542873496</v>
      </c>
      <c r="J17" s="7">
        <f>SUMIF(loads!2:2,impact!J9,loads!10:10)</f>
        <v>5499007.4642873146</v>
      </c>
      <c r="K17" s="7">
        <f>SUMIF(loads!2:2,impact!K9,loads!10:10)</f>
        <v>5462405.5842873417</v>
      </c>
      <c r="L17" s="7">
        <f>SUMIF(loads!2:2,impact!L9,loads!10:10)</f>
        <v>5437542.7942873351</v>
      </c>
      <c r="M17" s="7">
        <f>SUMIF(loads!2:2,impact!M9,loads!10:10)</f>
        <v>5414638.7642873479</v>
      </c>
      <c r="N17" s="7">
        <f>SUMIF(loads!2:2,impact!N9,loads!10:10)</f>
        <v>5409679.6842873208</v>
      </c>
      <c r="O17" s="7">
        <f>SUMIF(loads!2:2,impact!O9,loads!10:10)</f>
        <v>5408054.1142873885</v>
      </c>
      <c r="P17" s="7">
        <f>SUMIF(loads!2:2,impact!P9,loads!10:10)</f>
        <v>5406911.5042873118</v>
      </c>
      <c r="Q17" s="648">
        <f>SUMIF(loads!2:2,impact!Q9,loads!10:10)</f>
        <v>5404342.6142873634</v>
      </c>
    </row>
    <row r="18" spans="1:18" x14ac:dyDescent="0.3">
      <c r="B18" t="s">
        <v>205</v>
      </c>
      <c r="C18" s="78">
        <f>C15/NPV(discount_rate,H17:Q17)</f>
        <v>195.88327859958375</v>
      </c>
      <c r="D18" s="115">
        <f>C6/D17</f>
        <v>162.089431132247</v>
      </c>
      <c r="E18" s="296">
        <f>E15/E17</f>
        <v>162.3881584113679</v>
      </c>
      <c r="F18" s="115">
        <f>F15/F17</f>
        <v>165.60267842466124</v>
      </c>
      <c r="G18" s="785">
        <f>G15/G17</f>
        <v>159.94137098730934</v>
      </c>
      <c r="H18" s="115">
        <f>H15/H17</f>
        <v>212.69472172848313</v>
      </c>
      <c r="I18" s="115">
        <f t="shared" ref="I18:O18" si="5">I15/I17</f>
        <v>184.83658510422276</v>
      </c>
      <c r="J18" s="115">
        <f t="shared" si="5"/>
        <v>172.4200650234265</v>
      </c>
      <c r="K18" s="115">
        <f t="shared" si="5"/>
        <v>178.54919753379178</v>
      </c>
      <c r="L18" s="115">
        <f t="shared" si="5"/>
        <v>186.6781626866306</v>
      </c>
      <c r="M18" s="115">
        <f t="shared" si="5"/>
        <v>193.8698697518455</v>
      </c>
      <c r="N18" s="115">
        <f t="shared" si="5"/>
        <v>200.3226627103264</v>
      </c>
      <c r="O18" s="115">
        <f t="shared" si="5"/>
        <v>207.26961694956358</v>
      </c>
      <c r="P18" s="115">
        <f>P15/P17</f>
        <v>214.28540033540324</v>
      </c>
      <c r="Q18" s="686">
        <f>Q15/Q17</f>
        <v>223.26628816627249</v>
      </c>
    </row>
    <row r="19" spans="1:18" x14ac:dyDescent="0.3">
      <c r="D19" s="149"/>
      <c r="E19" s="296"/>
      <c r="F19" s="16"/>
      <c r="G19" s="786"/>
      <c r="H19" s="16"/>
      <c r="I19" s="16"/>
      <c r="J19" s="16"/>
      <c r="K19" s="16"/>
      <c r="L19" s="16"/>
      <c r="M19" s="16"/>
      <c r="N19" s="16"/>
      <c r="O19" s="16"/>
    </row>
    <row r="20" spans="1:18" x14ac:dyDescent="0.3">
      <c r="B20" s="8" t="s">
        <v>206</v>
      </c>
      <c r="E20" s="17"/>
    </row>
    <row r="21" spans="1:18" x14ac:dyDescent="0.3">
      <c r="B21" s="6" t="s">
        <v>207</v>
      </c>
      <c r="C21" s="80">
        <f>NPV(discount_rate,H21:Q21)</f>
        <v>68226246.993362114</v>
      </c>
      <c r="D21" s="21">
        <f>requirements!D28</f>
        <v>1468342.736</v>
      </c>
      <c r="E21" s="292">
        <f>requirements!D28</f>
        <v>1468342.736</v>
      </c>
      <c r="F21" s="21">
        <f>requirements!E28</f>
        <v>1593165.4339999999</v>
      </c>
      <c r="G21" s="781">
        <f>requirements!F28</f>
        <v>11788422.857549995</v>
      </c>
      <c r="H21" s="21">
        <f>requirements!G28</f>
        <v>11835564.458199643</v>
      </c>
      <c r="I21" s="21">
        <f>requirements!H28</f>
        <v>9399713.3334841952</v>
      </c>
      <c r="J21" s="21">
        <f>requirements!I28</f>
        <v>7301450.8851494687</v>
      </c>
      <c r="K21" s="21">
        <f>requirements!J28</f>
        <v>7030045.9095805455</v>
      </c>
      <c r="L21" s="21">
        <f>requirements!K28</f>
        <v>8642782.5006177239</v>
      </c>
      <c r="M21" s="21">
        <f>requirements!L28</f>
        <v>8547394.1312908623</v>
      </c>
      <c r="N21" s="21">
        <f>requirements!M28</f>
        <v>8541709.9897298086</v>
      </c>
      <c r="O21" s="21">
        <f>requirements!N28</f>
        <v>10496245.824151546</v>
      </c>
      <c r="P21" s="21">
        <f>requirements!O28</f>
        <v>10578673.591605151</v>
      </c>
      <c r="Q21" s="683">
        <f>requirements!P28</f>
        <v>10717058.342834787</v>
      </c>
    </row>
    <row r="22" spans="1:18" x14ac:dyDescent="0.3">
      <c r="B22" s="6" t="s">
        <v>208</v>
      </c>
      <c r="C22" s="80">
        <f>NPV(discount_rate,H22:Q22)</f>
        <v>110904034.59140362</v>
      </c>
      <c r="D22" s="21">
        <f>requirements!D29</f>
        <v>5249632.4974999996</v>
      </c>
      <c r="E22" s="292">
        <f>requirements!D29</f>
        <v>5249632.4974999996</v>
      </c>
      <c r="F22" s="21">
        <f>requirements!E29</f>
        <v>7068032.9700000007</v>
      </c>
      <c r="G22" s="781">
        <f>requirements!F29</f>
        <v>8908870.3179000001</v>
      </c>
      <c r="H22" s="21">
        <f>requirements!G29</f>
        <v>10594541.499853039</v>
      </c>
      <c r="I22" s="21">
        <f>requirements!H29</f>
        <v>11834090.079774097</v>
      </c>
      <c r="J22" s="21">
        <f>requirements!I29</f>
        <v>13066113.191616286</v>
      </c>
      <c r="K22" s="21">
        <f>requirements!J29</f>
        <v>14024762.857094569</v>
      </c>
      <c r="L22" s="21">
        <f>requirements!K29</f>
        <v>15000945.086549152</v>
      </c>
      <c r="M22" s="21">
        <f>requirements!L29</f>
        <v>16002070.910612941</v>
      </c>
      <c r="N22" s="21">
        <f>requirements!M29</f>
        <v>17021872.020373747</v>
      </c>
      <c r="O22" s="21">
        <f>requirements!N29</f>
        <v>18191355.073227845</v>
      </c>
      <c r="P22" s="21">
        <f>requirements!O29</f>
        <v>19392069.396396317</v>
      </c>
      <c r="Q22" s="683">
        <f>requirements!P29</f>
        <v>20764624.646997496</v>
      </c>
    </row>
    <row r="23" spans="1:18" x14ac:dyDescent="0.3">
      <c r="B23" s="6" t="s">
        <v>209</v>
      </c>
      <c r="C23" s="80">
        <f>NPV(discount_rate,H23:Q23)</f>
        <v>251067315.71293864</v>
      </c>
      <c r="D23" s="66">
        <f>requirements!D30</f>
        <v>0</v>
      </c>
      <c r="E23" s="292">
        <f>requirements!D30</f>
        <v>0</v>
      </c>
      <c r="F23" s="66">
        <f>requirements!E30</f>
        <v>10008046.121510055</v>
      </c>
      <c r="G23" s="787">
        <f>requirements!F30</f>
        <v>12278636.820395499</v>
      </c>
      <c r="H23" s="66">
        <f>requirements!G30</f>
        <v>19026079.455061905</v>
      </c>
      <c r="I23" s="66">
        <f>requirements!H30</f>
        <v>23596575.535345428</v>
      </c>
      <c r="J23" s="66">
        <f>requirements!I30</f>
        <v>26022435.098031331</v>
      </c>
      <c r="K23" s="66">
        <f>requirements!J30</f>
        <v>29528713.196844488</v>
      </c>
      <c r="L23" s="66">
        <f>requirements!K30</f>
        <v>33646185.48849459</v>
      </c>
      <c r="M23" s="66">
        <f>requirements!L30</f>
        <v>37388431.197365455</v>
      </c>
      <c r="N23" s="66">
        <f>requirements!M30</f>
        <v>41258586.112084478</v>
      </c>
      <c r="O23" s="66">
        <f>requirements!N30</f>
        <v>45281949.513522744</v>
      </c>
      <c r="P23" s="66">
        <f>requirements!O30</f>
        <v>49907146.632554635</v>
      </c>
      <c r="Q23" s="683">
        <f>requirements!P30</f>
        <v>53706412.704083726</v>
      </c>
    </row>
    <row r="24" spans="1:18" x14ac:dyDescent="0.3">
      <c r="B24" s="143" t="s">
        <v>210</v>
      </c>
      <c r="C24" s="848">
        <f>NPV(discount_rate,H24:Q24)</f>
        <v>-283282666.2922653</v>
      </c>
      <c r="D24" s="67">
        <f>-'Tier III'!D58</f>
        <v>0</v>
      </c>
      <c r="E24" s="293">
        <f>-'Tier III'!D58</f>
        <v>0</v>
      </c>
      <c r="F24" s="67">
        <f>-'Tier III'!E58</f>
        <v>-5752558.5953670824</v>
      </c>
      <c r="G24" s="782">
        <f>-'Tier III'!F58</f>
        <v>-9101769.4238492381</v>
      </c>
      <c r="H24" s="67">
        <f>-'Tier III'!G58</f>
        <v>-13075780.078330254</v>
      </c>
      <c r="I24" s="67">
        <f>-'Tier III'!H58</f>
        <v>-17735190.576430261</v>
      </c>
      <c r="J24" s="67">
        <f>-'Tier III'!I58</f>
        <v>-23082663.282640234</v>
      </c>
      <c r="K24" s="67">
        <f>-'Tier III'!J58</f>
        <v>-29129664.81087764</v>
      </c>
      <c r="L24" s="67">
        <f>-'Tier III'!K58</f>
        <v>-35935437.055078067</v>
      </c>
      <c r="M24" s="67">
        <f>-'Tier III'!L58</f>
        <v>-42741303.211440489</v>
      </c>
      <c r="N24" s="67">
        <f>-'Tier III'!M58</f>
        <v>-50247136.150522016</v>
      </c>
      <c r="O24" s="67">
        <f>-'Tier III'!N58</f>
        <v>-58475368.9180445</v>
      </c>
      <c r="P24" s="67">
        <f>-'Tier III'!O58</f>
        <v>-68863914.672362283</v>
      </c>
      <c r="Q24" s="684">
        <f>-'Tier III'!P58</f>
        <v>-80335429.763100326</v>
      </c>
    </row>
    <row r="25" spans="1:18" x14ac:dyDescent="0.3">
      <c r="B25" s="6" t="s">
        <v>211</v>
      </c>
      <c r="C25" s="80">
        <f>NPV(discount_rate,H25:Q25)</f>
        <v>146914931.00543904</v>
      </c>
      <c r="D25" s="21">
        <f>SUM(D21:D24)</f>
        <v>6717975.2335000001</v>
      </c>
      <c r="E25" s="292">
        <f>SUM(E21:E24)</f>
        <v>6717975.2335000001</v>
      </c>
      <c r="F25" s="21">
        <f>SUM(F21:F24)</f>
        <v>12916685.930142976</v>
      </c>
      <c r="G25" s="781">
        <f>SUM(G21:G24)</f>
        <v>23874160.571996257</v>
      </c>
      <c r="H25" s="21">
        <f t="shared" ref="H25:N25" si="6">SUM(H21:H24)</f>
        <v>28380405.334784329</v>
      </c>
      <c r="I25" s="21">
        <f t="shared" si="6"/>
        <v>27095188.372173458</v>
      </c>
      <c r="J25" s="21">
        <f t="shared" si="6"/>
        <v>23307335.892156854</v>
      </c>
      <c r="K25" s="21">
        <f t="shared" si="6"/>
        <v>21453857.152641963</v>
      </c>
      <c r="L25" s="21">
        <f t="shared" si="6"/>
        <v>21354476.020583399</v>
      </c>
      <c r="M25" s="21">
        <f t="shared" si="6"/>
        <v>19196593.027828768</v>
      </c>
      <c r="N25" s="21">
        <f t="shared" si="6"/>
        <v>16575031.971666016</v>
      </c>
      <c r="O25" s="21">
        <f>SUM(O21:O24)</f>
        <v>15494181.492857642</v>
      </c>
      <c r="P25" s="21">
        <f>SUM(P21:P24)</f>
        <v>11013974.948193818</v>
      </c>
      <c r="Q25" s="683">
        <f>SUM(Q21:Q24)</f>
        <v>4852665.9308156818</v>
      </c>
    </row>
    <row r="26" spans="1:18" x14ac:dyDescent="0.3">
      <c r="A26" s="8" t="s">
        <v>212</v>
      </c>
      <c r="B26" s="6"/>
      <c r="D26" s="21"/>
      <c r="E26" s="292"/>
      <c r="F26" s="21"/>
      <c r="G26" s="781"/>
      <c r="H26" s="21"/>
      <c r="I26" s="21"/>
      <c r="J26" s="21"/>
      <c r="K26" s="21"/>
      <c r="L26" s="21"/>
      <c r="M26" s="21"/>
      <c r="N26" s="21"/>
      <c r="O26" s="21"/>
    </row>
    <row r="27" spans="1:18" x14ac:dyDescent="0.3">
      <c r="A27" s="316">
        <f>discount_rate</f>
        <v>0.06</v>
      </c>
      <c r="B27" s="639" t="s">
        <v>213</v>
      </c>
      <c r="C27" s="640">
        <f>NPV(A27,H27:Q27)</f>
        <v>638942580.22262633</v>
      </c>
      <c r="D27" s="641"/>
      <c r="E27" s="642"/>
      <c r="F27" s="641"/>
      <c r="G27" s="782">
        <f>emissions!F66</f>
        <v>90564625.704416692</v>
      </c>
      <c r="H27" s="641">
        <f>emissions!G66</f>
        <v>64196005.639065422</v>
      </c>
      <c r="I27" s="641">
        <f>emissions!H66</f>
        <v>77772493.043643355</v>
      </c>
      <c r="J27" s="641">
        <f>emissions!I66</f>
        <v>81639230.102173284</v>
      </c>
      <c r="K27" s="641">
        <f>emissions!J66</f>
        <v>84859454.104858994</v>
      </c>
      <c r="L27" s="641">
        <f>emissions!K66</f>
        <v>99340350.6827043</v>
      </c>
      <c r="M27" s="641">
        <f>emissions!L66</f>
        <v>103032692.16607529</v>
      </c>
      <c r="N27" s="641">
        <f>emissions!M66</f>
        <v>108030867.72956836</v>
      </c>
      <c r="O27" s="641">
        <f>emissions!N66</f>
        <v>123892848.86210379</v>
      </c>
      <c r="P27" s="641">
        <f>emissions!O66</f>
        <v>130013999.66203275</v>
      </c>
      <c r="Q27" s="687">
        <f>emissions!Q66</f>
        <v>0</v>
      </c>
      <c r="R27" s="26" t="s">
        <v>214</v>
      </c>
    </row>
    <row r="28" spans="1:18" x14ac:dyDescent="0.3">
      <c r="B28" s="6"/>
      <c r="C28" s="80">
        <f>ROUND(C27,-6)</f>
        <v>639000000</v>
      </c>
      <c r="D28" s="21"/>
      <c r="E28" s="292"/>
      <c r="F28" s="21"/>
      <c r="G28" s="781"/>
      <c r="H28" s="21"/>
      <c r="I28" s="21"/>
      <c r="J28" s="21"/>
      <c r="K28" s="21"/>
      <c r="L28" s="21"/>
      <c r="M28" s="21"/>
      <c r="N28" s="21"/>
      <c r="O28" s="21"/>
      <c r="P28" s="21"/>
      <c r="Q28" s="683"/>
      <c r="R28" s="26"/>
    </row>
    <row r="29" spans="1:18" x14ac:dyDescent="0.3">
      <c r="C29" s="80"/>
      <c r="E29" s="17"/>
    </row>
    <row r="30" spans="1:18" x14ac:dyDescent="0.3">
      <c r="B30" t="s">
        <v>215</v>
      </c>
      <c r="C30" s="80">
        <f>NPV(discount_rate,H30:Q30)</f>
        <v>7993560831.7775202</v>
      </c>
      <c r="D30" s="25">
        <f>C6+D25</f>
        <v>884537532.11177206</v>
      </c>
      <c r="E30" s="294">
        <f t="shared" ref="E30:P30" si="7">E15+E25</f>
        <v>884537532.11177206</v>
      </c>
      <c r="F30" s="25">
        <f t="shared" si="7"/>
        <v>890736242.80841506</v>
      </c>
      <c r="G30" s="783">
        <f>G15+G25</f>
        <v>884752754.45026827</v>
      </c>
      <c r="H30" s="25">
        <f t="shared" si="7"/>
        <v>1185876546.1385767</v>
      </c>
      <c r="I30" s="25">
        <f t="shared" si="7"/>
        <v>1042799090.3099815</v>
      </c>
      <c r="J30" s="25">
        <f t="shared" si="7"/>
        <v>971446560.4488833</v>
      </c>
      <c r="K30" s="25">
        <f t="shared" si="7"/>
        <v>996761990.83124995</v>
      </c>
      <c r="L30" s="25">
        <f t="shared" si="7"/>
        <v>1036424974.3880705</v>
      </c>
      <c r="M30" s="25">
        <f t="shared" si="7"/>
        <v>1068931905.0135106</v>
      </c>
      <c r="N30" s="25">
        <f t="shared" si="7"/>
        <v>1100256470.73806</v>
      </c>
      <c r="O30" s="25">
        <f t="shared" si="7"/>
        <v>1136419486.203716</v>
      </c>
      <c r="P30" s="25">
        <f t="shared" si="7"/>
        <v>1169636171.2224977</v>
      </c>
      <c r="Q30" s="685">
        <f>Q15+Q25</f>
        <v>1211460181.4015646</v>
      </c>
    </row>
    <row r="31" spans="1:18" x14ac:dyDescent="0.3">
      <c r="B31" t="s">
        <v>216</v>
      </c>
      <c r="D31" s="7">
        <f>loads!D12</f>
        <v>5415649.5630000001</v>
      </c>
      <c r="E31" s="295">
        <f>loads!E12</f>
        <v>5525385.8839999996</v>
      </c>
      <c r="F31" s="7">
        <f>loads!F12</f>
        <v>5405687</v>
      </c>
      <c r="G31" s="784">
        <f>loads!G12</f>
        <v>5300757</v>
      </c>
      <c r="H31" s="7">
        <f>loads!H12</f>
        <v>5382463.5149999997</v>
      </c>
      <c r="I31" s="7">
        <f>loads!I12</f>
        <v>5396107.3391925404</v>
      </c>
      <c r="J31" s="7">
        <f>loads!J12</f>
        <v>5444049.6353459256</v>
      </c>
      <c r="K31" s="7">
        <f>loads!K12</f>
        <v>5444176.19089635</v>
      </c>
      <c r="L31" s="7">
        <f>loads!L12</f>
        <v>5420015.2987993369</v>
      </c>
      <c r="M31" s="7">
        <f>loads!M12</f>
        <v>5419681.0107308971</v>
      </c>
      <c r="N31" s="7">
        <f>loads!N12</f>
        <v>5418597.744277088</v>
      </c>
      <c r="O31" s="7">
        <f>loads!O12</f>
        <v>5440522.5324030193</v>
      </c>
      <c r="P31" s="7">
        <f>loads!P12</f>
        <v>5472878.4803031404</v>
      </c>
      <c r="Q31" s="648">
        <f>loads!Q12</f>
        <v>5512057.3227288136</v>
      </c>
    </row>
    <row r="32" spans="1:18" x14ac:dyDescent="0.3">
      <c r="B32" t="s">
        <v>217</v>
      </c>
      <c r="C32" s="78">
        <f>C30/NPV(discount_rate,H31:Q31)</f>
        <v>199.99516156787604</v>
      </c>
      <c r="D32" s="27">
        <f>D30/D31</f>
        <v>163.32990564141716</v>
      </c>
      <c r="E32" s="297">
        <f>E30/E31</f>
        <v>160.08610994449273</v>
      </c>
      <c r="F32" s="27">
        <f>F30/F31</f>
        <v>164.77762082939967</v>
      </c>
      <c r="G32" s="788">
        <f>G30/G31</f>
        <v>166.91064209324597</v>
      </c>
      <c r="H32" s="27">
        <f>H30/H31</f>
        <v>220.32226374293907</v>
      </c>
      <c r="I32" s="27">
        <f t="shared" ref="I32:N32" si="8">I30/I31</f>
        <v>193.25024962643224</v>
      </c>
      <c r="J32" s="27">
        <f t="shared" si="8"/>
        <v>178.44189996756995</v>
      </c>
      <c r="K32" s="27">
        <f t="shared" si="8"/>
        <v>183.08775393750423</v>
      </c>
      <c r="L32" s="27">
        <f t="shared" si="8"/>
        <v>191.22178024435897</v>
      </c>
      <c r="M32" s="27">
        <f t="shared" si="8"/>
        <v>197.23151655919222</v>
      </c>
      <c r="N32" s="27">
        <f t="shared" si="8"/>
        <v>203.05188217747073</v>
      </c>
      <c r="O32" s="27">
        <f>O30/O31</f>
        <v>208.88057708342438</v>
      </c>
      <c r="P32" s="27">
        <f>P30/P31</f>
        <v>213.71499028016279</v>
      </c>
      <c r="Q32" s="688">
        <f>Q30/Q31</f>
        <v>219.7836688682722</v>
      </c>
    </row>
    <row r="33" spans="2:25" x14ac:dyDescent="0.3">
      <c r="B33" s="16">
        <f>C33/C18-1</f>
        <v>8.4854867381277899E-2</v>
      </c>
      <c r="C33" s="78">
        <f>(C30+500000000)/NPV(discount_rate,H31:Q31)</f>
        <v>212.50492822736132</v>
      </c>
      <c r="D33" s="27"/>
      <c r="E33" s="297"/>
      <c r="F33" s="27"/>
      <c r="G33" s="788"/>
      <c r="H33" s="27"/>
      <c r="I33" s="27"/>
      <c r="J33" s="27"/>
      <c r="K33" s="27"/>
      <c r="L33" s="27"/>
      <c r="M33" s="27"/>
      <c r="N33" s="27"/>
      <c r="O33" s="27"/>
      <c r="R33" s="21"/>
    </row>
    <row r="34" spans="2:25" x14ac:dyDescent="0.3">
      <c r="B34" s="14">
        <f>B33-C37</f>
        <v>6.3863371845318317E-2</v>
      </c>
      <c r="C34" s="78"/>
      <c r="D34" s="27"/>
      <c r="E34" s="297"/>
      <c r="F34" s="27"/>
      <c r="G34" s="788"/>
      <c r="H34" s="27"/>
      <c r="I34" s="27"/>
      <c r="J34" s="27"/>
      <c r="K34" s="27"/>
      <c r="L34" s="27"/>
      <c r="M34" s="27"/>
      <c r="N34" s="27"/>
      <c r="O34" s="27"/>
      <c r="R34" s="2"/>
    </row>
    <row r="35" spans="2:25" s="8" customFormat="1" ht="15" thickBot="1" x14ac:dyDescent="0.35">
      <c r="B35" s="8" t="s">
        <v>2</v>
      </c>
      <c r="C35" s="8" t="s">
        <v>44</v>
      </c>
      <c r="D35" s="9">
        <v>2017</v>
      </c>
      <c r="E35" s="298">
        <f t="shared" ref="E35:P35" si="9">E9</f>
        <v>2019</v>
      </c>
      <c r="F35" s="298">
        <f t="shared" si="9"/>
        <v>2020</v>
      </c>
      <c r="G35" s="789">
        <f t="shared" si="9"/>
        <v>2021</v>
      </c>
      <c r="H35" s="298">
        <f t="shared" si="9"/>
        <v>2022</v>
      </c>
      <c r="I35" s="298">
        <f t="shared" si="9"/>
        <v>2023</v>
      </c>
      <c r="J35" s="298">
        <f t="shared" si="9"/>
        <v>2024</v>
      </c>
      <c r="K35" s="298">
        <f t="shared" si="9"/>
        <v>2025</v>
      </c>
      <c r="L35" s="298">
        <f t="shared" si="9"/>
        <v>2026</v>
      </c>
      <c r="M35" s="298">
        <f t="shared" si="9"/>
        <v>2027</v>
      </c>
      <c r="N35" s="298">
        <f t="shared" si="9"/>
        <v>2028</v>
      </c>
      <c r="O35" s="298">
        <f t="shared" si="9"/>
        <v>2029</v>
      </c>
      <c r="P35" s="298">
        <f t="shared" si="9"/>
        <v>2030</v>
      </c>
      <c r="Q35" s="689">
        <f t="shared" ref="Q35" si="10">Q9</f>
        <v>2031</v>
      </c>
      <c r="R35" s="9"/>
      <c r="S35" s="9"/>
      <c r="T35" s="9"/>
      <c r="U35" s="9"/>
      <c r="V35" s="9"/>
      <c r="W35" s="9"/>
      <c r="X35" s="9"/>
      <c r="Y35" s="9"/>
    </row>
    <row r="36" spans="2:25" s="8" customFormat="1" x14ac:dyDescent="0.3">
      <c r="B36" s="233" t="s">
        <v>218</v>
      </c>
      <c r="C36" s="519">
        <f>NPV(discount_rate,H36:Q36)</f>
        <v>146914931.00543904</v>
      </c>
      <c r="D36" s="234"/>
      <c r="E36" s="299">
        <f>E25</f>
        <v>6717975.2335000001</v>
      </c>
      <c r="F36" s="522">
        <f t="shared" ref="F36:O36" si="11">F25</f>
        <v>12916685.930142976</v>
      </c>
      <c r="G36" s="790">
        <f t="shared" si="11"/>
        <v>23874160.571996257</v>
      </c>
      <c r="H36" s="235">
        <f t="shared" si="11"/>
        <v>28380405.334784329</v>
      </c>
      <c r="I36" s="235">
        <f t="shared" si="11"/>
        <v>27095188.372173458</v>
      </c>
      <c r="J36" s="235">
        <f t="shared" si="11"/>
        <v>23307335.892156854</v>
      </c>
      <c r="K36" s="235">
        <f t="shared" si="11"/>
        <v>21453857.152641963</v>
      </c>
      <c r="L36" s="235">
        <f t="shared" si="11"/>
        <v>21354476.020583399</v>
      </c>
      <c r="M36" s="235">
        <f t="shared" si="11"/>
        <v>19196593.027828768</v>
      </c>
      <c r="N36" s="235">
        <f t="shared" si="11"/>
        <v>16575031.971666016</v>
      </c>
      <c r="O36" s="235">
        <f t="shared" si="11"/>
        <v>15494181.492857642</v>
      </c>
      <c r="P36" s="235">
        <f>P25</f>
        <v>11013974.948193818</v>
      </c>
      <c r="Q36" s="690">
        <f t="shared" ref="Q36" si="12">Q25</f>
        <v>4852665.9308156818</v>
      </c>
      <c r="R36" s="9"/>
      <c r="S36" s="9"/>
      <c r="T36" s="9"/>
      <c r="U36" s="9"/>
      <c r="V36" s="9"/>
      <c r="W36" s="9"/>
      <c r="X36" s="9"/>
      <c r="Y36" s="9"/>
    </row>
    <row r="37" spans="2:25" x14ac:dyDescent="0.3">
      <c r="B37" s="120" t="s">
        <v>85</v>
      </c>
      <c r="C37" s="735">
        <f>C32/C18-1</f>
        <v>2.0991495535959581E-2</v>
      </c>
      <c r="D37" s="210">
        <f t="shared" ref="D37:O37" si="13">D32/D18-1</f>
        <v>7.6530252497342133E-3</v>
      </c>
      <c r="E37" s="300">
        <f t="shared" si="13"/>
        <v>-1.4176208963731951E-2</v>
      </c>
      <c r="F37" s="523">
        <f t="shared" si="13"/>
        <v>-4.9821512738208451E-3</v>
      </c>
      <c r="G37" s="791">
        <f t="shared" si="13"/>
        <v>4.3573911258329767E-2</v>
      </c>
      <c r="H37" s="236">
        <f t="shared" si="13"/>
        <v>3.5861454165246887E-2</v>
      </c>
      <c r="I37" s="236">
        <f t="shared" si="13"/>
        <v>4.5519476122464209E-2</v>
      </c>
      <c r="J37" s="236">
        <f t="shared" si="13"/>
        <v>3.4925372191022319E-2</v>
      </c>
      <c r="K37" s="236">
        <f t="shared" si="13"/>
        <v>2.5419080378972225E-2</v>
      </c>
      <c r="L37" s="236">
        <f t="shared" si="13"/>
        <v>2.4339309388616392E-2</v>
      </c>
      <c r="M37" s="236">
        <f t="shared" si="13"/>
        <v>1.7339707359630641E-2</v>
      </c>
      <c r="N37" s="236">
        <f t="shared" si="13"/>
        <v>1.3624117362551535E-2</v>
      </c>
      <c r="O37" s="236">
        <f t="shared" si="13"/>
        <v>7.7722927150138954E-3</v>
      </c>
      <c r="P37" s="236">
        <f>P32/P18-1</f>
        <v>-2.6619174911012289E-3</v>
      </c>
      <c r="Q37" s="691">
        <f>Q32/Q18-1</f>
        <v>-1.559850045702682E-2</v>
      </c>
    </row>
    <row r="38" spans="2:25" x14ac:dyDescent="0.3">
      <c r="B38" s="120" t="s">
        <v>219</v>
      </c>
      <c r="C38" s="520">
        <f>SUM(H38:Q38)</f>
        <v>-16259219.020914635</v>
      </c>
      <c r="D38" s="209">
        <f>-'Tier III'!D98</f>
        <v>0</v>
      </c>
      <c r="E38" s="301">
        <f>-'Tier III'!D98</f>
        <v>0</v>
      </c>
      <c r="F38" s="524">
        <f>-'Tier III'!E98</f>
        <v>-270420.72773086978</v>
      </c>
      <c r="G38" s="792">
        <f>-'Tier III'!F98</f>
        <v>-420915.70189590554</v>
      </c>
      <c r="H38" s="237">
        <f>-'Tier III'!G98</f>
        <v>-592035.92052926845</v>
      </c>
      <c r="I38" s="237">
        <f>-'Tier III'!H98</f>
        <v>-785509.77941476984</v>
      </c>
      <c r="J38" s="237">
        <f>-'Tier III'!I98</f>
        <v>-999070.53197022842</v>
      </c>
      <c r="K38" s="237">
        <f>-'Tier III'!J98</f>
        <v>-1231716.2331313039</v>
      </c>
      <c r="L38" s="237">
        <f>-'Tier III'!K98</f>
        <v>-1484818.9926405055</v>
      </c>
      <c r="M38" s="237">
        <f>-'Tier III'!L98</f>
        <v>-1700102.0018335728</v>
      </c>
      <c r="N38" s="237">
        <f>-'Tier III'!M98</f>
        <v>-1927005.93877127</v>
      </c>
      <c r="O38" s="237">
        <f>-'Tier III'!N98</f>
        <v>-2163835.0932321874</v>
      </c>
      <c r="P38" s="237">
        <f>-'Tier III'!O98</f>
        <v>-2505050.2932964382</v>
      </c>
      <c r="Q38" s="692">
        <f>-'Tier III'!P98</f>
        <v>-2870074.2360950918</v>
      </c>
    </row>
    <row r="39" spans="2:25" x14ac:dyDescent="0.3">
      <c r="B39" s="120" t="s">
        <v>220</v>
      </c>
      <c r="C39" s="520">
        <f>SUM(H39:Q39)</f>
        <v>2117089.8178730565</v>
      </c>
      <c r="D39" s="121"/>
      <c r="E39" s="301">
        <f>'Tier III'!D50</f>
        <v>0</v>
      </c>
      <c r="F39" s="524">
        <f>'Tier III'!E50</f>
        <v>34324.629466044098</v>
      </c>
      <c r="G39" s="792">
        <f>'Tier III'!F50</f>
        <v>53299.039142610396</v>
      </c>
      <c r="H39" s="237">
        <f>'Tier III'!G50</f>
        <v>75040.025881752255</v>
      </c>
      <c r="I39" s="237">
        <f>'Tier III'!H50</f>
        <v>99683.809429808374</v>
      </c>
      <c r="J39" s="237">
        <f>'Tier III'!I50</f>
        <v>127026.8561600195</v>
      </c>
      <c r="K39" s="237">
        <f>'Tier III'!J50</f>
        <v>156921.72453600258</v>
      </c>
      <c r="L39" s="237">
        <f>'Tier III'!K50</f>
        <v>189477.4561759622</v>
      </c>
      <c r="M39" s="237">
        <f>'Tier III'!L50</f>
        <v>220010.44915249778</v>
      </c>
      <c r="N39" s="237">
        <f>'Tier III'!M50</f>
        <v>252559.33973117836</v>
      </c>
      <c r="O39" s="237">
        <f>'Tier III'!N50</f>
        <v>287031.29252736422</v>
      </c>
      <c r="P39" s="237">
        <f>'Tier III'!O50</f>
        <v>331090.58016000851</v>
      </c>
      <c r="Q39" s="692">
        <f>'Tier III'!P50</f>
        <v>378248.28411846247</v>
      </c>
    </row>
    <row r="40" spans="2:25" x14ac:dyDescent="0.3">
      <c r="B40" s="120" t="s">
        <v>221</v>
      </c>
      <c r="C40" s="767">
        <f>SUM('Tier III'!F50:O50)/SUM(loads!F3:O3)</f>
        <v>3.3229858817812846E-2</v>
      </c>
      <c r="D40" s="121"/>
      <c r="E40" s="300">
        <f>'Tier III'!D50/loads!E11</f>
        <v>0</v>
      </c>
      <c r="F40" s="523">
        <f>'Tier III'!E50/loads!F11</f>
        <v>6.3497256622597831E-3</v>
      </c>
      <c r="G40" s="791">
        <f>'Tier III'!F50/loads!G11</f>
        <v>1.0054986324143965E-2</v>
      </c>
      <c r="H40" s="236">
        <f>'Tier III'!G50/loads!H11</f>
        <v>1.3941576319584632E-2</v>
      </c>
      <c r="I40" s="236">
        <f>'Tier III'!H50/loads!I11</f>
        <v>1.8733799736088047E-2</v>
      </c>
      <c r="J40" s="236">
        <f>'Tier III'!I50/loads!J11</f>
        <v>2.3768368464605411E-2</v>
      </c>
      <c r="K40" s="236">
        <f>'Tier III'!J50/loads!K11</f>
        <v>2.9512378655767828E-2</v>
      </c>
      <c r="L40" s="236">
        <f>'Tier III'!K50/loads!L11</f>
        <v>3.6001156639606777E-2</v>
      </c>
      <c r="M40" s="236">
        <f>'Tier III'!L50/loads!M11</f>
        <v>4.2065370278159209E-2</v>
      </c>
      <c r="N40" s="236">
        <f>'Tier III'!M50/loads!N11</f>
        <v>4.8582302343568799E-2</v>
      </c>
      <c r="O40" s="236">
        <f>'Tier III'!N50/loads!O11</f>
        <v>5.5326393397085935E-2</v>
      </c>
      <c r="P40" s="236">
        <f>'Tier III'!O50/loads!P11</f>
        <v>6.3845032098220039E-2</v>
      </c>
      <c r="Q40" s="691">
        <f>'Tier III'!P50/loads!Q11</f>
        <v>7.3007278933221065E-2</v>
      </c>
    </row>
    <row r="41" spans="2:25" x14ac:dyDescent="0.3">
      <c r="B41" s="120" t="s">
        <v>222</v>
      </c>
      <c r="C41" s="520">
        <f>SUM(H41:Q41)</f>
        <v>-135328374.91763785</v>
      </c>
      <c r="D41" s="209"/>
      <c r="E41" s="301">
        <f>-emissions!D68</f>
        <v>0</v>
      </c>
      <c r="F41" s="524">
        <f>-emissions!E68</f>
        <v>-14363636.918278862</v>
      </c>
      <c r="G41" s="792">
        <f>-emissions!F68</f>
        <v>-15817555.576938653</v>
      </c>
      <c r="H41" s="237">
        <f>-emissions!G68</f>
        <v>-10905916.884428499</v>
      </c>
      <c r="I41" s="237">
        <f>-emissions!H68</f>
        <v>-12940371.100468347</v>
      </c>
      <c r="J41" s="237">
        <f>-emissions!I68</f>
        <v>-13230426.712097112</v>
      </c>
      <c r="K41" s="237">
        <f>-emissions!J68</f>
        <v>-13493494.133288508</v>
      </c>
      <c r="L41" s="237">
        <f>-emissions!K68</f>
        <v>-15502503.180409024</v>
      </c>
      <c r="M41" s="237">
        <f>-emissions!L68</f>
        <v>-15824296.591333104</v>
      </c>
      <c r="N41" s="237">
        <f>-emissions!M68</f>
        <v>-16211672.473723395</v>
      </c>
      <c r="O41" s="237">
        <f>-emissions!N68</f>
        <v>-18322776.512124352</v>
      </c>
      <c r="P41" s="237">
        <f>-emissions!O68</f>
        <v>-18896917.329765506</v>
      </c>
      <c r="Q41" s="692">
        <f>-emissions!Q68</f>
        <v>0</v>
      </c>
    </row>
    <row r="42" spans="2:25" x14ac:dyDescent="0.3">
      <c r="B42" s="120" t="s">
        <v>223</v>
      </c>
      <c r="C42" s="520">
        <f>SUM(H42:Q42)</f>
        <v>16808678988.555523</v>
      </c>
      <c r="D42" s="209">
        <f>emissions!D47+'Tier III'!E90</f>
        <v>2004962395.0206723</v>
      </c>
      <c r="E42" s="301">
        <f>emissions!D47+'Tier III'!D90</f>
        <v>1947011382.1435912</v>
      </c>
      <c r="F42" s="524">
        <f>emissions!E48+emissions!E45</f>
        <v>1465244979.6671784</v>
      </c>
      <c r="G42" s="792">
        <f>emissions!F48+emissions!F45</f>
        <v>1622800284.9799542</v>
      </c>
      <c r="H42" s="237">
        <f>emissions!G48+emissions!G45</f>
        <v>1141032229.2620983</v>
      </c>
      <c r="I42" s="237">
        <f>emissions!H48+emissions!H45</f>
        <v>1360401386.2554758</v>
      </c>
      <c r="J42" s="237">
        <f>emissions!I48+emissions!I45</f>
        <v>1405725493.3217964</v>
      </c>
      <c r="K42" s="237">
        <f>emissions!J48+emissions!J45</f>
        <v>1449846797.2644124</v>
      </c>
      <c r="L42" s="237">
        <f>emissions!K48+emissions!K45</f>
        <v>1671344525.9899259</v>
      </c>
      <c r="M42" s="237">
        <f>emissions!L48+emissions!L45</f>
        <v>1720333738.8941665</v>
      </c>
      <c r="N42" s="237">
        <f>emissions!M48+emissions!M45</f>
        <v>1776865913.9997663</v>
      </c>
      <c r="O42" s="237">
        <f>emissions!N48+emissions!N45</f>
        <v>2007792933.0299764</v>
      </c>
      <c r="P42" s="237">
        <f>emissions!O48+emissions!O45</f>
        <v>2091612082.1541619</v>
      </c>
      <c r="Q42" s="692">
        <f>emissions!P48+emissions!P45</f>
        <v>2183723888.3837452</v>
      </c>
    </row>
    <row r="43" spans="2:25" ht="15" thickBot="1" x14ac:dyDescent="0.35">
      <c r="B43" s="133" t="s">
        <v>224</v>
      </c>
      <c r="C43" s="521">
        <f>SUM(H43:Q43)</f>
        <v>7626442.3723028693</v>
      </c>
      <c r="D43" s="211">
        <f>D42/2204</f>
        <v>909692.55672444298</v>
      </c>
      <c r="E43" s="302">
        <f>E42/2204</f>
        <v>883398.99371306319</v>
      </c>
      <c r="F43" s="525">
        <f>F42/2204</f>
        <v>664811.69676369254</v>
      </c>
      <c r="G43" s="793">
        <f>G42/2204</f>
        <v>736297.76995460724</v>
      </c>
      <c r="H43" s="238">
        <f>H42/2204</f>
        <v>517709.7228956889</v>
      </c>
      <c r="I43" s="238">
        <f t="shared" ref="I43:N43" si="14">I42/2204</f>
        <v>617242.00828288379</v>
      </c>
      <c r="J43" s="238">
        <f t="shared" si="14"/>
        <v>637806.4851732289</v>
      </c>
      <c r="K43" s="238">
        <f t="shared" si="14"/>
        <v>657825.22561906185</v>
      </c>
      <c r="L43" s="238">
        <f t="shared" si="14"/>
        <v>758323.2876542313</v>
      </c>
      <c r="M43" s="238">
        <f t="shared" si="14"/>
        <v>780550.69822784327</v>
      </c>
      <c r="N43" s="238">
        <f t="shared" si="14"/>
        <v>806200.50544454006</v>
      </c>
      <c r="O43" s="238">
        <f>O42/2204</f>
        <v>910976.82986841036</v>
      </c>
      <c r="P43" s="238">
        <f>P42/2204</f>
        <v>949007.29680315882</v>
      </c>
      <c r="Q43" s="693">
        <f>Q42/2204</f>
        <v>990800.31233382272</v>
      </c>
    </row>
    <row r="44" spans="2:25" x14ac:dyDescent="0.3">
      <c r="C44" s="12">
        <f>ROUND(C43,-6)</f>
        <v>8000000</v>
      </c>
      <c r="G44" s="794">
        <f>ROUND(C41,-6)</f>
        <v>-135000000</v>
      </c>
    </row>
    <row r="46" spans="2:25" x14ac:dyDescent="0.3">
      <c r="C46" s="2"/>
    </row>
    <row r="47" spans="2:25" x14ac:dyDescent="0.3">
      <c r="C47" s="2"/>
      <c r="H47" s="25"/>
    </row>
    <row r="48" spans="2:25" x14ac:dyDescent="0.3">
      <c r="C48" s="2"/>
    </row>
    <row r="49" spans="3:3" x14ac:dyDescent="0.3">
      <c r="C49" s="2"/>
    </row>
    <row r="50" spans="3:3" x14ac:dyDescent="0.3">
      <c r="C50" s="4"/>
    </row>
    <row r="51" spans="3:3" x14ac:dyDescent="0.3">
      <c r="C51" s="10"/>
    </row>
    <row r="52" spans="3:3" x14ac:dyDescent="0.3">
      <c r="C52" s="394"/>
    </row>
  </sheetData>
  <pageMargins left="0.7" right="0.7" top="0.75" bottom="0.75" header="0.3" footer="0.3"/>
  <pageSetup scale="57" orientation="landscape"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42"/>
  <sheetViews>
    <sheetView zoomScaleNormal="100" workbookViewId="0"/>
  </sheetViews>
  <sheetFormatPr defaultRowHeight="14.4" x14ac:dyDescent="0.3"/>
  <cols>
    <col min="1" max="1" width="9.6640625" customWidth="1"/>
    <col min="2" max="2" width="19.88671875" customWidth="1"/>
    <col min="3" max="3" width="10.44140625" bestFit="1" customWidth="1"/>
    <col min="4" max="4" width="14.88671875" bestFit="1" customWidth="1"/>
    <col min="5" max="5" width="19.109375" bestFit="1" customWidth="1"/>
    <col min="6" max="6" width="14.6640625" customWidth="1"/>
    <col min="7" max="7" width="13" bestFit="1" customWidth="1"/>
    <col min="8" max="8" width="13" customWidth="1"/>
    <col min="9" max="14" width="13" bestFit="1" customWidth="1"/>
    <col min="15" max="15" width="14.6640625" customWidth="1"/>
    <col min="16" max="16" width="13" style="668" bestFit="1" customWidth="1"/>
  </cols>
  <sheetData>
    <row r="1" spans="1:38" x14ac:dyDescent="0.3">
      <c r="A1" t="s">
        <v>225</v>
      </c>
      <c r="B1" s="44" t="str">
        <f>REC_scenario</f>
        <v>mid</v>
      </c>
      <c r="P1" s="643"/>
    </row>
    <row r="2" spans="1:38" s="8" customFormat="1" x14ac:dyDescent="0.3">
      <c r="D2" s="461">
        <f>base_year-2</f>
        <v>2019</v>
      </c>
      <c r="E2" s="461">
        <f>D2+1</f>
        <v>2020</v>
      </c>
      <c r="F2" s="9">
        <f t="shared" ref="F2:P2" si="0">E2+1</f>
        <v>2021</v>
      </c>
      <c r="G2" s="9">
        <f t="shared" si="0"/>
        <v>2022</v>
      </c>
      <c r="H2" s="9">
        <f t="shared" si="0"/>
        <v>2023</v>
      </c>
      <c r="I2" s="9">
        <f t="shared" si="0"/>
        <v>2024</v>
      </c>
      <c r="J2" s="9">
        <f t="shared" si="0"/>
        <v>2025</v>
      </c>
      <c r="K2" s="9">
        <f t="shared" si="0"/>
        <v>2026</v>
      </c>
      <c r="L2" s="9">
        <f t="shared" si="0"/>
        <v>2027</v>
      </c>
      <c r="M2" s="9">
        <f t="shared" si="0"/>
        <v>2028</v>
      </c>
      <c r="N2" s="9">
        <f t="shared" si="0"/>
        <v>2029</v>
      </c>
      <c r="O2" s="9">
        <f t="shared" si="0"/>
        <v>2030</v>
      </c>
      <c r="P2" s="644">
        <f t="shared" si="0"/>
        <v>2031</v>
      </c>
      <c r="Q2" s="9">
        <f t="shared" ref="Q2" si="1">P2+1</f>
        <v>2032</v>
      </c>
      <c r="R2" s="9">
        <f t="shared" ref="R2" si="2">Q2+1</f>
        <v>2033</v>
      </c>
      <c r="S2" s="9">
        <f t="shared" ref="S2" si="3">R2+1</f>
        <v>2034</v>
      </c>
      <c r="T2" s="9">
        <f t="shared" ref="T2" si="4">S2+1</f>
        <v>2035</v>
      </c>
      <c r="U2" s="9">
        <f t="shared" ref="U2" si="5">T2+1</f>
        <v>2036</v>
      </c>
      <c r="V2" s="9">
        <f t="shared" ref="V2" si="6">U2+1</f>
        <v>2037</v>
      </c>
      <c r="W2" s="9">
        <f t="shared" ref="W2" si="7">V2+1</f>
        <v>2038</v>
      </c>
      <c r="X2" s="9">
        <f t="shared" ref="X2" si="8">W2+1</f>
        <v>2039</v>
      </c>
      <c r="Y2" s="9">
        <f t="shared" ref="Y2" si="9">X2+1</f>
        <v>2040</v>
      </c>
      <c r="Z2" s="9">
        <f t="shared" ref="Z2" si="10">Y2+1</f>
        <v>2041</v>
      </c>
      <c r="AA2" s="9">
        <f t="shared" ref="AA2" si="11">Z2+1</f>
        <v>2042</v>
      </c>
      <c r="AB2" s="9">
        <f t="shared" ref="AB2" si="12">AA2+1</f>
        <v>2043</v>
      </c>
      <c r="AC2" s="9">
        <f t="shared" ref="AC2" si="13">AB2+1</f>
        <v>2044</v>
      </c>
      <c r="AD2" s="9">
        <f t="shared" ref="AD2" si="14">AC2+1</f>
        <v>2045</v>
      </c>
      <c r="AE2" s="9">
        <f t="shared" ref="AE2" si="15">AD2+1</f>
        <v>2046</v>
      </c>
      <c r="AF2" s="9">
        <f t="shared" ref="AF2" si="16">AE2+1</f>
        <v>2047</v>
      </c>
      <c r="AG2" s="9">
        <f t="shared" ref="AG2" si="17">AF2+1</f>
        <v>2048</v>
      </c>
      <c r="AH2" s="9">
        <f t="shared" ref="AH2" si="18">AG2+1</f>
        <v>2049</v>
      </c>
      <c r="AI2" s="9">
        <f t="shared" ref="AI2" si="19">AH2+1</f>
        <v>2050</v>
      </c>
      <c r="AJ2" s="9">
        <f t="shared" ref="AJ2" si="20">AI2+1</f>
        <v>2051</v>
      </c>
      <c r="AK2" s="9">
        <f t="shared" ref="AK2" si="21">AJ2+1</f>
        <v>2052</v>
      </c>
      <c r="AL2" s="9"/>
    </row>
    <row r="3" spans="1:38" x14ac:dyDescent="0.3">
      <c r="B3" t="s">
        <v>123</v>
      </c>
      <c r="C3" t="s">
        <v>122</v>
      </c>
      <c r="D3" s="462">
        <f>requirements!D11</f>
        <v>2854202.736</v>
      </c>
      <c r="E3" s="462">
        <f>requirements!E11</f>
        <v>2979025.4339999999</v>
      </c>
      <c r="F3" s="10">
        <f>requirements!F11</f>
        <v>2992649.7143399995</v>
      </c>
      <c r="G3" s="10">
        <f>requirements!G11</f>
        <v>2967992.6089149858</v>
      </c>
      <c r="H3" s="10">
        <f>requirements!H11</f>
        <v>3175327.9397006528</v>
      </c>
      <c r="I3" s="10">
        <f>requirements!I11</f>
        <v>3138236.0324899508</v>
      </c>
      <c r="J3" s="10">
        <f>requirements!J11</f>
        <v>3086816.7677763188</v>
      </c>
      <c r="K3" s="10">
        <f>requirements!K11</f>
        <v>3264597.9191291085</v>
      </c>
      <c r="L3" s="10">
        <f>requirements!L11</f>
        <v>3232838.850780332</v>
      </c>
      <c r="M3" s="10">
        <f>requirements!M11</f>
        <v>3212336.3432436576</v>
      </c>
      <c r="N3" s="10">
        <f>requirements!N11</f>
        <v>3415319.2992743677</v>
      </c>
      <c r="O3" s="10">
        <f>requirements!O11</f>
        <v>3401094.777829818</v>
      </c>
      <c r="P3" s="654">
        <f>requirements!P11</f>
        <v>3393089.4121609819</v>
      </c>
      <c r="Q3" s="10"/>
      <c r="R3" s="32"/>
      <c r="S3" s="32"/>
      <c r="T3" s="32"/>
    </row>
    <row r="4" spans="1:38" s="8" customFormat="1" x14ac:dyDescent="0.3">
      <c r="D4" s="461"/>
      <c r="E4" s="461"/>
      <c r="F4" s="9"/>
      <c r="G4" s="9"/>
      <c r="H4" s="9"/>
      <c r="I4" s="9"/>
      <c r="J4" s="9"/>
      <c r="K4" s="9"/>
      <c r="L4" s="9"/>
      <c r="M4" s="9"/>
      <c r="N4" s="9"/>
      <c r="O4" s="9"/>
      <c r="P4" s="644"/>
      <c r="Q4" s="9"/>
      <c r="R4" s="9"/>
      <c r="S4" s="9"/>
      <c r="T4" s="9"/>
      <c r="U4" s="9"/>
      <c r="V4" s="9"/>
      <c r="W4" s="9"/>
      <c r="X4" s="9"/>
    </row>
    <row r="5" spans="1:38" s="8" customFormat="1" x14ac:dyDescent="0.3">
      <c r="D5" s="461"/>
      <c r="E5" s="461"/>
      <c r="F5" s="9"/>
      <c r="G5" s="9"/>
      <c r="H5" s="9"/>
      <c r="I5" s="9"/>
      <c r="J5" s="9"/>
      <c r="K5" s="9"/>
      <c r="L5" s="9"/>
      <c r="M5" s="9"/>
      <c r="N5" s="9"/>
      <c r="O5" s="9"/>
      <c r="P5" s="644"/>
      <c r="Q5" s="9"/>
      <c r="R5" s="9"/>
      <c r="S5" s="9"/>
      <c r="T5" s="9"/>
      <c r="U5" s="9"/>
      <c r="V5" s="9"/>
      <c r="W5" s="9"/>
      <c r="X5" s="9"/>
    </row>
    <row r="6" spans="1:38" x14ac:dyDescent="0.3">
      <c r="A6" t="s">
        <v>226</v>
      </c>
      <c r="B6" t="s">
        <v>227</v>
      </c>
      <c r="C6" t="s">
        <v>122</v>
      </c>
      <c r="D6" s="463">
        <v>85000</v>
      </c>
      <c r="E6" s="463">
        <v>85000</v>
      </c>
      <c r="F6" s="224">
        <v>120000</v>
      </c>
      <c r="G6" s="224">
        <v>120000</v>
      </c>
      <c r="H6" s="224">
        <v>120000</v>
      </c>
      <c r="I6" s="224">
        <v>120000</v>
      </c>
      <c r="J6" s="224">
        <v>120000</v>
      </c>
      <c r="K6" s="224">
        <v>120000</v>
      </c>
      <c r="L6" s="224">
        <v>120000</v>
      </c>
      <c r="M6" s="224">
        <v>120000</v>
      </c>
      <c r="N6" s="224">
        <v>120000</v>
      </c>
      <c r="O6" s="224">
        <v>120000</v>
      </c>
      <c r="P6" s="701">
        <v>120000</v>
      </c>
      <c r="Q6" s="5"/>
      <c r="R6" s="5"/>
      <c r="S6" s="5"/>
      <c r="T6" s="5"/>
      <c r="U6" s="5"/>
      <c r="V6" s="5"/>
      <c r="W6" s="5"/>
      <c r="X6" s="5"/>
    </row>
    <row r="7" spans="1:38" x14ac:dyDescent="0.3">
      <c r="A7" t="s">
        <v>226</v>
      </c>
      <c r="B7" s="6" t="s">
        <v>228</v>
      </c>
      <c r="C7" t="s">
        <v>122</v>
      </c>
      <c r="D7" s="463">
        <f>225*16*365*0.99</f>
        <v>1300860</v>
      </c>
      <c r="E7" s="463">
        <f t="shared" ref="E7:P7" si="22">225*16*365*0.99</f>
        <v>1300860</v>
      </c>
      <c r="F7" s="5">
        <f>225*16*365*0.99</f>
        <v>1300860</v>
      </c>
      <c r="G7" s="5">
        <f t="shared" si="22"/>
        <v>1300860</v>
      </c>
      <c r="H7" s="5">
        <f t="shared" si="22"/>
        <v>1300860</v>
      </c>
      <c r="I7" s="5">
        <f t="shared" si="22"/>
        <v>1300860</v>
      </c>
      <c r="J7" s="5">
        <f t="shared" si="22"/>
        <v>1300860</v>
      </c>
      <c r="K7" s="5">
        <f t="shared" si="22"/>
        <v>1300860</v>
      </c>
      <c r="L7" s="5">
        <f t="shared" si="22"/>
        <v>1300860</v>
      </c>
      <c r="M7" s="5">
        <f t="shared" si="22"/>
        <v>1300860</v>
      </c>
      <c r="N7" s="5">
        <f t="shared" si="22"/>
        <v>1300860</v>
      </c>
      <c r="O7" s="5">
        <f t="shared" si="22"/>
        <v>1300860</v>
      </c>
      <c r="P7" s="699">
        <f t="shared" si="22"/>
        <v>1300860</v>
      </c>
      <c r="Q7" s="5"/>
      <c r="R7" s="5"/>
      <c r="S7" s="5"/>
      <c r="T7" s="5"/>
      <c r="U7" s="5"/>
      <c r="V7" s="5"/>
      <c r="W7" s="5"/>
      <c r="X7" s="5"/>
    </row>
    <row r="8" spans="1:38" x14ac:dyDescent="0.3">
      <c r="A8" t="s">
        <v>226</v>
      </c>
      <c r="B8" s="6" t="s">
        <v>229</v>
      </c>
      <c r="C8" t="s">
        <v>122</v>
      </c>
      <c r="D8" s="463"/>
      <c r="E8" s="463"/>
      <c r="F8" s="5"/>
      <c r="G8" s="5"/>
      <c r="H8" s="5">
        <v>800000</v>
      </c>
      <c r="I8" s="5">
        <v>800000</v>
      </c>
      <c r="J8" s="5">
        <v>800000</v>
      </c>
      <c r="K8" s="5">
        <v>800000</v>
      </c>
      <c r="L8" s="5">
        <v>800000</v>
      </c>
      <c r="M8" s="5">
        <v>800000</v>
      </c>
      <c r="N8" s="5">
        <v>800000</v>
      </c>
      <c r="O8" s="5">
        <v>800000</v>
      </c>
      <c r="P8" s="699">
        <v>800000</v>
      </c>
      <c r="Q8" s="954">
        <v>800000</v>
      </c>
      <c r="R8" s="5">
        <v>800000</v>
      </c>
      <c r="S8" s="5">
        <v>800000</v>
      </c>
      <c r="T8" s="5">
        <v>800000</v>
      </c>
      <c r="U8" s="5">
        <v>800000</v>
      </c>
      <c r="V8" s="5">
        <v>800000</v>
      </c>
      <c r="W8" s="5">
        <v>800000</v>
      </c>
      <c r="X8" s="5">
        <v>800000</v>
      </c>
      <c r="Y8" s="5">
        <v>800000</v>
      </c>
      <c r="Z8" s="5">
        <v>800000</v>
      </c>
      <c r="AA8" s="5">
        <v>800000</v>
      </c>
      <c r="AB8" s="5">
        <v>800000</v>
      </c>
      <c r="AC8" s="5">
        <v>800000</v>
      </c>
      <c r="AD8" s="5">
        <v>800000</v>
      </c>
      <c r="AE8" s="5">
        <v>800000</v>
      </c>
      <c r="AF8" s="5">
        <v>800000</v>
      </c>
      <c r="AG8" s="5">
        <v>800000</v>
      </c>
      <c r="AH8" s="5">
        <v>800000</v>
      </c>
      <c r="AI8" s="5">
        <v>800000</v>
      </c>
      <c r="AJ8" s="5">
        <v>800000</v>
      </c>
      <c r="AK8" s="5">
        <v>800000</v>
      </c>
    </row>
    <row r="9" spans="1:38" x14ac:dyDescent="0.3">
      <c r="A9" t="s">
        <v>226</v>
      </c>
      <c r="B9" s="6" t="s">
        <v>230</v>
      </c>
      <c r="C9" t="s">
        <v>122</v>
      </c>
      <c r="D9" s="463">
        <f>D3-D6-D7</f>
        <v>1468342.736</v>
      </c>
      <c r="E9" s="463">
        <f>E3-E6-E7</f>
        <v>1593165.4339999999</v>
      </c>
      <c r="F9" s="5">
        <f>F3-F6-F7</f>
        <v>1571789.7143399995</v>
      </c>
      <c r="G9" s="5">
        <f>G3-G6-G7</f>
        <v>1547132.6089149858</v>
      </c>
      <c r="H9" s="5">
        <f>H3-H6-H7-H8</f>
        <v>954467.93970065285</v>
      </c>
      <c r="I9" s="5">
        <f t="shared" ref="I9:P9" si="23">I3-I6-I7-I8</f>
        <v>917376.03248995077</v>
      </c>
      <c r="J9" s="5">
        <f t="shared" si="23"/>
        <v>865956.76777631883</v>
      </c>
      <c r="K9" s="5">
        <f t="shared" si="23"/>
        <v>1043737.9191291085</v>
      </c>
      <c r="L9" s="5">
        <f t="shared" si="23"/>
        <v>1011978.850780332</v>
      </c>
      <c r="M9" s="5">
        <f t="shared" si="23"/>
        <v>991476.34324365761</v>
      </c>
      <c r="N9" s="5">
        <f t="shared" si="23"/>
        <v>1194459.2992743677</v>
      </c>
      <c r="O9" s="5">
        <f t="shared" si="23"/>
        <v>1180234.777829818</v>
      </c>
      <c r="P9" s="699">
        <f t="shared" si="23"/>
        <v>1172229.4121609819</v>
      </c>
      <c r="Q9" s="5"/>
      <c r="R9" s="5"/>
      <c r="S9" s="5"/>
      <c r="T9" s="5"/>
      <c r="U9" s="5"/>
      <c r="V9" s="5"/>
      <c r="W9" s="5"/>
      <c r="X9" s="5"/>
    </row>
    <row r="10" spans="1:38" x14ac:dyDescent="0.3">
      <c r="D10" s="464"/>
      <c r="E10" s="464"/>
    </row>
    <row r="11" spans="1:38" x14ac:dyDescent="0.3">
      <c r="A11" t="s">
        <v>26</v>
      </c>
      <c r="B11" t="s">
        <v>231</v>
      </c>
      <c r="C11" t="s">
        <v>129</v>
      </c>
      <c r="D11" s="465">
        <v>0.5</v>
      </c>
      <c r="E11" s="465">
        <f>'price forecasts'!E21</f>
        <v>1</v>
      </c>
      <c r="F11" s="20">
        <f>'price forecasts'!F21</f>
        <v>7.5</v>
      </c>
      <c r="G11" s="20">
        <f>'price forecasts'!G21</f>
        <v>7.65</v>
      </c>
      <c r="H11" s="20">
        <f>'price forecasts'!H21</f>
        <v>6.65</v>
      </c>
      <c r="I11" s="20">
        <f>'price forecasts'!I21</f>
        <v>5.65</v>
      </c>
      <c r="J11" s="20">
        <f>'price forecasts'!J21</f>
        <v>5.65</v>
      </c>
      <c r="K11" s="20">
        <f>'price forecasts'!K21</f>
        <v>5.65</v>
      </c>
      <c r="L11" s="20">
        <f>'price forecasts'!L21</f>
        <v>5.65</v>
      </c>
      <c r="M11" s="20">
        <f>'price forecasts'!M21</f>
        <v>5.65</v>
      </c>
      <c r="N11" s="20">
        <f>'price forecasts'!N21</f>
        <v>5.65</v>
      </c>
      <c r="O11" s="20">
        <f>'price forecasts'!O21</f>
        <v>5.65</v>
      </c>
      <c r="P11" s="697">
        <f>'price forecasts'!P21</f>
        <v>5.65</v>
      </c>
      <c r="Q11" s="7"/>
      <c r="R11" s="7"/>
      <c r="S11" s="7"/>
      <c r="T11" s="7"/>
      <c r="U11" s="7"/>
    </row>
    <row r="12" spans="1:38" x14ac:dyDescent="0.3">
      <c r="A12" t="s">
        <v>232</v>
      </c>
      <c r="B12" t="s">
        <v>231</v>
      </c>
      <c r="C12" t="s">
        <v>129</v>
      </c>
      <c r="D12" s="465">
        <v>1</v>
      </c>
      <c r="E12" s="465">
        <f>'price forecasts'!E22</f>
        <v>1</v>
      </c>
      <c r="F12" s="20">
        <f>'price forecasts'!F22</f>
        <v>7.5</v>
      </c>
      <c r="G12" s="20">
        <f>'price forecasts'!G22</f>
        <v>7.65</v>
      </c>
      <c r="H12" s="20">
        <f>'price forecasts'!H22</f>
        <v>7.8030000000000008</v>
      </c>
      <c r="I12" s="20">
        <f>'price forecasts'!I22</f>
        <v>7.9590600000000009</v>
      </c>
      <c r="J12" s="20">
        <f>'price forecasts'!J22</f>
        <v>8.1182412000000017</v>
      </c>
      <c r="K12" s="20">
        <f>'price forecasts'!K22</f>
        <v>8.2806060240000026</v>
      </c>
      <c r="L12" s="20">
        <f>'price forecasts'!L22</f>
        <v>8.4462181444800031</v>
      </c>
      <c r="M12" s="20">
        <f>'price forecasts'!M22</f>
        <v>8.6151425073696029</v>
      </c>
      <c r="N12" s="20">
        <f>'price forecasts'!N22</f>
        <v>8.7874453575169955</v>
      </c>
      <c r="O12" s="20">
        <f>'price forecasts'!O22</f>
        <v>8.9631942646673348</v>
      </c>
      <c r="P12" s="697">
        <f>'price forecasts'!P22</f>
        <v>9.1424581499606816</v>
      </c>
      <c r="Q12" s="7"/>
      <c r="R12" s="7"/>
      <c r="S12" s="7"/>
      <c r="T12" s="7"/>
      <c r="U12" s="7"/>
    </row>
    <row r="13" spans="1:38" x14ac:dyDescent="0.3">
      <c r="A13" t="s">
        <v>108</v>
      </c>
      <c r="B13" t="s">
        <v>231</v>
      </c>
      <c r="C13" t="s">
        <v>129</v>
      </c>
      <c r="D13" s="465">
        <v>1</v>
      </c>
      <c r="E13" s="465">
        <f>'price forecasts'!E23</f>
        <v>1</v>
      </c>
      <c r="F13" s="20">
        <f>'price forecasts'!F23</f>
        <v>10.7</v>
      </c>
      <c r="G13" s="20">
        <f>'price forecasts'!G23</f>
        <v>11.16</v>
      </c>
      <c r="H13" s="20">
        <f>'price forecasts'!H23</f>
        <v>11.97</v>
      </c>
      <c r="I13" s="20">
        <f>'price forecasts'!I23</f>
        <v>12.4488</v>
      </c>
      <c r="J13" s="20">
        <f>'price forecasts'!J23</f>
        <v>12.946752</v>
      </c>
      <c r="K13" s="20">
        <f>'price forecasts'!K23</f>
        <v>13.46462208</v>
      </c>
      <c r="L13" s="20">
        <f>'price forecasts'!L23</f>
        <v>14.0032069632</v>
      </c>
      <c r="M13" s="20">
        <f>'price forecasts'!M23</f>
        <v>14.563335241728002</v>
      </c>
      <c r="N13" s="20">
        <f>'price forecasts'!N23</f>
        <v>15.145868651397121</v>
      </c>
      <c r="O13" s="20">
        <f>'price forecasts'!O23</f>
        <v>15.751703397453007</v>
      </c>
      <c r="P13" s="697">
        <f>'price forecasts'!P23</f>
        <v>16.381771533351127</v>
      </c>
      <c r="Q13" s="7"/>
      <c r="R13" s="7"/>
      <c r="S13" s="7"/>
      <c r="T13" s="7"/>
      <c r="U13" s="7"/>
    </row>
    <row r="14" spans="1:38" x14ac:dyDescent="0.3">
      <c r="D14" s="465"/>
      <c r="E14" s="465"/>
      <c r="F14" s="20"/>
      <c r="G14" s="20"/>
      <c r="H14" s="20"/>
      <c r="I14" s="20"/>
      <c r="J14" s="20"/>
      <c r="K14" s="20"/>
      <c r="L14" s="20"/>
      <c r="M14" s="20"/>
      <c r="N14" s="20"/>
      <c r="O14" s="20"/>
      <c r="P14" s="697"/>
      <c r="Q14" s="7"/>
      <c r="R14" s="7"/>
      <c r="S14" s="7"/>
      <c r="T14" s="7"/>
      <c r="U14" s="7"/>
      <c r="V14" s="7"/>
      <c r="W14" s="7"/>
      <c r="X14" s="7"/>
      <c r="Y14" s="7"/>
      <c r="Z14" s="7"/>
      <c r="AA14" s="7"/>
      <c r="AB14" s="7"/>
      <c r="AC14" s="7"/>
      <c r="AD14" s="7"/>
      <c r="AE14" s="7"/>
      <c r="AF14" s="7"/>
      <c r="AG14" s="7"/>
      <c r="AH14" s="7"/>
      <c r="AI14" s="7"/>
      <c r="AJ14" s="7"/>
      <c r="AK14" s="7"/>
    </row>
    <row r="15" spans="1:38" x14ac:dyDescent="0.3">
      <c r="A15" t="s">
        <v>233</v>
      </c>
      <c r="B15" t="s">
        <v>234</v>
      </c>
      <c r="C15" t="s">
        <v>129</v>
      </c>
      <c r="D15" s="465"/>
      <c r="E15" s="465"/>
      <c r="F15" s="20"/>
      <c r="G15" s="20"/>
      <c r="H15" s="20">
        <v>2.44</v>
      </c>
      <c r="I15" s="20">
        <f>H15*1.024</f>
        <v>2.4985599999999999</v>
      </c>
      <c r="J15" s="20">
        <f t="shared" ref="J15:P15" si="24">I15*1.024</f>
        <v>2.5585254399999999</v>
      </c>
      <c r="K15" s="20">
        <f t="shared" si="24"/>
        <v>2.6199300505599998</v>
      </c>
      <c r="L15" s="20">
        <f t="shared" si="24"/>
        <v>2.6828083717734397</v>
      </c>
      <c r="M15" s="20">
        <f t="shared" si="24"/>
        <v>2.7471957726960023</v>
      </c>
      <c r="N15" s="20">
        <f t="shared" si="24"/>
        <v>2.8131284712407063</v>
      </c>
      <c r="O15" s="20">
        <f t="shared" si="24"/>
        <v>2.8806435545504834</v>
      </c>
      <c r="P15" s="697">
        <f t="shared" si="24"/>
        <v>2.9497789998596948</v>
      </c>
      <c r="Q15" s="953">
        <f t="shared" ref="Q15" si="25">P15*1.024</f>
        <v>3.0205736958563274</v>
      </c>
      <c r="R15" s="30">
        <f t="shared" ref="R15" si="26">Q15*1.024</f>
        <v>3.0930674645568792</v>
      </c>
      <c r="S15" s="30">
        <f t="shared" ref="S15" si="27">R15*1.024</f>
        <v>3.1673010837062443</v>
      </c>
      <c r="T15" s="30">
        <f t="shared" ref="T15" si="28">S15*1.024</f>
        <v>3.243316309715194</v>
      </c>
      <c r="U15" s="30">
        <f t="shared" ref="U15" si="29">T15*1.024</f>
        <v>3.3211559011483587</v>
      </c>
      <c r="V15" s="30">
        <f t="shared" ref="V15" si="30">U15*1.024</f>
        <v>3.4008636427759193</v>
      </c>
      <c r="W15" s="30">
        <f t="shared" ref="W15" si="31">V15*1.024</f>
        <v>3.4824843702025414</v>
      </c>
      <c r="X15" s="30">
        <f t="shared" ref="X15" si="32">W15*1.024</f>
        <v>3.5660639950874025</v>
      </c>
      <c r="Y15" s="30">
        <f t="shared" ref="Y15" si="33">X15*1.024</f>
        <v>3.6516495309695003</v>
      </c>
      <c r="Z15" s="30">
        <f t="shared" ref="Z15" si="34">Y15*1.024</f>
        <v>3.7392891197127684</v>
      </c>
      <c r="AA15" s="30">
        <f t="shared" ref="AA15" si="35">Z15*1.024</f>
        <v>3.829032058585875</v>
      </c>
      <c r="AB15" s="30">
        <f t="shared" ref="AB15" si="36">AA15*1.024</f>
        <v>3.9209288279919363</v>
      </c>
      <c r="AC15" s="30">
        <f t="shared" ref="AC15" si="37">AB15*1.024</f>
        <v>4.0150311198637425</v>
      </c>
      <c r="AD15" s="30">
        <f t="shared" ref="AD15" si="38">AC15*1.024</f>
        <v>4.1113918667404725</v>
      </c>
      <c r="AE15" s="30">
        <f t="shared" ref="AE15" si="39">AD15*1.024</f>
        <v>4.210065271542244</v>
      </c>
      <c r="AF15" s="30">
        <f t="shared" ref="AF15" si="40">AE15*1.024</f>
        <v>4.3111068380592581</v>
      </c>
      <c r="AG15" s="30">
        <f t="shared" ref="AG15" si="41">AF15*1.024</f>
        <v>4.4145734021726808</v>
      </c>
      <c r="AH15" s="30">
        <f t="shared" ref="AH15" si="42">AG15*1.024</f>
        <v>4.5205231638248256</v>
      </c>
      <c r="AI15" s="30">
        <f t="shared" ref="AI15" si="43">AH15*1.024</f>
        <v>4.6290157197566213</v>
      </c>
      <c r="AJ15" s="30">
        <f t="shared" ref="AJ15" si="44">AI15*1.024</f>
        <v>4.7401120970307806</v>
      </c>
      <c r="AK15" s="30">
        <f t="shared" ref="AK15" si="45">AJ15*1.024</f>
        <v>4.8538747873595192</v>
      </c>
    </row>
    <row r="16" spans="1:38" x14ac:dyDescent="0.3">
      <c r="D16" s="464"/>
      <c r="E16" s="464"/>
    </row>
    <row r="17" spans="1:21" x14ac:dyDescent="0.3">
      <c r="A17" t="s">
        <v>26</v>
      </c>
      <c r="B17" t="s">
        <v>235</v>
      </c>
      <c r="C17" t="s">
        <v>139</v>
      </c>
      <c r="D17" s="466">
        <f>D11*D9</f>
        <v>734171.36800000002</v>
      </c>
      <c r="E17" s="466">
        <f>E11*E9</f>
        <v>1593165.4339999999</v>
      </c>
      <c r="F17" s="21">
        <f>F11*F$9+F$8*F$15</f>
        <v>11788422.857549995</v>
      </c>
      <c r="G17" s="21">
        <f>G11*G$9+G$8*G$15</f>
        <v>11835564.458199643</v>
      </c>
      <c r="H17" s="21">
        <f>H11*H$9+H$8*H$15</f>
        <v>8299211.7990093417</v>
      </c>
      <c r="I17" s="21">
        <f t="shared" ref="I17:P17" si="46">I11*I9+I8*I15</f>
        <v>7182022.5835682219</v>
      </c>
      <c r="J17" s="21">
        <f t="shared" si="46"/>
        <v>6939476.0899362015</v>
      </c>
      <c r="K17" s="21">
        <f t="shared" si="46"/>
        <v>7993063.2835274637</v>
      </c>
      <c r="L17" s="21">
        <f t="shared" si="46"/>
        <v>7863927.204327628</v>
      </c>
      <c r="M17" s="21">
        <f t="shared" si="46"/>
        <v>7799597.9574834676</v>
      </c>
      <c r="N17" s="21">
        <f t="shared" si="46"/>
        <v>8999197.8178927433</v>
      </c>
      <c r="O17" s="21">
        <f t="shared" si="46"/>
        <v>8972841.3383788578</v>
      </c>
      <c r="P17" s="683">
        <f t="shared" si="46"/>
        <v>8982919.3785973042</v>
      </c>
    </row>
    <row r="18" spans="1:21" x14ac:dyDescent="0.3">
      <c r="A18" t="s">
        <v>232</v>
      </c>
      <c r="B18" t="s">
        <v>235</v>
      </c>
      <c r="C18" t="s">
        <v>139</v>
      </c>
      <c r="D18" s="466">
        <f>D12*D9</f>
        <v>1468342.736</v>
      </c>
      <c r="E18" s="466">
        <f t="shared" ref="E18:N18" si="47">E12*E9</f>
        <v>1593165.4339999999</v>
      </c>
      <c r="F18" s="21">
        <f t="shared" ref="F18:G18" si="48">F12*F$9+F$8*F$15</f>
        <v>11788422.857549995</v>
      </c>
      <c r="G18" s="21">
        <f t="shared" si="48"/>
        <v>11835564.458199643</v>
      </c>
      <c r="H18" s="21">
        <f>H12*H$9+H$8*H$15</f>
        <v>9399713.3334841952</v>
      </c>
      <c r="I18" s="21">
        <f t="shared" si="47"/>
        <v>7301450.8851494687</v>
      </c>
      <c r="J18" s="21">
        <f t="shared" si="47"/>
        <v>7030045.9095805455</v>
      </c>
      <c r="K18" s="21">
        <f t="shared" si="47"/>
        <v>8642782.5006177239</v>
      </c>
      <c r="L18" s="21">
        <f t="shared" si="47"/>
        <v>8547394.1312908623</v>
      </c>
      <c r="M18" s="21">
        <f t="shared" si="47"/>
        <v>8541709.9897298086</v>
      </c>
      <c r="N18" s="21">
        <f t="shared" si="47"/>
        <v>10496245.824151546</v>
      </c>
      <c r="O18" s="21">
        <f t="shared" ref="O18:P18" si="49">O12*O9</f>
        <v>10578673.591605151</v>
      </c>
      <c r="P18" s="683">
        <f t="shared" si="49"/>
        <v>10717058.342834787</v>
      </c>
    </row>
    <row r="19" spans="1:21" x14ac:dyDescent="0.3">
      <c r="A19" t="s">
        <v>108</v>
      </c>
      <c r="B19" t="s">
        <v>235</v>
      </c>
      <c r="C19" t="s">
        <v>139</v>
      </c>
      <c r="D19" s="466">
        <f t="shared" ref="D19:E19" si="50">D13*D9</f>
        <v>1468342.736</v>
      </c>
      <c r="E19" s="466">
        <f t="shared" si="50"/>
        <v>1593165.4339999999</v>
      </c>
      <c r="F19" s="21">
        <f t="shared" ref="F19:G19" si="51">F13*F$9+F$8*F$15</f>
        <v>16818149.943437994</v>
      </c>
      <c r="G19" s="21">
        <f t="shared" si="51"/>
        <v>17265999.915491242</v>
      </c>
      <c r="H19" s="21">
        <f>H13*H$9+H$8*H$15</f>
        <v>13376981.238216816</v>
      </c>
      <c r="I19" s="21">
        <f t="shared" ref="I19:P19" si="52">I13*I$9+I$8*I$15</f>
        <v>13419078.753260899</v>
      </c>
      <c r="J19" s="21">
        <f t="shared" si="52"/>
        <v>13258147.867121592</v>
      </c>
      <c r="K19" s="21">
        <f t="shared" si="52"/>
        <v>16149480.672087049</v>
      </c>
      <c r="L19" s="21">
        <f t="shared" si="52"/>
        <v>16317195.987277031</v>
      </c>
      <c r="M19" s="21">
        <f t="shared" si="52"/>
        <v>16636958.98905677</v>
      </c>
      <c r="N19" s="21">
        <f t="shared" si="52"/>
        <v>20341626.433241986</v>
      </c>
      <c r="O19" s="21">
        <f t="shared" si="52"/>
        <v>20895223.003374524</v>
      </c>
      <c r="P19" s="683">
        <f t="shared" si="52"/>
        <v>21563017.614583455</v>
      </c>
    </row>
    <row r="20" spans="1:21" x14ac:dyDescent="0.3">
      <c r="D20" s="464"/>
      <c r="E20" s="464"/>
    </row>
    <row r="21" spans="1:21" x14ac:dyDescent="0.3">
      <c r="B21" t="s">
        <v>235</v>
      </c>
      <c r="C21" t="s">
        <v>139</v>
      </c>
      <c r="D21" s="465">
        <f t="shared" ref="D21:I21" si="53">SUMIF($A$17:$A$19,$B$1,D$17:D$19)</f>
        <v>1468342.736</v>
      </c>
      <c r="E21" s="465">
        <f t="shared" si="53"/>
        <v>1593165.4339999999</v>
      </c>
      <c r="F21" s="466">
        <f t="shared" si="53"/>
        <v>11788422.857549995</v>
      </c>
      <c r="G21" s="466">
        <f t="shared" si="53"/>
        <v>11835564.458199643</v>
      </c>
      <c r="H21" s="466">
        <f t="shared" si="53"/>
        <v>9399713.3334841952</v>
      </c>
      <c r="I21" s="466">
        <f t="shared" si="53"/>
        <v>7301450.8851494687</v>
      </c>
      <c r="J21" s="466">
        <f t="shared" ref="J21:P21" si="54">SUMIF($A$17:$A$19,$B$1,J$17:J$19)</f>
        <v>7030045.9095805455</v>
      </c>
      <c r="K21" s="466">
        <f>SUMIF($A$17:$A$19,$B$1,K$17:K$19)</f>
        <v>8642782.5006177239</v>
      </c>
      <c r="L21" s="466">
        <f t="shared" si="54"/>
        <v>8547394.1312908623</v>
      </c>
      <c r="M21" s="466">
        <f t="shared" si="54"/>
        <v>8541709.9897298086</v>
      </c>
      <c r="N21" s="466">
        <f t="shared" si="54"/>
        <v>10496245.824151546</v>
      </c>
      <c r="O21" s="466">
        <f t="shared" si="54"/>
        <v>10578673.591605151</v>
      </c>
      <c r="P21" s="898">
        <f t="shared" si="54"/>
        <v>10717058.342834787</v>
      </c>
      <c r="Q21" s="7"/>
      <c r="R21" s="7"/>
      <c r="S21" s="7"/>
      <c r="T21" s="7"/>
      <c r="U21" s="7"/>
    </row>
    <row r="23" spans="1:21" x14ac:dyDescent="0.3">
      <c r="H23" s="25"/>
      <c r="I23" s="25"/>
      <c r="J23" s="25"/>
      <c r="K23" s="25"/>
      <c r="L23" s="25"/>
      <c r="M23" s="25"/>
      <c r="N23" s="25"/>
      <c r="O23" s="25"/>
      <c r="P23" s="685"/>
    </row>
    <row r="26" spans="1:21" ht="15" thickBot="1" x14ac:dyDescent="0.35">
      <c r="E26" s="21"/>
    </row>
    <row r="27" spans="1:21" x14ac:dyDescent="0.3">
      <c r="B27" s="206" t="s">
        <v>236</v>
      </c>
      <c r="C27" s="200"/>
      <c r="D27" s="36"/>
      <c r="E27" s="25"/>
    </row>
    <row r="28" spans="1:21" ht="16.2" x14ac:dyDescent="0.45">
      <c r="B28" s="201"/>
      <c r="C28" s="202" t="s">
        <v>237</v>
      </c>
      <c r="D28" s="199"/>
      <c r="F28" s="22"/>
    </row>
    <row r="29" spans="1:21" x14ac:dyDescent="0.3">
      <c r="B29" s="201">
        <v>1</v>
      </c>
      <c r="C29" s="203">
        <v>6736.1160714285716</v>
      </c>
      <c r="D29" s="36"/>
      <c r="F29" s="12"/>
    </row>
    <row r="30" spans="1:21" x14ac:dyDescent="0.3">
      <c r="B30" s="201">
        <v>2</v>
      </c>
      <c r="C30" s="203">
        <v>5939.375</v>
      </c>
      <c r="D30" s="36"/>
      <c r="F30" s="12"/>
    </row>
    <row r="31" spans="1:21" x14ac:dyDescent="0.3">
      <c r="B31" s="201">
        <v>3</v>
      </c>
      <c r="C31" s="203">
        <v>7184.2782738095239</v>
      </c>
      <c r="D31" s="36"/>
      <c r="F31" s="12"/>
    </row>
    <row r="32" spans="1:21" x14ac:dyDescent="0.3">
      <c r="B32" s="201">
        <v>4</v>
      </c>
      <c r="C32" s="203">
        <v>6831.6889880952385</v>
      </c>
      <c r="D32" s="36"/>
      <c r="F32" s="12"/>
    </row>
    <row r="33" spans="2:6" x14ac:dyDescent="0.3">
      <c r="B33" s="201">
        <v>5</v>
      </c>
      <c r="C33" s="203">
        <v>7732.8348214285716</v>
      </c>
      <c r="D33" s="36"/>
      <c r="F33" s="12"/>
    </row>
    <row r="34" spans="2:6" x14ac:dyDescent="0.3">
      <c r="B34" s="201">
        <v>6</v>
      </c>
      <c r="C34" s="203">
        <v>6910.4017857142862</v>
      </c>
      <c r="D34" s="36"/>
      <c r="F34" s="12"/>
    </row>
    <row r="35" spans="2:6" x14ac:dyDescent="0.3">
      <c r="B35" s="201">
        <v>7</v>
      </c>
      <c r="C35" s="203">
        <v>7515.1785714285716</v>
      </c>
      <c r="D35" s="36"/>
      <c r="F35" s="12"/>
    </row>
    <row r="36" spans="2:6" x14ac:dyDescent="0.3">
      <c r="B36" s="201">
        <v>8</v>
      </c>
      <c r="C36" s="203">
        <v>7683.8467261904771</v>
      </c>
      <c r="D36" s="36"/>
      <c r="F36" s="12"/>
    </row>
    <row r="37" spans="2:6" x14ac:dyDescent="0.3">
      <c r="B37" s="201">
        <v>9</v>
      </c>
      <c r="C37" s="203">
        <v>6728.0803571428578</v>
      </c>
      <c r="D37" s="36"/>
      <c r="F37" s="12"/>
    </row>
    <row r="38" spans="2:6" x14ac:dyDescent="0.3">
      <c r="B38" s="201">
        <v>10</v>
      </c>
      <c r="C38" s="203">
        <v>7111.1904761904771</v>
      </c>
      <c r="D38" s="36"/>
      <c r="F38" s="12"/>
    </row>
    <row r="39" spans="2:6" x14ac:dyDescent="0.3">
      <c r="B39" s="201">
        <v>11</v>
      </c>
      <c r="C39" s="203">
        <v>7189.8958333333339</v>
      </c>
      <c r="D39" s="36"/>
      <c r="F39" s="12"/>
    </row>
    <row r="40" spans="2:6" x14ac:dyDescent="0.3">
      <c r="B40" s="207">
        <v>12</v>
      </c>
      <c r="C40" s="208">
        <v>7355.3497023809523</v>
      </c>
      <c r="D40" s="36"/>
      <c r="F40" s="12"/>
    </row>
    <row r="41" spans="2:6" x14ac:dyDescent="0.3">
      <c r="B41" s="201"/>
      <c r="C41" s="203"/>
      <c r="D41" s="36"/>
    </row>
    <row r="42" spans="2:6" ht="18.600000000000001" thickBot="1" x14ac:dyDescent="0.4">
      <c r="B42" s="204" t="s">
        <v>238</v>
      </c>
      <c r="C42" s="205">
        <f>SUM(C29:C40)</f>
        <v>84918.236607142855</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Y114"/>
  <sheetViews>
    <sheetView zoomScale="70" zoomScaleNormal="70" workbookViewId="0">
      <pane xSplit="3" ySplit="2" topLeftCell="D3" activePane="bottomRight" state="frozen"/>
      <selection pane="topRight" activeCell="C39" sqref="C39"/>
      <selection pane="bottomLeft" activeCell="C39" sqref="C39"/>
      <selection pane="bottomRight"/>
    </sheetView>
  </sheetViews>
  <sheetFormatPr defaultRowHeight="14.4" x14ac:dyDescent="0.3"/>
  <cols>
    <col min="1" max="1" width="10.88671875" bestFit="1" customWidth="1"/>
    <col min="2" max="2" width="39" customWidth="1"/>
    <col min="4" max="4" width="15.33203125" bestFit="1" customWidth="1"/>
    <col min="5" max="5" width="15.109375" bestFit="1" customWidth="1"/>
    <col min="6" max="6" width="18" customWidth="1"/>
    <col min="7" max="8" width="14.88671875" bestFit="1" customWidth="1"/>
    <col min="9" max="9" width="17" customWidth="1"/>
    <col min="10" max="14" width="14.88671875" bestFit="1" customWidth="1"/>
    <col min="15" max="15" width="14.88671875" customWidth="1"/>
    <col min="16" max="16" width="12.5546875" style="668" customWidth="1"/>
    <col min="17" max="17" width="11.6640625" style="22" customWidth="1"/>
  </cols>
  <sheetData>
    <row r="2" spans="1:25" s="8" customFormat="1" x14ac:dyDescent="0.3">
      <c r="D2" s="9">
        <f>base_year-2</f>
        <v>2019</v>
      </c>
      <c r="E2" s="9">
        <f>D2+1</f>
        <v>2020</v>
      </c>
      <c r="F2" s="9">
        <f t="shared" ref="F2:P2" si="0">E2+1</f>
        <v>2021</v>
      </c>
      <c r="G2" s="9">
        <f t="shared" si="0"/>
        <v>2022</v>
      </c>
      <c r="H2" s="9">
        <f t="shared" si="0"/>
        <v>2023</v>
      </c>
      <c r="I2" s="9">
        <f t="shared" si="0"/>
        <v>2024</v>
      </c>
      <c r="J2" s="9">
        <f t="shared" si="0"/>
        <v>2025</v>
      </c>
      <c r="K2" s="9">
        <f t="shared" si="0"/>
        <v>2026</v>
      </c>
      <c r="L2" s="9">
        <f t="shared" si="0"/>
        <v>2027</v>
      </c>
      <c r="M2" s="9">
        <f t="shared" si="0"/>
        <v>2028</v>
      </c>
      <c r="N2" s="9">
        <f t="shared" si="0"/>
        <v>2029</v>
      </c>
      <c r="O2" s="9">
        <f t="shared" si="0"/>
        <v>2030</v>
      </c>
      <c r="P2" s="644">
        <f t="shared" si="0"/>
        <v>2031</v>
      </c>
      <c r="Q2" s="9" t="s">
        <v>239</v>
      </c>
      <c r="R2" s="9"/>
      <c r="S2" s="9"/>
      <c r="T2" s="9"/>
      <c r="U2" s="9"/>
      <c r="V2" s="9"/>
      <c r="W2" s="9"/>
      <c r="X2" s="9"/>
      <c r="Y2" s="9"/>
    </row>
    <row r="3" spans="1:25" x14ac:dyDescent="0.3">
      <c r="B3" t="s">
        <v>126</v>
      </c>
      <c r="C3" t="s">
        <v>122</v>
      </c>
      <c r="D3" s="480">
        <f>requirements!D12</f>
        <v>118925.11399999999</v>
      </c>
      <c r="E3" s="480">
        <f>requirements!E12</f>
        <v>148421.196</v>
      </c>
      <c r="F3" s="10">
        <f>requirements!F12</f>
        <v>183003.75950999997</v>
      </c>
      <c r="G3" s="10">
        <f>requirements!G12</f>
        <v>215854.00792108988</v>
      </c>
      <c r="H3" s="10">
        <f>requirements!H12</f>
        <v>250111.44730518837</v>
      </c>
      <c r="I3" s="10">
        <f>requirements!I12</f>
        <v>282332.65344200237</v>
      </c>
      <c r="J3" s="10">
        <f>requirements!J12</f>
        <v>312998.90302626998</v>
      </c>
      <c r="K3" s="10">
        <f>requirements!K12</f>
        <v>344776.01786181994</v>
      </c>
      <c r="L3" s="10">
        <f>requirements!L12</f>
        <v>377164.53259103867</v>
      </c>
      <c r="M3" s="10">
        <f>requirements!M12</f>
        <v>411005.99677864974</v>
      </c>
      <c r="N3" s="10">
        <f>requirements!N12</f>
        <v>445949.33525557024</v>
      </c>
      <c r="O3" s="10">
        <f>requirements!O12</f>
        <v>481183.82708846295</v>
      </c>
      <c r="P3" s="654">
        <f>requirements!P12</f>
        <v>517776.63107651344</v>
      </c>
      <c r="Q3" s="50"/>
      <c r="R3" s="10"/>
      <c r="S3" s="10"/>
      <c r="T3" s="10"/>
      <c r="U3" s="10"/>
    </row>
    <row r="5" spans="1:25" s="43" customFormat="1" x14ac:dyDescent="0.3">
      <c r="B5" s="102" t="s">
        <v>170</v>
      </c>
      <c r="C5" s="102" t="s">
        <v>122</v>
      </c>
      <c r="D5" s="488">
        <f>loads!F24*0.01</f>
        <v>0</v>
      </c>
      <c r="E5" s="488">
        <f>loads!G24*0.01</f>
        <v>2946.4259999999999</v>
      </c>
      <c r="F5" s="173">
        <f>loads!H24*0.01</f>
        <v>2851.38</v>
      </c>
      <c r="G5" s="173">
        <f>loads!I24*0.01</f>
        <v>2851.38</v>
      </c>
      <c r="H5" s="173">
        <f>loads!J24*0.01</f>
        <v>2851.38</v>
      </c>
      <c r="I5" s="173">
        <f>loads!K24*0.01</f>
        <v>2851.38</v>
      </c>
      <c r="J5" s="173">
        <f>loads!L24*0.01</f>
        <v>2851.38</v>
      </c>
      <c r="K5" s="173">
        <f>loads!M24*0.01</f>
        <v>2851.38</v>
      </c>
      <c r="L5" s="173">
        <f>loads!N24*0.01</f>
        <v>2851.38</v>
      </c>
      <c r="M5" s="173">
        <f>loads!O24*0.01</f>
        <v>2851.38</v>
      </c>
      <c r="N5" s="173">
        <f>loads!P24*0.01</f>
        <v>2851.38</v>
      </c>
      <c r="O5" s="173">
        <f>loads!Q24*0.01</f>
        <v>2851.38</v>
      </c>
      <c r="P5" s="700">
        <f>loads!R24*0.01</f>
        <v>2851.38</v>
      </c>
      <c r="Q5" s="177"/>
    </row>
    <row r="6" spans="1:25" x14ac:dyDescent="0.3">
      <c r="B6" s="39" t="s">
        <v>240</v>
      </c>
      <c r="D6" s="488">
        <f>loads!F25*0+52300</f>
        <v>52300</v>
      </c>
      <c r="E6" s="488">
        <f>loads!G25*0+75000</f>
        <v>75000</v>
      </c>
      <c r="F6" s="173">
        <f>loads!H25</f>
        <v>72270</v>
      </c>
      <c r="G6" s="173">
        <f>loads!I25</f>
        <v>72270</v>
      </c>
      <c r="H6" s="173">
        <f>loads!J25</f>
        <v>72270</v>
      </c>
      <c r="I6" s="173">
        <f>loads!K25</f>
        <v>72270</v>
      </c>
      <c r="J6" s="173">
        <f>loads!L25</f>
        <v>72270</v>
      </c>
      <c r="K6" s="173">
        <f>loads!M25</f>
        <v>72270</v>
      </c>
      <c r="L6" s="173">
        <f>loads!N25</f>
        <v>72270</v>
      </c>
      <c r="M6" s="173">
        <f>loads!O25</f>
        <v>72270</v>
      </c>
      <c r="N6" s="173">
        <f>loads!P25</f>
        <v>72270</v>
      </c>
      <c r="O6" s="173">
        <f>loads!Q25</f>
        <v>72270</v>
      </c>
      <c r="P6" s="700">
        <f>loads!R25</f>
        <v>72270</v>
      </c>
      <c r="Q6"/>
    </row>
    <row r="7" spans="1:25" x14ac:dyDescent="0.3">
      <c r="A7" s="68" t="str">
        <f>NM_escalation</f>
        <v>mid</v>
      </c>
      <c r="B7" s="102" t="s">
        <v>241</v>
      </c>
      <c r="C7" s="102" t="s">
        <v>122</v>
      </c>
      <c r="D7" s="397">
        <f>SUMIF($A$28:$A$31,$A$7,D$28:D$31)</f>
        <v>0</v>
      </c>
      <c r="E7" s="397">
        <f>SUMIF($A$28:$A$31,$A$7,E$28:E$31)</f>
        <v>38018.400000000009</v>
      </c>
      <c r="F7" s="224">
        <f>SUMIF($A$28:$A$31,$A$7,F$28:F$31)</f>
        <v>72725.51999999999</v>
      </c>
      <c r="G7" s="224">
        <f t="shared" ref="G7:M7" si="1">SUMIF($A$28:$A$31,$A$7,G$28:G$31)</f>
        <v>120986.59097651196</v>
      </c>
      <c r="H7" s="224">
        <f t="shared" si="1"/>
        <v>150779.52837123282</v>
      </c>
      <c r="I7" s="224">
        <f t="shared" si="1"/>
        <v>181858.12955098436</v>
      </c>
      <c r="J7" s="224">
        <f t="shared" si="1"/>
        <v>199312.01002400785</v>
      </c>
      <c r="K7" s="224">
        <f t="shared" si="1"/>
        <v>207339.23973240057</v>
      </c>
      <c r="L7" s="224">
        <f t="shared" si="1"/>
        <v>216051.46916275751</v>
      </c>
      <c r="M7" s="224">
        <f t="shared" si="1"/>
        <v>221716.49161547972</v>
      </c>
      <c r="N7" s="224">
        <f>SUMIF($A$28:$A$31,$A$7,N$28:N$31)</f>
        <v>222206.92651161237</v>
      </c>
      <c r="O7" s="224">
        <f>SUMIF($A$28:$A$31,$A$7,O$28:O$31)</f>
        <v>225944.76171850672</v>
      </c>
      <c r="P7" s="701">
        <f>SUMIF($A$28:$A$31,$A$7,P$28:P$31)</f>
        <v>227171.16171850654</v>
      </c>
      <c r="Q7" s="52"/>
      <c r="R7" s="5"/>
      <c r="S7" s="5"/>
      <c r="T7" s="5"/>
      <c r="U7" s="5"/>
      <c r="V7" s="5"/>
      <c r="W7" s="5"/>
      <c r="X7" s="5"/>
      <c r="Y7" s="5"/>
    </row>
    <row r="8" spans="1:25" x14ac:dyDescent="0.3">
      <c r="A8" t="s">
        <v>226</v>
      </c>
      <c r="B8" s="225" t="s">
        <v>242</v>
      </c>
      <c r="C8" s="102" t="s">
        <v>122</v>
      </c>
      <c r="D8" s="489">
        <f>D47*$C$57*8760</f>
        <v>29918.137499999997</v>
      </c>
      <c r="E8" s="489">
        <f>E47*$C$57*8760</f>
        <v>29918.137499999997</v>
      </c>
      <c r="F8" s="226">
        <f t="shared" ref="F8:N8" si="2">F47*$C$57*8760</f>
        <v>29918.137499999997</v>
      </c>
      <c r="G8" s="226">
        <f>G47*$C$57*8760</f>
        <v>40594.387499999997</v>
      </c>
      <c r="H8" s="226">
        <f t="shared" si="2"/>
        <v>57019.387500000004</v>
      </c>
      <c r="I8" s="226">
        <f t="shared" si="2"/>
        <v>73444.387500000012</v>
      </c>
      <c r="J8" s="226">
        <f t="shared" si="2"/>
        <v>89869.387500000012</v>
      </c>
      <c r="K8" s="226">
        <f t="shared" si="2"/>
        <v>106294.38750000001</v>
      </c>
      <c r="L8" s="226">
        <f t="shared" si="2"/>
        <v>122719.38750000001</v>
      </c>
      <c r="M8" s="226">
        <f t="shared" si="2"/>
        <v>140294.13750000001</v>
      </c>
      <c r="N8" s="226">
        <f t="shared" si="2"/>
        <v>140294.13750000001</v>
      </c>
      <c r="O8" s="226">
        <f>O47*$C$57*8760</f>
        <v>140294.13750000001</v>
      </c>
      <c r="P8" s="702">
        <f>P47*$C$57*8760</f>
        <v>140294.13750000001</v>
      </c>
      <c r="Q8" s="52"/>
      <c r="R8" s="5"/>
      <c r="S8" s="5"/>
      <c r="T8" s="5"/>
      <c r="U8" s="5"/>
      <c r="V8" s="5"/>
      <c r="W8" s="5"/>
      <c r="X8" s="5"/>
      <c r="Y8" s="5"/>
    </row>
    <row r="9" spans="1:25" x14ac:dyDescent="0.3">
      <c r="B9" s="102"/>
      <c r="C9" s="102"/>
      <c r="D9" s="102"/>
      <c r="E9" s="102"/>
      <c r="F9" s="102"/>
      <c r="G9" s="102"/>
      <c r="H9" s="102"/>
      <c r="I9" s="102"/>
      <c r="J9" s="102"/>
      <c r="K9" s="102"/>
      <c r="L9" s="102"/>
      <c r="M9" s="102"/>
      <c r="N9" s="102"/>
    </row>
    <row r="10" spans="1:25" x14ac:dyDescent="0.3">
      <c r="B10" s="102" t="s">
        <v>243</v>
      </c>
      <c r="C10" s="102"/>
      <c r="D10" s="484">
        <f>MAX(D3-SUM(D5:D9),0)</f>
        <v>36706.97649999999</v>
      </c>
      <c r="E10" s="484">
        <f t="shared" ref="E10:M10" si="3">MAX(E3-SUM(E5:E9),0)</f>
        <v>2538.2324999999837</v>
      </c>
      <c r="F10" s="227">
        <f>MAX(F3-SUM(F5:F9),0)</f>
        <v>5238.7220099999977</v>
      </c>
      <c r="G10" s="227">
        <f>MAX(G3-SUM(G5:G9),0)</f>
        <v>0</v>
      </c>
      <c r="H10" s="227">
        <f t="shared" si="3"/>
        <v>0</v>
      </c>
      <c r="I10" s="227">
        <f t="shared" si="3"/>
        <v>0</v>
      </c>
      <c r="J10" s="227">
        <f t="shared" si="3"/>
        <v>0</v>
      </c>
      <c r="K10" s="227">
        <f t="shared" si="3"/>
        <v>0</v>
      </c>
      <c r="L10" s="227">
        <f t="shared" si="3"/>
        <v>0</v>
      </c>
      <c r="M10" s="227">
        <f t="shared" si="3"/>
        <v>0</v>
      </c>
      <c r="N10" s="227">
        <f>MAX(N3-SUM(N5:N9),0)</f>
        <v>8326.8912439578562</v>
      </c>
      <c r="O10" s="227">
        <f>MAX(O3-SUM(O5:O9),0)</f>
        <v>39823.547869956237</v>
      </c>
      <c r="P10" s="703">
        <f>MAX(P3-SUM(P5:P9),0)</f>
        <v>75189.951858006883</v>
      </c>
    </row>
    <row r="11" spans="1:25" x14ac:dyDescent="0.3">
      <c r="B11" s="102" t="s">
        <v>244</v>
      </c>
      <c r="C11" s="102"/>
      <c r="D11" s="484">
        <f t="shared" ref="D11:O11" si="4">MAX(MIN(D3-SUM(D5:D9),0),-D8)</f>
        <v>0</v>
      </c>
      <c r="E11" s="484">
        <f t="shared" si="4"/>
        <v>0</v>
      </c>
      <c r="F11" s="227">
        <f t="shared" si="4"/>
        <v>0</v>
      </c>
      <c r="G11" s="227">
        <f>MAX(MIN(G3-SUM(G5:G9),0),-G8)</f>
        <v>-20848.350555422076</v>
      </c>
      <c r="H11" s="227">
        <f t="shared" si="4"/>
        <v>-32808.848566044442</v>
      </c>
      <c r="I11" s="227">
        <f t="shared" si="4"/>
        <v>-48091.243608982011</v>
      </c>
      <c r="J11" s="227">
        <f>MAX(MIN(J3-SUM(J5:J9),0),-J8)</f>
        <v>-51303.87449773791</v>
      </c>
      <c r="K11" s="227">
        <f t="shared" si="4"/>
        <v>-43978.989370580646</v>
      </c>
      <c r="L11" s="227">
        <f t="shared" si="4"/>
        <v>-36727.70407171885</v>
      </c>
      <c r="M11" s="227">
        <f t="shared" si="4"/>
        <v>-26126.012336829968</v>
      </c>
      <c r="N11" s="227">
        <f t="shared" si="4"/>
        <v>0</v>
      </c>
      <c r="O11" s="227">
        <f t="shared" si="4"/>
        <v>0</v>
      </c>
      <c r="P11" s="703">
        <f t="shared" ref="P11" si="5">MAX(MIN(P3-SUM(P5:P9),0),-P8)</f>
        <v>0</v>
      </c>
    </row>
    <row r="12" spans="1:25" x14ac:dyDescent="0.3">
      <c r="B12" s="102"/>
      <c r="C12" s="102"/>
      <c r="D12" s="102"/>
      <c r="E12" s="102"/>
      <c r="F12" s="102"/>
      <c r="G12" s="102"/>
      <c r="H12" s="102"/>
      <c r="I12" s="102"/>
      <c r="J12" s="102"/>
      <c r="K12" s="102"/>
      <c r="L12" s="102"/>
      <c r="M12" s="102"/>
      <c r="N12" s="102"/>
    </row>
    <row r="13" spans="1:25" x14ac:dyDescent="0.3">
      <c r="A13" t="s">
        <v>234</v>
      </c>
      <c r="B13" s="102" t="s">
        <v>245</v>
      </c>
      <c r="C13" s="102" t="s">
        <v>129</v>
      </c>
      <c r="D13" s="490">
        <v>0</v>
      </c>
      <c r="E13" s="490">
        <v>0</v>
      </c>
      <c r="F13" s="228">
        <v>0</v>
      </c>
      <c r="G13" s="228">
        <v>0</v>
      </c>
      <c r="H13" s="228">
        <v>0</v>
      </c>
      <c r="I13" s="228">
        <v>0</v>
      </c>
      <c r="J13" s="228">
        <v>0</v>
      </c>
      <c r="K13" s="228">
        <v>0</v>
      </c>
      <c r="L13" s="228">
        <v>0</v>
      </c>
      <c r="M13" s="228">
        <v>0</v>
      </c>
      <c r="N13" s="228">
        <v>0</v>
      </c>
      <c r="O13" s="228">
        <v>0</v>
      </c>
      <c r="P13" s="704">
        <v>1</v>
      </c>
    </row>
    <row r="14" spans="1:25" x14ac:dyDescent="0.3">
      <c r="A14" t="s">
        <v>234</v>
      </c>
      <c r="B14" s="39" t="s">
        <v>246</v>
      </c>
      <c r="C14" s="102" t="s">
        <v>129</v>
      </c>
      <c r="D14" s="490">
        <v>58</v>
      </c>
      <c r="E14" s="490">
        <v>55</v>
      </c>
      <c r="F14" s="228">
        <v>50</v>
      </c>
      <c r="G14" s="228">
        <v>48</v>
      </c>
      <c r="H14" s="228">
        <v>43</v>
      </c>
      <c r="I14" s="228">
        <v>40</v>
      </c>
      <c r="J14" s="228">
        <v>40</v>
      </c>
      <c r="K14" s="228">
        <v>40</v>
      </c>
      <c r="L14" s="228">
        <v>40</v>
      </c>
      <c r="M14" s="228">
        <v>40</v>
      </c>
      <c r="N14" s="228">
        <f>M14</f>
        <v>40</v>
      </c>
      <c r="O14" s="228">
        <f>N14</f>
        <v>40</v>
      </c>
      <c r="P14" s="704">
        <f>O14</f>
        <v>40</v>
      </c>
    </row>
    <row r="15" spans="1:25" x14ac:dyDescent="0.3">
      <c r="A15" t="s">
        <v>234</v>
      </c>
      <c r="B15" s="225" t="s">
        <v>242</v>
      </c>
      <c r="C15" s="102" t="s">
        <v>129</v>
      </c>
      <c r="D15" s="490">
        <v>25</v>
      </c>
      <c r="E15" s="490">
        <v>25</v>
      </c>
      <c r="F15" s="228">
        <v>25</v>
      </c>
      <c r="G15" s="228">
        <v>25</v>
      </c>
      <c r="H15" s="228">
        <v>25</v>
      </c>
      <c r="I15" s="228">
        <v>25</v>
      </c>
      <c r="J15" s="228">
        <v>25</v>
      </c>
      <c r="K15" s="228">
        <v>25</v>
      </c>
      <c r="L15" s="228">
        <v>25</v>
      </c>
      <c r="M15" s="228">
        <v>25</v>
      </c>
      <c r="N15" s="228">
        <v>25</v>
      </c>
      <c r="O15" s="228">
        <v>25</v>
      </c>
      <c r="P15" s="704">
        <v>26</v>
      </c>
    </row>
    <row r="16" spans="1:25" x14ac:dyDescent="0.3">
      <c r="A16" s="44" t="str">
        <f>REC_scenario</f>
        <v>mid</v>
      </c>
      <c r="B16" s="225" t="s">
        <v>230</v>
      </c>
      <c r="C16" s="102" t="s">
        <v>129</v>
      </c>
      <c r="D16" s="490">
        <v>40</v>
      </c>
      <c r="E16" s="490">
        <f>SUMIF('price forecasts'!$A$25:$A$27,REC_scenario,'price forecasts'!E25:E27)</f>
        <v>41</v>
      </c>
      <c r="F16" s="228">
        <f>SUMIF('price forecasts'!$A$25:$A$27,REC_scenario,'price forecasts'!F25:F27)</f>
        <v>40</v>
      </c>
      <c r="G16" s="228">
        <f>SUMIF('price forecasts'!$A$25:$A$27,REC_scenario,'price forecasts'!G25:G27)</f>
        <v>33.010649580647502</v>
      </c>
      <c r="H16" s="228">
        <f>SUMIF('price forecasts'!$A$25:$A$27,REC_scenario,'price forecasts'!H25:H27)</f>
        <v>34.758620689655174</v>
      </c>
      <c r="I16" s="228">
        <f>SUMIF('price forecasts'!$A$25:$A$27,REC_scenario,'price forecasts'!I25:I27)</f>
        <v>32.482758620689658</v>
      </c>
      <c r="J16" s="228">
        <f>SUMIF('price forecasts'!$A$25:$A$27,REC_scenario,'price forecasts'!J25:J27)</f>
        <v>33.375</v>
      </c>
      <c r="K16" s="228">
        <f>SUMIF('price forecasts'!$A$25:$A$27,REC_scenario,'price forecasts'!K25:K27)</f>
        <v>33.375</v>
      </c>
      <c r="L16" s="228">
        <f>SUMIF('price forecasts'!$A$25:$A$27,REC_scenario,'price forecasts'!L25:L27)</f>
        <v>33.375</v>
      </c>
      <c r="M16" s="228">
        <f>SUMIF('price forecasts'!$A$25:$A$27,REC_scenario,'price forecasts'!M25:M27)</f>
        <v>33.375</v>
      </c>
      <c r="N16" s="228">
        <f>SUMIF('price forecasts'!$A$25:$A$27,REC_scenario,'price forecasts'!N25:N27)</f>
        <v>33.375</v>
      </c>
      <c r="O16" s="228">
        <f>SUMIF('price forecasts'!$A$25:$A$27,REC_scenario,'price forecasts'!O25:O27)</f>
        <v>33.375</v>
      </c>
      <c r="P16" s="704">
        <f>SUMIF('price forecasts'!$A$25:$A$27,REC_scenario,'price forecasts'!P25:P27)</f>
        <v>33.375</v>
      </c>
    </row>
    <row r="17" spans="1:19" x14ac:dyDescent="0.3">
      <c r="B17" s="225"/>
      <c r="C17" s="102"/>
      <c r="D17" s="228"/>
      <c r="E17" s="228"/>
      <c r="F17" s="228"/>
      <c r="G17" s="228"/>
      <c r="H17" s="228"/>
      <c r="I17" s="228"/>
      <c r="J17" s="228"/>
      <c r="K17" s="228"/>
      <c r="L17" s="228"/>
      <c r="M17" s="228"/>
      <c r="N17" s="228"/>
    </row>
    <row r="18" spans="1:19" x14ac:dyDescent="0.3">
      <c r="A18" t="s">
        <v>235</v>
      </c>
      <c r="B18" s="102" t="s">
        <v>247</v>
      </c>
      <c r="C18" s="102"/>
      <c r="D18" s="491">
        <f t="shared" ref="D18:O18" si="6">SUM(D5:D5)*D13</f>
        <v>0</v>
      </c>
      <c r="E18" s="491">
        <f>SUM(E5:E5)*E13</f>
        <v>0</v>
      </c>
      <c r="F18" s="229">
        <f>SUM(F5:F5)*F13</f>
        <v>0</v>
      </c>
      <c r="G18" s="229">
        <f t="shared" si="6"/>
        <v>0</v>
      </c>
      <c r="H18" s="229">
        <f t="shared" si="6"/>
        <v>0</v>
      </c>
      <c r="I18" s="229">
        <f t="shared" si="6"/>
        <v>0</v>
      </c>
      <c r="J18" s="229">
        <f t="shared" si="6"/>
        <v>0</v>
      </c>
      <c r="K18" s="229">
        <f t="shared" si="6"/>
        <v>0</v>
      </c>
      <c r="L18" s="229">
        <f t="shared" si="6"/>
        <v>0</v>
      </c>
      <c r="M18" s="229">
        <f t="shared" si="6"/>
        <v>0</v>
      </c>
      <c r="N18" s="229">
        <f t="shared" si="6"/>
        <v>0</v>
      </c>
      <c r="O18" s="229">
        <f t="shared" si="6"/>
        <v>0</v>
      </c>
      <c r="P18" s="705">
        <f t="shared" ref="P18" si="7">SUM(P5:P5)*P13</f>
        <v>2851.38</v>
      </c>
    </row>
    <row r="19" spans="1:19" x14ac:dyDescent="0.3">
      <c r="A19" t="s">
        <v>235</v>
      </c>
      <c r="B19" s="39" t="s">
        <v>246</v>
      </c>
      <c r="C19" s="102" t="s">
        <v>139</v>
      </c>
      <c r="D19" s="491">
        <f>D14*(D7+D6)</f>
        <v>3033400</v>
      </c>
      <c r="E19" s="491">
        <f>E14*(E7+E6)</f>
        <v>6216012.0000000009</v>
      </c>
      <c r="F19" s="229">
        <f>E19+F14*(F7-E7)</f>
        <v>7951368</v>
      </c>
      <c r="G19" s="229">
        <f>F19+G14*(G7-F7)</f>
        <v>10267899.406872574</v>
      </c>
      <c r="H19" s="229">
        <f>G19+H14*(H7-G7)</f>
        <v>11548995.714845572</v>
      </c>
      <c r="I19" s="229">
        <f t="shared" ref="I19:P19" si="8">H19+I14*(I7-H7)</f>
        <v>12792139.762035633</v>
      </c>
      <c r="J19" s="229">
        <f t="shared" si="8"/>
        <v>13490294.980956571</v>
      </c>
      <c r="K19" s="229">
        <f t="shared" si="8"/>
        <v>13811384.16929228</v>
      </c>
      <c r="L19" s="229">
        <f t="shared" si="8"/>
        <v>14159873.346506558</v>
      </c>
      <c r="M19" s="229">
        <f t="shared" si="8"/>
        <v>14386474.244615447</v>
      </c>
      <c r="N19" s="229">
        <f t="shared" si="8"/>
        <v>14406091.640460752</v>
      </c>
      <c r="O19" s="229">
        <f t="shared" si="8"/>
        <v>14555605.048736526</v>
      </c>
      <c r="P19" s="705">
        <f t="shared" si="8"/>
        <v>14604661.048736518</v>
      </c>
    </row>
    <row r="20" spans="1:19" x14ac:dyDescent="0.3">
      <c r="A20" t="s">
        <v>235</v>
      </c>
      <c r="B20" s="225" t="s">
        <v>242</v>
      </c>
      <c r="C20" s="102" t="s">
        <v>139</v>
      </c>
      <c r="D20" s="492">
        <f>D15*D8</f>
        <v>747953.43749999988</v>
      </c>
      <c r="E20" s="492">
        <f t="shared" ref="E20:O20" si="9">E15*E8</f>
        <v>747953.43749999988</v>
      </c>
      <c r="F20" s="109">
        <f>F15*F8</f>
        <v>747953.43749999988</v>
      </c>
      <c r="G20" s="109">
        <f t="shared" si="9"/>
        <v>1014859.6874999999</v>
      </c>
      <c r="H20" s="109">
        <f t="shared" si="9"/>
        <v>1425484.6875</v>
      </c>
      <c r="I20" s="109">
        <f t="shared" si="9"/>
        <v>1836109.6875000002</v>
      </c>
      <c r="J20" s="109">
        <f t="shared" si="9"/>
        <v>2246734.6875000005</v>
      </c>
      <c r="K20" s="109">
        <f t="shared" si="9"/>
        <v>2657359.6875000005</v>
      </c>
      <c r="L20" s="109">
        <f t="shared" si="9"/>
        <v>3067984.6875000005</v>
      </c>
      <c r="M20" s="109">
        <f t="shared" si="9"/>
        <v>3507353.4375000005</v>
      </c>
      <c r="N20" s="109">
        <f t="shared" si="9"/>
        <v>3507353.4375000005</v>
      </c>
      <c r="O20" s="109">
        <f t="shared" si="9"/>
        <v>3507353.4375000005</v>
      </c>
      <c r="P20" s="705">
        <f t="shared" ref="P20" si="10">P15*P8</f>
        <v>3647647.5750000002</v>
      </c>
      <c r="Q20" s="872"/>
    </row>
    <row r="21" spans="1:19" x14ac:dyDescent="0.3">
      <c r="A21" s="13" t="s">
        <v>235</v>
      </c>
      <c r="B21" s="230" t="s">
        <v>230</v>
      </c>
      <c r="C21" s="171" t="s">
        <v>139</v>
      </c>
      <c r="D21" s="493">
        <f>D16*(D10+D11)</f>
        <v>1468279.0599999996</v>
      </c>
      <c r="E21" s="493">
        <f>E16*(E10+E11)</f>
        <v>104067.53249999933</v>
      </c>
      <c r="F21" s="172">
        <f>F16*(F10+F11)</f>
        <v>209548.88039999991</v>
      </c>
      <c r="G21" s="172">
        <f t="shared" ref="G21:O21" si="11">G16*(G10+G11)</f>
        <v>-688217.59451953589</v>
      </c>
      <c r="H21" s="172">
        <f t="shared" si="11"/>
        <v>-1140390.3225714758</v>
      </c>
      <c r="I21" s="172">
        <f t="shared" si="11"/>
        <v>-1562136.2579193469</v>
      </c>
      <c r="J21" s="172">
        <f t="shared" si="11"/>
        <v>-1712266.8113620027</v>
      </c>
      <c r="K21" s="172">
        <f t="shared" si="11"/>
        <v>-1467798.770243129</v>
      </c>
      <c r="L21" s="172">
        <f t="shared" si="11"/>
        <v>-1225787.1233936166</v>
      </c>
      <c r="M21" s="172">
        <f t="shared" si="11"/>
        <v>-871955.66174170014</v>
      </c>
      <c r="N21" s="172">
        <f t="shared" si="11"/>
        <v>277909.99526709347</v>
      </c>
      <c r="O21" s="172">
        <f t="shared" si="11"/>
        <v>1329110.9101597895</v>
      </c>
      <c r="P21" s="706">
        <f t="shared" ref="P21" si="12">P16*(P10+P11)</f>
        <v>2509464.6432609796</v>
      </c>
    </row>
    <row r="22" spans="1:19" x14ac:dyDescent="0.3">
      <c r="A22" s="22" t="s">
        <v>235</v>
      </c>
      <c r="B22" s="231" t="s">
        <v>44</v>
      </c>
      <c r="C22" s="231" t="s">
        <v>139</v>
      </c>
      <c r="D22" s="494">
        <f>SUM(D18:D21)</f>
        <v>5249632.4974999996</v>
      </c>
      <c r="E22" s="494">
        <f t="shared" ref="E22:O22" si="13">SUM(E18:E21)</f>
        <v>7068032.9700000007</v>
      </c>
      <c r="F22" s="232">
        <f>SUM(F18:F21)</f>
        <v>8908870.3179000001</v>
      </c>
      <c r="G22" s="232">
        <f t="shared" si="13"/>
        <v>10594541.499853039</v>
      </c>
      <c r="H22" s="232">
        <f t="shared" si="13"/>
        <v>11834090.079774097</v>
      </c>
      <c r="I22" s="232">
        <f t="shared" si="13"/>
        <v>13066113.191616286</v>
      </c>
      <c r="J22" s="232">
        <f t="shared" si="13"/>
        <v>14024762.857094569</v>
      </c>
      <c r="K22" s="232">
        <f t="shared" si="13"/>
        <v>15000945.086549152</v>
      </c>
      <c r="L22" s="232">
        <f t="shared" si="13"/>
        <v>16002070.910612941</v>
      </c>
      <c r="M22" s="232">
        <f t="shared" si="13"/>
        <v>17021872.020373747</v>
      </c>
      <c r="N22" s="232">
        <f t="shared" si="13"/>
        <v>18191355.073227845</v>
      </c>
      <c r="O22" s="232">
        <f t="shared" si="13"/>
        <v>19392069.396396317</v>
      </c>
      <c r="P22" s="707">
        <f t="shared" ref="P22" si="14">SUM(P18:P21)</f>
        <v>20764624.646997496</v>
      </c>
    </row>
    <row r="23" spans="1:19" x14ac:dyDescent="0.3">
      <c r="B23" s="102"/>
      <c r="C23" s="102"/>
      <c r="D23" s="102"/>
      <c r="E23" s="102"/>
      <c r="F23" s="102">
        <f>F22/F3</f>
        <v>48.681351365424753</v>
      </c>
      <c r="G23" s="102">
        <f t="shared" ref="G23:O23" si="15">G22/G3</f>
        <v>49.081977221039622</v>
      </c>
      <c r="H23" s="102">
        <f t="shared" si="15"/>
        <v>47.315267682786335</v>
      </c>
      <c r="I23" s="102">
        <f t="shared" si="15"/>
        <v>46.279142820794426</v>
      </c>
      <c r="J23" s="102">
        <f t="shared" si="15"/>
        <v>44.807706102143982</v>
      </c>
      <c r="K23" s="102">
        <f t="shared" si="15"/>
        <v>43.509247480668051</v>
      </c>
      <c r="L23" s="102">
        <f t="shared" si="15"/>
        <v>42.427295060546065</v>
      </c>
      <c r="M23" s="102">
        <f t="shared" si="15"/>
        <v>41.415142732189864</v>
      </c>
      <c r="N23" s="102">
        <f t="shared" si="15"/>
        <v>40.792425585302226</v>
      </c>
      <c r="O23" s="102">
        <f t="shared" si="15"/>
        <v>40.300750575374579</v>
      </c>
      <c r="P23" s="708">
        <f t="shared" ref="P23" si="16">P22/P3</f>
        <v>40.103441137977981</v>
      </c>
    </row>
    <row r="24" spans="1:19" x14ac:dyDescent="0.3">
      <c r="D24" s="80"/>
      <c r="E24" s="20"/>
      <c r="F24">
        <f>F23/1000</f>
        <v>4.8681351365424751E-2</v>
      </c>
      <c r="G24">
        <f t="shared" ref="G24:O24" si="17">G23/1000</f>
        <v>4.9081977221039623E-2</v>
      </c>
      <c r="H24">
        <f t="shared" si="17"/>
        <v>4.7315267682786336E-2</v>
      </c>
      <c r="I24">
        <f t="shared" si="17"/>
        <v>4.6279142820794428E-2</v>
      </c>
      <c r="J24">
        <f t="shared" si="17"/>
        <v>4.4807706102143983E-2</v>
      </c>
      <c r="K24">
        <f t="shared" si="17"/>
        <v>4.3509247480668048E-2</v>
      </c>
      <c r="L24">
        <f t="shared" si="17"/>
        <v>4.2427295060546065E-2</v>
      </c>
      <c r="M24">
        <f t="shared" si="17"/>
        <v>4.1415142732189866E-2</v>
      </c>
      <c r="N24">
        <f t="shared" si="17"/>
        <v>4.0792425585302224E-2</v>
      </c>
      <c r="O24">
        <f t="shared" si="17"/>
        <v>4.0300750575374578E-2</v>
      </c>
      <c r="P24" s="668">
        <f t="shared" ref="P24" si="18">P23/1000</f>
        <v>4.010344113797798E-2</v>
      </c>
      <c r="Q24" s="637">
        <f>AVERAGE(F24:O24)</f>
        <v>4.4461030662626987E-2</v>
      </c>
    </row>
    <row r="25" spans="1:19" x14ac:dyDescent="0.3">
      <c r="E25" s="15"/>
      <c r="F25" s="15"/>
      <c r="G25" s="15"/>
      <c r="H25" s="15"/>
      <c r="I25" s="15"/>
      <c r="J25" s="15"/>
      <c r="K25" s="15"/>
      <c r="L25" s="15"/>
      <c r="M25" s="15"/>
      <c r="N25" s="15"/>
    </row>
    <row r="26" spans="1:19" x14ac:dyDescent="0.3">
      <c r="E26" s="33"/>
      <c r="F26" s="15"/>
      <c r="G26" s="15"/>
      <c r="H26" s="15"/>
      <c r="I26" s="15"/>
      <c r="J26" s="15"/>
      <c r="K26" s="15"/>
      <c r="L26" s="15"/>
      <c r="M26" s="15"/>
      <c r="N26" s="15"/>
    </row>
    <row r="27" spans="1:19" ht="15.6" x14ac:dyDescent="0.3">
      <c r="B27" s="46" t="s">
        <v>248</v>
      </c>
    </row>
    <row r="28" spans="1:19" x14ac:dyDescent="0.3">
      <c r="A28" t="s">
        <v>249</v>
      </c>
      <c r="B28" t="s">
        <v>250</v>
      </c>
      <c r="C28" t="s">
        <v>122</v>
      </c>
      <c r="D28" s="32">
        <f>D33*0.14*8760</f>
        <v>0</v>
      </c>
      <c r="E28" s="32">
        <f>E33*0.155*8760</f>
        <v>75274</v>
      </c>
      <c r="F28" s="32">
        <f>F33*0.155*8760</f>
        <v>111920.03986795217</v>
      </c>
      <c r="G28" s="32">
        <f>G33*0.155*8760</f>
        <v>165351.93987766185</v>
      </c>
      <c r="H28" s="32">
        <f t="shared" ref="H28:M28" si="19">H33*0.155*8760</f>
        <v>198336.97770753133</v>
      </c>
      <c r="I28" s="32">
        <f>I33*0.155*8760</f>
        <v>232745.42901368489</v>
      </c>
      <c r="J28" s="32">
        <f t="shared" si="19"/>
        <v>252069.36810881799</v>
      </c>
      <c r="K28" s="32">
        <f t="shared" si="19"/>
        <v>260956.65814310996</v>
      </c>
      <c r="L28" s="32">
        <f t="shared" si="19"/>
        <v>270602.34072671935</v>
      </c>
      <c r="M28" s="32">
        <f t="shared" si="19"/>
        <v>276874.32987080468</v>
      </c>
      <c r="N28" s="32">
        <f>N33*0.155*8760</f>
        <v>277417.31136295159</v>
      </c>
      <c r="O28" s="32">
        <f>O33*0.155*8760</f>
        <v>281555.62891344173</v>
      </c>
      <c r="P28" s="654">
        <f>P33*0.155*8760</f>
        <v>282913.4289134416</v>
      </c>
      <c r="Q28" s="53">
        <f>(N28/E28)^(1/($N$2-$D$2))-1</f>
        <v>0.13932822477950202</v>
      </c>
      <c r="R28" s="36"/>
      <c r="S28" s="36"/>
    </row>
    <row r="29" spans="1:19" x14ac:dyDescent="0.3">
      <c r="A29" t="s">
        <v>20</v>
      </c>
      <c r="B29" t="s">
        <v>250</v>
      </c>
      <c r="C29" t="s">
        <v>122</v>
      </c>
      <c r="D29" s="32">
        <f>D34*0.14*8760</f>
        <v>0</v>
      </c>
      <c r="E29" s="495">
        <f>E34*0.14*8760</f>
        <v>38018.400000000009</v>
      </c>
      <c r="F29" s="723">
        <f>F34*0.14*8760</f>
        <v>72725.51999999999</v>
      </c>
      <c r="G29" s="32">
        <f>G34*0.14*8760</f>
        <v>96856.055488255981</v>
      </c>
      <c r="H29" s="32">
        <f t="shared" ref="F29:O31" si="20">H34*0.14*8760</f>
        <v>111752.52418561641</v>
      </c>
      <c r="I29" s="32">
        <f t="shared" si="20"/>
        <v>127291.82477549219</v>
      </c>
      <c r="J29" s="32">
        <f t="shared" si="20"/>
        <v>136018.76501200395</v>
      </c>
      <c r="K29" s="32">
        <f t="shared" si="20"/>
        <v>140032.3798662003</v>
      </c>
      <c r="L29" s="32">
        <f t="shared" si="20"/>
        <v>144388.49458137873</v>
      </c>
      <c r="M29" s="32">
        <f t="shared" si="20"/>
        <v>147221.00580773986</v>
      </c>
      <c r="N29" s="32">
        <f t="shared" si="20"/>
        <v>147466.2232558062</v>
      </c>
      <c r="O29" s="32">
        <f t="shared" si="20"/>
        <v>149335.14085925336</v>
      </c>
      <c r="P29" s="654">
        <f t="shared" ref="P29" si="21">P34*0.14*8760</f>
        <v>149948.34085925325</v>
      </c>
      <c r="Q29" s="53">
        <f>(N29/E29)^(1/($N$2-$D$2))-1</f>
        <v>0.14516976244699054</v>
      </c>
    </row>
    <row r="30" spans="1:19" x14ac:dyDescent="0.3">
      <c r="A30" t="s">
        <v>8</v>
      </c>
      <c r="B30" t="s">
        <v>250</v>
      </c>
      <c r="C30" t="s">
        <v>122</v>
      </c>
      <c r="D30" s="32">
        <f>D35*0.14*8760</f>
        <v>0</v>
      </c>
      <c r="E30" s="495">
        <f>E35*0.14*8760</f>
        <v>38018.400000000009</v>
      </c>
      <c r="F30" s="723">
        <f>F35*0.14*8760</f>
        <v>72725.51999999999</v>
      </c>
      <c r="G30" s="32">
        <f t="shared" si="20"/>
        <v>120986.59097651196</v>
      </c>
      <c r="H30" s="32">
        <f t="shared" si="20"/>
        <v>150779.52837123282</v>
      </c>
      <c r="I30" s="32">
        <f t="shared" si="20"/>
        <v>181858.12955098436</v>
      </c>
      <c r="J30" s="32">
        <f t="shared" si="20"/>
        <v>199312.01002400785</v>
      </c>
      <c r="K30" s="32">
        <f t="shared" si="20"/>
        <v>207339.23973240057</v>
      </c>
      <c r="L30" s="32">
        <f t="shared" si="20"/>
        <v>216051.46916275751</v>
      </c>
      <c r="M30" s="32">
        <f t="shared" si="20"/>
        <v>221716.49161547972</v>
      </c>
      <c r="N30" s="32">
        <f t="shared" si="20"/>
        <v>222206.92651161237</v>
      </c>
      <c r="O30" s="32">
        <f t="shared" si="20"/>
        <v>225944.76171850672</v>
      </c>
      <c r="P30" s="654">
        <f t="shared" ref="P30" si="22">P35*0.14*8760</f>
        <v>227171.16171850654</v>
      </c>
      <c r="Q30" s="53">
        <f>(N30/E30)^(1/($N$2-$D$2))-1</f>
        <v>0.1930987087183984</v>
      </c>
    </row>
    <row r="31" spans="1:19" x14ac:dyDescent="0.3">
      <c r="A31" t="s">
        <v>12</v>
      </c>
      <c r="B31" t="s">
        <v>250</v>
      </c>
      <c r="C31" t="s">
        <v>122</v>
      </c>
      <c r="D31" s="32">
        <f>D36*0.14*8760</f>
        <v>0</v>
      </c>
      <c r="E31" s="495">
        <f>E36*0.14*8760</f>
        <v>38018.400000000009</v>
      </c>
      <c r="F31" s="723">
        <f t="shared" si="20"/>
        <v>72725.51999999999</v>
      </c>
      <c r="G31" s="32">
        <f t="shared" si="20"/>
        <v>120986.59097651196</v>
      </c>
      <c r="H31" s="32">
        <f>H36*0.14*8760</f>
        <v>150779.52837123282</v>
      </c>
      <c r="I31" s="32">
        <f t="shared" si="20"/>
        <v>181858.12955098436</v>
      </c>
      <c r="J31" s="32">
        <f t="shared" si="20"/>
        <v>211291.7295509844</v>
      </c>
      <c r="K31" s="32">
        <f t="shared" si="20"/>
        <v>239498.92955098438</v>
      </c>
      <c r="L31" s="32">
        <f t="shared" si="20"/>
        <v>266479.7295509844</v>
      </c>
      <c r="M31" s="32">
        <f t="shared" si="20"/>
        <v>292234.12955098442</v>
      </c>
      <c r="N31" s="32">
        <f t="shared" si="20"/>
        <v>316762.12955098436</v>
      </c>
      <c r="O31" s="32">
        <f t="shared" si="20"/>
        <v>340063.7295509844</v>
      </c>
      <c r="P31" s="654">
        <f t="shared" ref="P31" si="23">P36*0.14*8760</f>
        <v>362138.92955098441</v>
      </c>
      <c r="Q31" s="53">
        <f>(N31/E31)^(1/($N$2-$D$2))-1</f>
        <v>0.23615788050877473</v>
      </c>
      <c r="R31" s="36"/>
      <c r="S31" s="36"/>
    </row>
    <row r="32" spans="1:19" x14ac:dyDescent="0.3">
      <c r="D32" s="10"/>
      <c r="E32" s="10"/>
      <c r="F32" s="10"/>
      <c r="G32" s="10"/>
      <c r="H32" s="10"/>
      <c r="I32" s="10"/>
      <c r="J32" s="10"/>
      <c r="K32" s="10"/>
      <c r="L32" s="10"/>
      <c r="M32" s="10"/>
      <c r="N32" s="10"/>
      <c r="O32" s="10"/>
      <c r="P32" s="661"/>
      <c r="Q32" s="51"/>
      <c r="R32" s="36"/>
      <c r="S32" s="36"/>
    </row>
    <row r="33" spans="1:22" x14ac:dyDescent="0.3">
      <c r="A33" t="s">
        <v>249</v>
      </c>
      <c r="B33" t="s">
        <v>251</v>
      </c>
      <c r="C33" t="s">
        <v>252</v>
      </c>
      <c r="D33" s="10"/>
      <c r="E33" s="10">
        <v>55.438208867285311</v>
      </c>
      <c r="F33" s="10">
        <v>82.427485541281612</v>
      </c>
      <c r="G33" s="10">
        <v>121.77930466759599</v>
      </c>
      <c r="H33" s="10">
        <v>146.07230645715964</v>
      </c>
      <c r="I33" s="10">
        <v>171.413631620036</v>
      </c>
      <c r="J33" s="10">
        <v>185.64543239712623</v>
      </c>
      <c r="K33" s="10">
        <v>192.19079256378697</v>
      </c>
      <c r="L33" s="10">
        <v>199.29469783968139</v>
      </c>
      <c r="M33" s="10">
        <v>203.91392684548882</v>
      </c>
      <c r="N33" s="10">
        <v>204.31382483646456</v>
      </c>
      <c r="O33" s="36">
        <v>207.36163567052714</v>
      </c>
      <c r="P33" s="661">
        <v>208.36163567052699</v>
      </c>
      <c r="Q33" s="51">
        <v>211.21680397513299</v>
      </c>
      <c r="R33" s="36">
        <v>216.66556172709011</v>
      </c>
      <c r="S33" s="36">
        <v>217.18392794990331</v>
      </c>
      <c r="T33">
        <v>219.02574274162427</v>
      </c>
      <c r="U33">
        <v>219.77453581056781</v>
      </c>
      <c r="V33">
        <v>222.17837658856891</v>
      </c>
    </row>
    <row r="34" spans="1:22" x14ac:dyDescent="0.3">
      <c r="A34" t="s">
        <v>20</v>
      </c>
      <c r="B34" t="s">
        <v>251</v>
      </c>
      <c r="C34" t="s">
        <v>252</v>
      </c>
      <c r="D34" s="10"/>
      <c r="E34" s="471">
        <v>31</v>
      </c>
      <c r="F34" s="677">
        <f>E34+28.3</f>
        <v>59.3</v>
      </c>
      <c r="G34" s="10">
        <f>F34+0.5*(G33-F33)</f>
        <v>78.975909563157188</v>
      </c>
      <c r="H34" s="10">
        <f>G34+0.5*(H33-G33)</f>
        <v>91.122410457939012</v>
      </c>
      <c r="I34" s="10">
        <f t="shared" ref="I34:P34" si="24">H34+0.5*(I33-H33)</f>
        <v>103.79307303937719</v>
      </c>
      <c r="J34" s="10">
        <f t="shared" si="24"/>
        <v>110.90897342792231</v>
      </c>
      <c r="K34" s="10">
        <f t="shared" si="24"/>
        <v>114.18165351125268</v>
      </c>
      <c r="L34" s="10">
        <f t="shared" si="24"/>
        <v>117.73360614919989</v>
      </c>
      <c r="M34" s="10">
        <f t="shared" si="24"/>
        <v>120.0432206521036</v>
      </c>
      <c r="N34" s="10">
        <f t="shared" si="24"/>
        <v>120.24316964759147</v>
      </c>
      <c r="O34" s="10">
        <f t="shared" si="24"/>
        <v>121.76707506462276</v>
      </c>
      <c r="P34" s="654">
        <f t="shared" si="24"/>
        <v>122.26707506462269</v>
      </c>
      <c r="Q34" s="51"/>
      <c r="R34" s="36"/>
      <c r="S34" s="36"/>
    </row>
    <row r="35" spans="1:22" x14ac:dyDescent="0.3">
      <c r="A35" t="s">
        <v>8</v>
      </c>
      <c r="B35" t="s">
        <v>251</v>
      </c>
      <c r="C35" t="s">
        <v>252</v>
      </c>
      <c r="D35" s="10"/>
      <c r="E35" s="471">
        <v>31</v>
      </c>
      <c r="F35" s="677">
        <f t="shared" ref="F35:F36" si="25">E35+28.3</f>
        <v>59.3</v>
      </c>
      <c r="G35" s="10">
        <f t="shared" ref="G35:P35" si="26">F35+(G33-F33)</f>
        <v>98.651819126314379</v>
      </c>
      <c r="H35" s="10">
        <f t="shared" si="26"/>
        <v>122.94482091587803</v>
      </c>
      <c r="I35" s="10">
        <f t="shared" si="26"/>
        <v>148.28614607875437</v>
      </c>
      <c r="J35" s="10">
        <f t="shared" si="26"/>
        <v>162.5179468558446</v>
      </c>
      <c r="K35" s="10">
        <f t="shared" si="26"/>
        <v>169.06330702250534</v>
      </c>
      <c r="L35" s="10">
        <f t="shared" si="26"/>
        <v>176.16721229839976</v>
      </c>
      <c r="M35" s="10">
        <f t="shared" si="26"/>
        <v>180.78644130420719</v>
      </c>
      <c r="N35" s="10">
        <f>M35+(N33-M33)</f>
        <v>181.18633929518293</v>
      </c>
      <c r="O35" s="10">
        <f t="shared" si="26"/>
        <v>184.23415012924551</v>
      </c>
      <c r="P35" s="654">
        <f t="shared" si="26"/>
        <v>185.23415012924536</v>
      </c>
      <c r="Q35" s="51"/>
      <c r="R35" s="36"/>
      <c r="S35" s="36"/>
    </row>
    <row r="36" spans="1:22" x14ac:dyDescent="0.3">
      <c r="A36" t="s">
        <v>12</v>
      </c>
      <c r="B36" t="s">
        <v>251</v>
      </c>
      <c r="C36" t="s">
        <v>252</v>
      </c>
      <c r="D36" s="10"/>
      <c r="E36" s="471">
        <v>31</v>
      </c>
      <c r="F36" s="677">
        <f t="shared" si="25"/>
        <v>59.3</v>
      </c>
      <c r="G36" s="10">
        <f>F36+(G33-F33)</f>
        <v>98.651819126314379</v>
      </c>
      <c r="H36" s="10">
        <f>G36+(H33-G33)</f>
        <v>122.94482091587803</v>
      </c>
      <c r="I36" s="10">
        <f t="shared" ref="I36" si="27">H36+(I33-H33)</f>
        <v>148.28614607875437</v>
      </c>
      <c r="J36" s="10">
        <f>I36+24</f>
        <v>172.28614607875437</v>
      </c>
      <c r="K36" s="10">
        <f>J36+23</f>
        <v>195.28614607875437</v>
      </c>
      <c r="L36" s="10">
        <f>K36+22</f>
        <v>217.28614607875437</v>
      </c>
      <c r="M36" s="10">
        <f>L36+21</f>
        <v>238.28614607875437</v>
      </c>
      <c r="N36" s="10">
        <f>M36+20</f>
        <v>258.28614607875437</v>
      </c>
      <c r="O36" s="10">
        <f>N36+19</f>
        <v>277.28614607875437</v>
      </c>
      <c r="P36" s="654">
        <f>O36+18</f>
        <v>295.28614607875437</v>
      </c>
    </row>
    <row r="37" spans="1:22" x14ac:dyDescent="0.3">
      <c r="D37" s="10"/>
      <c r="E37" s="10"/>
      <c r="F37" s="10"/>
      <c r="G37" s="10"/>
      <c r="H37" s="10"/>
      <c r="I37" s="10"/>
      <c r="J37" s="10"/>
      <c r="K37" s="10"/>
      <c r="L37" s="10"/>
      <c r="M37" s="10"/>
      <c r="N37" s="10"/>
      <c r="O37" s="36"/>
      <c r="P37" s="661"/>
      <c r="Q37" s="51"/>
      <c r="R37" s="36"/>
      <c r="S37" s="36"/>
    </row>
    <row r="38" spans="1:22" x14ac:dyDescent="0.3">
      <c r="A38" t="s">
        <v>249</v>
      </c>
      <c r="B38" t="s">
        <v>253</v>
      </c>
      <c r="C38" t="s">
        <v>124</v>
      </c>
      <c r="D38" s="10"/>
      <c r="E38" s="15"/>
      <c r="F38" s="15">
        <f>F28/E28-1</f>
        <v>0.48683529330116881</v>
      </c>
      <c r="G38" s="15">
        <f>G28/F28-1</f>
        <v>0.47741137398405864</v>
      </c>
      <c r="H38" s="15">
        <f t="shared" ref="H38:P38" si="28">H28/G28-1</f>
        <v>0.19948382737011716</v>
      </c>
      <c r="I38" s="15">
        <f t="shared" si="28"/>
        <v>0.17348480199639038</v>
      </c>
      <c r="J38" s="15">
        <f t="shared" si="28"/>
        <v>8.3026073495934938E-2</v>
      </c>
      <c r="K38" s="15">
        <f t="shared" si="28"/>
        <v>3.5257318653868941E-2</v>
      </c>
      <c r="L38" s="15">
        <f t="shared" si="28"/>
        <v>3.6962776317895907E-2</v>
      </c>
      <c r="M38" s="15">
        <f t="shared" si="28"/>
        <v>2.3177882080552159E-2</v>
      </c>
      <c r="N38" s="15">
        <f t="shared" si="28"/>
        <v>1.9611117159192837E-3</v>
      </c>
      <c r="O38" s="15">
        <f t="shared" si="28"/>
        <v>1.491730105146849E-2</v>
      </c>
      <c r="P38" s="656">
        <f t="shared" si="28"/>
        <v>4.8224928240283571E-3</v>
      </c>
      <c r="Q38" s="51"/>
      <c r="R38" s="36"/>
      <c r="S38" s="36"/>
    </row>
    <row r="39" spans="1:22" x14ac:dyDescent="0.3">
      <c r="A39" t="s">
        <v>20</v>
      </c>
      <c r="B39" t="s">
        <v>253</v>
      </c>
      <c r="C39" t="s">
        <v>124</v>
      </c>
      <c r="D39" s="10"/>
      <c r="E39" s="15"/>
      <c r="F39" s="15">
        <f>F29/E29-1</f>
        <v>0.91290322580645089</v>
      </c>
      <c r="G39" s="15">
        <f t="shared" ref="G39:P39" si="29">G29/F29-1</f>
        <v>0.33180285941243182</v>
      </c>
      <c r="H39" s="15">
        <f t="shared" si="29"/>
        <v>0.15380007602278067</v>
      </c>
      <c r="I39" s="15">
        <f t="shared" si="29"/>
        <v>0.13905100312602903</v>
      </c>
      <c r="J39" s="15">
        <f t="shared" si="29"/>
        <v>6.8558528812857178E-2</v>
      </c>
      <c r="K39" s="15">
        <f t="shared" si="29"/>
        <v>2.950780249947238E-2</v>
      </c>
      <c r="L39" s="15">
        <f t="shared" si="29"/>
        <v>3.1107910322888621E-2</v>
      </c>
      <c r="M39" s="15">
        <f t="shared" si="29"/>
        <v>1.9617291769495449E-2</v>
      </c>
      <c r="N39" s="15">
        <f t="shared" si="29"/>
        <v>1.6656417113911637E-3</v>
      </c>
      <c r="O39" s="15">
        <f t="shared" si="29"/>
        <v>1.267352999340865E-2</v>
      </c>
      <c r="P39" s="656">
        <f t="shared" si="29"/>
        <v>4.1062002986813617E-3</v>
      </c>
      <c r="Q39" s="51"/>
      <c r="R39" s="36"/>
      <c r="S39" s="36"/>
    </row>
    <row r="40" spans="1:22" x14ac:dyDescent="0.3">
      <c r="A40" t="s">
        <v>8</v>
      </c>
      <c r="B40" t="s">
        <v>253</v>
      </c>
      <c r="C40" t="s">
        <v>124</v>
      </c>
      <c r="D40" s="10"/>
      <c r="E40" s="15"/>
      <c r="F40" s="15">
        <f>F30/E30-1</f>
        <v>0.91290322580645089</v>
      </c>
      <c r="G40" s="15">
        <f>G30/F30-1</f>
        <v>0.66360571882486341</v>
      </c>
      <c r="H40" s="15">
        <f t="shared" ref="H40:P40" si="30">H30/G30-1</f>
        <v>0.24624991211220082</v>
      </c>
      <c r="I40" s="15">
        <f t="shared" si="30"/>
        <v>0.20611950120465439</v>
      </c>
      <c r="J40" s="15">
        <f t="shared" si="30"/>
        <v>9.597525563535636E-2</v>
      </c>
      <c r="K40" s="15">
        <f t="shared" si="30"/>
        <v>4.0274691462023782E-2</v>
      </c>
      <c r="L40" s="15">
        <f t="shared" si="30"/>
        <v>4.2019202161642122E-2</v>
      </c>
      <c r="M40" s="15">
        <f t="shared" si="30"/>
        <v>2.6220707846492886E-2</v>
      </c>
      <c r="N40" s="15">
        <f t="shared" si="30"/>
        <v>2.2119910546987143E-3</v>
      </c>
      <c r="O40" s="15">
        <f t="shared" si="30"/>
        <v>1.6821416260842881E-2</v>
      </c>
      <c r="P40" s="656">
        <f t="shared" si="30"/>
        <v>5.4278753385206269E-3</v>
      </c>
      <c r="Q40" s="51"/>
      <c r="R40" s="36"/>
      <c r="S40" s="36"/>
    </row>
    <row r="41" spans="1:22" x14ac:dyDescent="0.3">
      <c r="A41" t="s">
        <v>12</v>
      </c>
      <c r="B41" t="s">
        <v>253</v>
      </c>
      <c r="C41" t="s">
        <v>124</v>
      </c>
      <c r="E41" s="15"/>
      <c r="F41" s="15">
        <f>F31/E31-1</f>
        <v>0.91290322580645089</v>
      </c>
      <c r="G41" s="15">
        <f>G31/F31-1</f>
        <v>0.66360571882486341</v>
      </c>
      <c r="H41" s="15">
        <f t="shared" ref="H41:P41" si="31">H31/G31-1</f>
        <v>0.24624991211220082</v>
      </c>
      <c r="I41" s="15">
        <f t="shared" si="31"/>
        <v>0.20611950120465439</v>
      </c>
      <c r="J41" s="15">
        <f t="shared" si="31"/>
        <v>0.16184923969400145</v>
      </c>
      <c r="K41" s="15">
        <f t="shared" si="31"/>
        <v>0.13349883622961989</v>
      </c>
      <c r="L41" s="15">
        <f t="shared" si="31"/>
        <v>0.11265520080020375</v>
      </c>
      <c r="M41" s="15">
        <f t="shared" si="31"/>
        <v>9.6646750743089926E-2</v>
      </c>
      <c r="N41" s="15">
        <f t="shared" si="31"/>
        <v>8.3932701624163553E-2</v>
      </c>
      <c r="O41" s="15">
        <f t="shared" si="31"/>
        <v>7.3561823924565894E-2</v>
      </c>
      <c r="P41" s="656">
        <f t="shared" si="31"/>
        <v>6.4914891185684054E-2</v>
      </c>
    </row>
    <row r="43" spans="1:22" x14ac:dyDescent="0.3">
      <c r="F43" s="12"/>
      <c r="G43" s="12"/>
      <c r="H43" s="12"/>
      <c r="I43" s="12"/>
      <c r="J43" s="12"/>
      <c r="K43" s="12"/>
      <c r="L43" s="12"/>
      <c r="M43" s="12"/>
      <c r="N43" s="12"/>
      <c r="O43" s="12"/>
      <c r="P43" s="659"/>
    </row>
    <row r="44" spans="1:22" ht="15.6" x14ac:dyDescent="0.3">
      <c r="B44" s="46" t="s">
        <v>254</v>
      </c>
    </row>
    <row r="45" spans="1:22" x14ac:dyDescent="0.3">
      <c r="B45" t="s">
        <v>255</v>
      </c>
      <c r="D45" s="72">
        <v>41.13</v>
      </c>
      <c r="E45" s="72">
        <v>41.13</v>
      </c>
      <c r="F45" s="72">
        <v>41.13</v>
      </c>
      <c r="G45" s="72">
        <v>41.13</v>
      </c>
      <c r="H45" s="72">
        <v>41.13</v>
      </c>
      <c r="I45" s="72">
        <v>41.13</v>
      </c>
      <c r="J45" s="72">
        <v>41.13</v>
      </c>
      <c r="K45" s="72">
        <v>41.13</v>
      </c>
      <c r="L45" s="72">
        <v>41.13</v>
      </c>
      <c r="M45" s="72">
        <v>41.13</v>
      </c>
      <c r="N45" s="72">
        <v>41.13</v>
      </c>
      <c r="O45" s="72">
        <v>41.13</v>
      </c>
      <c r="P45" s="709">
        <v>42.13</v>
      </c>
    </row>
    <row r="46" spans="1:22" x14ac:dyDescent="0.3">
      <c r="B46" t="s">
        <v>256</v>
      </c>
      <c r="D46">
        <v>5.25</v>
      </c>
      <c r="E46" s="678">
        <v>0</v>
      </c>
      <c r="F46" s="678">
        <v>6.5</v>
      </c>
      <c r="G46">
        <v>10</v>
      </c>
      <c r="H46">
        <v>10</v>
      </c>
      <c r="I46">
        <v>10</v>
      </c>
      <c r="J46">
        <v>10</v>
      </c>
      <c r="K46">
        <v>10</v>
      </c>
      <c r="L46">
        <v>10.7</v>
      </c>
    </row>
    <row r="47" spans="1:22" x14ac:dyDescent="0.3">
      <c r="B47" t="s">
        <v>257</v>
      </c>
      <c r="D47" s="49">
        <v>18.215</v>
      </c>
      <c r="E47" s="49">
        <f>D47+E46</f>
        <v>18.215</v>
      </c>
      <c r="F47" s="49">
        <f>E47+E46</f>
        <v>18.215</v>
      </c>
      <c r="G47" s="49">
        <f>F47+F46</f>
        <v>24.715</v>
      </c>
      <c r="H47" s="49">
        <f t="shared" ref="H47:M47" si="32">G47+G46</f>
        <v>34.715000000000003</v>
      </c>
      <c r="I47" s="49">
        <f t="shared" si="32"/>
        <v>44.715000000000003</v>
      </c>
      <c r="J47" s="49">
        <f t="shared" si="32"/>
        <v>54.715000000000003</v>
      </c>
      <c r="K47" s="49">
        <f t="shared" si="32"/>
        <v>64.715000000000003</v>
      </c>
      <c r="L47" s="49">
        <f t="shared" si="32"/>
        <v>74.715000000000003</v>
      </c>
      <c r="M47" s="49">
        <f t="shared" si="32"/>
        <v>85.415000000000006</v>
      </c>
      <c r="N47" s="49">
        <f>M47+M46</f>
        <v>85.415000000000006</v>
      </c>
      <c r="O47" s="49">
        <f>N47+N46</f>
        <v>85.415000000000006</v>
      </c>
      <c r="P47" s="710">
        <f>O47+O46</f>
        <v>85.415000000000006</v>
      </c>
    </row>
    <row r="49" spans="2:17" ht="15" thickBot="1" x14ac:dyDescent="0.35"/>
    <row r="50" spans="2:17" s="60" customFormat="1" ht="40.200000000000003" customHeight="1" thickBot="1" x14ac:dyDescent="0.35">
      <c r="B50" s="61" t="s">
        <v>258</v>
      </c>
      <c r="C50" s="62" t="s">
        <v>259</v>
      </c>
      <c r="D50" s="63" t="s">
        <v>260</v>
      </c>
      <c r="G50" s="1040" t="s">
        <v>261</v>
      </c>
      <c r="H50" s="1041"/>
      <c r="I50" s="218" t="s">
        <v>262</v>
      </c>
      <c r="P50" s="711"/>
      <c r="Q50" s="64"/>
    </row>
    <row r="51" spans="2:17" x14ac:dyDescent="0.3">
      <c r="B51" s="17" t="s">
        <v>263</v>
      </c>
      <c r="C51" s="55">
        <v>0.65</v>
      </c>
      <c r="D51" s="56">
        <v>0</v>
      </c>
      <c r="G51" s="213" t="s">
        <v>264</v>
      </c>
      <c r="H51" s="220">
        <v>42735</v>
      </c>
      <c r="I51" s="223" t="s">
        <v>265</v>
      </c>
    </row>
    <row r="52" spans="2:17" x14ac:dyDescent="0.3">
      <c r="B52" s="17" t="s">
        <v>266</v>
      </c>
      <c r="C52" s="55">
        <v>0.6</v>
      </c>
      <c r="D52" s="56">
        <v>0</v>
      </c>
      <c r="G52" s="215">
        <f>1+H51</f>
        <v>42736</v>
      </c>
      <c r="H52" s="221">
        <v>43281</v>
      </c>
      <c r="I52" s="214">
        <v>0.06</v>
      </c>
    </row>
    <row r="53" spans="2:17" x14ac:dyDescent="0.3">
      <c r="B53" s="17" t="s">
        <v>267</v>
      </c>
      <c r="C53" s="55">
        <v>0.35</v>
      </c>
      <c r="D53" s="56">
        <v>0.05</v>
      </c>
      <c r="G53" s="215">
        <f>1+H52</f>
        <v>43282</v>
      </c>
      <c r="H53" s="221">
        <v>43646</v>
      </c>
      <c r="I53" s="214">
        <v>0.05</v>
      </c>
    </row>
    <row r="54" spans="2:17" x14ac:dyDescent="0.3">
      <c r="B54" s="17" t="s">
        <v>268</v>
      </c>
      <c r="C54" s="55">
        <v>0.7</v>
      </c>
      <c r="D54" s="56">
        <v>0.05</v>
      </c>
      <c r="G54" s="215">
        <f>1+H53</f>
        <v>43647</v>
      </c>
      <c r="H54" s="219" t="s">
        <v>269</v>
      </c>
      <c r="I54" s="214">
        <v>0.04</v>
      </c>
    </row>
    <row r="55" spans="2:17" x14ac:dyDescent="0.3">
      <c r="B55" s="18" t="s">
        <v>270</v>
      </c>
      <c r="C55" s="55">
        <v>0.15</v>
      </c>
      <c r="D55" s="56">
        <v>0.9</v>
      </c>
      <c r="G55" s="215">
        <f>1+H54</f>
        <v>44013</v>
      </c>
      <c r="H55" s="219" t="s">
        <v>271</v>
      </c>
      <c r="I55" s="214">
        <v>0.04</v>
      </c>
    </row>
    <row r="56" spans="2:17" ht="15" thickBot="1" x14ac:dyDescent="0.35">
      <c r="B56" s="17" t="s">
        <v>272</v>
      </c>
      <c r="C56" s="55">
        <v>0.2</v>
      </c>
      <c r="D56" s="56">
        <v>0</v>
      </c>
      <c r="G56" s="216">
        <f>1+H55</f>
        <v>44378</v>
      </c>
      <c r="H56" s="222" t="s">
        <v>273</v>
      </c>
      <c r="I56" s="217">
        <v>0.04</v>
      </c>
    </row>
    <row r="57" spans="2:17" x14ac:dyDescent="0.3">
      <c r="B57" s="58" t="s">
        <v>274</v>
      </c>
      <c r="C57" s="59">
        <f>SUMPRODUCT(C51:C56,D51:D56)</f>
        <v>0.1875</v>
      </c>
      <c r="D57" s="57"/>
    </row>
    <row r="58" spans="2:17" x14ac:dyDescent="0.3">
      <c r="F58" s="725" t="s">
        <v>275</v>
      </c>
      <c r="G58" s="726">
        <f>G2</f>
        <v>2022</v>
      </c>
      <c r="H58" s="726">
        <f t="shared" ref="H58:N58" si="33">H2</f>
        <v>2023</v>
      </c>
      <c r="I58" s="726">
        <f t="shared" si="33"/>
        <v>2024</v>
      </c>
      <c r="J58" s="726">
        <f t="shared" si="33"/>
        <v>2025</v>
      </c>
      <c r="K58" s="726">
        <f t="shared" si="33"/>
        <v>2026</v>
      </c>
      <c r="L58" s="726">
        <f t="shared" si="33"/>
        <v>2027</v>
      </c>
      <c r="M58" s="726">
        <f t="shared" si="33"/>
        <v>2028</v>
      </c>
      <c r="N58" s="726">
        <f t="shared" si="33"/>
        <v>2029</v>
      </c>
    </row>
    <row r="59" spans="2:17" x14ac:dyDescent="0.3">
      <c r="F59" s="727" t="s">
        <v>276</v>
      </c>
      <c r="G59" s="724">
        <f t="shared" ref="G59:N62" si="34">G33-F33</f>
        <v>39.351819126314382</v>
      </c>
      <c r="H59" s="724">
        <f t="shared" si="34"/>
        <v>24.293001789563647</v>
      </c>
      <c r="I59" s="724">
        <f t="shared" si="34"/>
        <v>25.341325162876359</v>
      </c>
      <c r="J59" s="724">
        <f t="shared" si="34"/>
        <v>14.231800777090228</v>
      </c>
      <c r="K59" s="724">
        <f t="shared" si="34"/>
        <v>6.5453601666607426</v>
      </c>
      <c r="L59" s="724">
        <f t="shared" si="34"/>
        <v>7.1039052758944194</v>
      </c>
      <c r="M59" s="724">
        <f t="shared" si="34"/>
        <v>4.6192290058074263</v>
      </c>
      <c r="N59" s="724">
        <f t="shared" si="34"/>
        <v>0.39989799097574519</v>
      </c>
    </row>
    <row r="60" spans="2:17" x14ac:dyDescent="0.3">
      <c r="B60" t="s">
        <v>277</v>
      </c>
      <c r="F60" s="728" t="s">
        <v>278</v>
      </c>
      <c r="G60" s="724">
        <f t="shared" si="34"/>
        <v>19.675909563157191</v>
      </c>
      <c r="H60" s="724">
        <f t="shared" si="34"/>
        <v>12.146500894781823</v>
      </c>
      <c r="I60" s="724">
        <f t="shared" si="34"/>
        <v>12.670662581438179</v>
      </c>
      <c r="J60" s="724">
        <f t="shared" si="34"/>
        <v>7.1159003885451142</v>
      </c>
      <c r="K60" s="724">
        <f t="shared" si="34"/>
        <v>3.2726800833303713</v>
      </c>
      <c r="L60" s="724">
        <f t="shared" si="34"/>
        <v>3.5519526379472097</v>
      </c>
      <c r="M60" s="724">
        <f t="shared" si="34"/>
        <v>2.3096145029037132</v>
      </c>
      <c r="N60" s="724">
        <f t="shared" si="34"/>
        <v>0.19994899548787259</v>
      </c>
    </row>
    <row r="61" spans="2:17" x14ac:dyDescent="0.3">
      <c r="F61" s="728" t="s">
        <v>279</v>
      </c>
      <c r="G61" s="724">
        <f t="shared" si="34"/>
        <v>39.351819126314382</v>
      </c>
      <c r="H61" s="724">
        <f t="shared" si="34"/>
        <v>24.293001789563647</v>
      </c>
      <c r="I61" s="724">
        <f t="shared" si="34"/>
        <v>25.341325162876345</v>
      </c>
      <c r="J61" s="724">
        <f t="shared" si="34"/>
        <v>14.231800777090228</v>
      </c>
      <c r="K61" s="724">
        <f t="shared" si="34"/>
        <v>6.5453601666607426</v>
      </c>
      <c r="L61" s="724">
        <f t="shared" si="34"/>
        <v>7.1039052758944194</v>
      </c>
      <c r="M61" s="724">
        <f t="shared" si="34"/>
        <v>4.6192290058074263</v>
      </c>
      <c r="N61" s="724">
        <f t="shared" si="34"/>
        <v>0.39989799097574519</v>
      </c>
    </row>
    <row r="62" spans="2:17" s="19" customFormat="1" ht="45.6" customHeight="1" x14ac:dyDescent="0.3">
      <c r="F62" s="874" t="s">
        <v>280</v>
      </c>
      <c r="G62" s="875">
        <f>G36-F36</f>
        <v>39.351819126314382</v>
      </c>
      <c r="H62" s="875">
        <f t="shared" si="34"/>
        <v>24.293001789563647</v>
      </c>
      <c r="I62" s="875">
        <f t="shared" si="34"/>
        <v>25.341325162876345</v>
      </c>
      <c r="J62" s="875">
        <f t="shared" si="34"/>
        <v>24</v>
      </c>
      <c r="K62" s="875">
        <f t="shared" si="34"/>
        <v>23</v>
      </c>
      <c r="L62" s="875">
        <f t="shared" si="34"/>
        <v>22</v>
      </c>
      <c r="M62" s="875">
        <f t="shared" si="34"/>
        <v>21</v>
      </c>
      <c r="N62" s="875">
        <f t="shared" si="34"/>
        <v>20</v>
      </c>
      <c r="P62" s="876"/>
      <c r="Q62" s="54"/>
    </row>
    <row r="65" spans="9:9" x14ac:dyDescent="0.3">
      <c r="I65" t="s">
        <v>281</v>
      </c>
    </row>
    <row r="109" spans="4:25" x14ac:dyDescent="0.3">
      <c r="E109" t="s">
        <v>282</v>
      </c>
    </row>
    <row r="111" spans="4:25" x14ac:dyDescent="0.3">
      <c r="D111" s="852" t="s">
        <v>283</v>
      </c>
      <c r="E111" s="853">
        <v>2011</v>
      </c>
      <c r="F111" s="853">
        <v>2012</v>
      </c>
      <c r="G111" s="853">
        <v>2013</v>
      </c>
      <c r="H111" s="853">
        <v>2014</v>
      </c>
      <c r="I111" s="853">
        <v>2015</v>
      </c>
      <c r="J111" s="853">
        <v>2016</v>
      </c>
      <c r="K111" s="853">
        <v>2017</v>
      </c>
      <c r="L111" s="853">
        <v>2018</v>
      </c>
      <c r="M111" s="853">
        <v>2019</v>
      </c>
      <c r="N111" s="853">
        <v>2020</v>
      </c>
      <c r="O111" s="853">
        <v>2021</v>
      </c>
      <c r="P111" s="854">
        <v>2022</v>
      </c>
      <c r="Q111" s="855">
        <v>2023</v>
      </c>
      <c r="R111" s="854">
        <v>2024</v>
      </c>
      <c r="S111" s="855">
        <v>2025</v>
      </c>
      <c r="T111" s="854">
        <v>2026</v>
      </c>
      <c r="U111" s="855">
        <v>2027</v>
      </c>
      <c r="V111" s="854">
        <v>2028</v>
      </c>
      <c r="W111" s="855">
        <v>2029</v>
      </c>
      <c r="X111" s="854">
        <v>2030</v>
      </c>
      <c r="Y111" s="856">
        <v>2031</v>
      </c>
    </row>
    <row r="112" spans="4:25" x14ac:dyDescent="0.3">
      <c r="D112" t="s">
        <v>26</v>
      </c>
      <c r="E112" s="851">
        <v>8.2229279499999972</v>
      </c>
      <c r="F112" s="851">
        <v>13.275909449999991</v>
      </c>
      <c r="G112" s="851">
        <v>25.347094949999995</v>
      </c>
      <c r="H112" s="851">
        <v>48.932617098999955</v>
      </c>
      <c r="I112" s="851">
        <v>77.037147498999801</v>
      </c>
      <c r="J112" s="851">
        <v>121.24644339899929</v>
      </c>
      <c r="K112" s="851">
        <v>163.61327039899911</v>
      </c>
      <c r="L112" s="851">
        <v>199.30275389899862</v>
      </c>
      <c r="M112" s="851">
        <v>235.9353368989982</v>
      </c>
      <c r="N112" s="851">
        <v>267.86622499899801</v>
      </c>
      <c r="O112" s="851">
        <v>296.02190499899791</v>
      </c>
      <c r="P112" s="857">
        <f>O112+G34-F34</f>
        <v>315.69781456215509</v>
      </c>
      <c r="Q112" s="873">
        <f t="shared" ref="Q112:Y114" si="35">P112+H34-G34</f>
        <v>327.8443154569369</v>
      </c>
      <c r="R112" s="857">
        <f t="shared" si="35"/>
        <v>340.51497803837509</v>
      </c>
      <c r="S112" s="857">
        <f t="shared" si="35"/>
        <v>347.63087842692022</v>
      </c>
      <c r="T112" s="857">
        <f t="shared" si="35"/>
        <v>350.9035585102506</v>
      </c>
      <c r="U112" s="857">
        <f t="shared" si="35"/>
        <v>354.45551114819784</v>
      </c>
      <c r="V112" s="857">
        <f t="shared" si="35"/>
        <v>356.76512565110158</v>
      </c>
      <c r="W112" s="857">
        <f t="shared" si="35"/>
        <v>356.96507464658941</v>
      </c>
      <c r="X112" s="857">
        <f t="shared" si="35"/>
        <v>358.48898006362072</v>
      </c>
      <c r="Y112" s="857">
        <f t="shared" si="35"/>
        <v>358.98898006362066</v>
      </c>
    </row>
    <row r="113" spans="4:25" x14ac:dyDescent="0.3">
      <c r="D113" t="s">
        <v>232</v>
      </c>
      <c r="E113" s="851">
        <f>E112</f>
        <v>8.2229279499999972</v>
      </c>
      <c r="F113" s="851">
        <f t="shared" ref="F113:O114" si="36">F112</f>
        <v>13.275909449999991</v>
      </c>
      <c r="G113" s="851">
        <f t="shared" si="36"/>
        <v>25.347094949999995</v>
      </c>
      <c r="H113" s="851">
        <f t="shared" si="36"/>
        <v>48.932617098999955</v>
      </c>
      <c r="I113" s="851">
        <f t="shared" si="36"/>
        <v>77.037147498999801</v>
      </c>
      <c r="J113" s="851">
        <f t="shared" si="36"/>
        <v>121.24644339899929</v>
      </c>
      <c r="K113" s="851">
        <f t="shared" si="36"/>
        <v>163.61327039899911</v>
      </c>
      <c r="L113" s="851">
        <f t="shared" si="36"/>
        <v>199.30275389899862</v>
      </c>
      <c r="M113" s="851">
        <f t="shared" si="36"/>
        <v>235.9353368989982</v>
      </c>
      <c r="N113" s="851">
        <f t="shared" si="36"/>
        <v>267.86622499899801</v>
      </c>
      <c r="O113" s="851">
        <f t="shared" si="36"/>
        <v>296.02190499899791</v>
      </c>
      <c r="P113" s="857">
        <f t="shared" ref="P113:P114" si="37">O113+G35-F35</f>
        <v>335.37372412531226</v>
      </c>
      <c r="Q113" s="873">
        <f t="shared" si="35"/>
        <v>359.66672591487594</v>
      </c>
      <c r="R113" s="857">
        <f t="shared" si="35"/>
        <v>385.00805107775227</v>
      </c>
      <c r="S113" s="857">
        <f t="shared" si="35"/>
        <v>399.23985185484247</v>
      </c>
      <c r="T113" s="857">
        <f t="shared" si="35"/>
        <v>405.7852120215033</v>
      </c>
      <c r="U113" s="857">
        <f t="shared" si="35"/>
        <v>412.88911729739766</v>
      </c>
      <c r="V113" s="857">
        <f t="shared" si="35"/>
        <v>417.50834630320509</v>
      </c>
      <c r="W113" s="857">
        <f t="shared" si="35"/>
        <v>417.9082442941808</v>
      </c>
      <c r="X113" s="857">
        <f t="shared" si="35"/>
        <v>420.95605512824341</v>
      </c>
      <c r="Y113" s="857">
        <f t="shared" si="35"/>
        <v>421.95605512824324</v>
      </c>
    </row>
    <row r="114" spans="4:25" x14ac:dyDescent="0.3">
      <c r="D114" t="s">
        <v>108</v>
      </c>
      <c r="E114" s="851">
        <f>E113</f>
        <v>8.2229279499999972</v>
      </c>
      <c r="F114" s="851">
        <f t="shared" si="36"/>
        <v>13.275909449999991</v>
      </c>
      <c r="G114" s="851">
        <f t="shared" si="36"/>
        <v>25.347094949999995</v>
      </c>
      <c r="H114" s="851">
        <f t="shared" si="36"/>
        <v>48.932617098999955</v>
      </c>
      <c r="I114" s="851">
        <f t="shared" si="36"/>
        <v>77.037147498999801</v>
      </c>
      <c r="J114" s="851">
        <f t="shared" si="36"/>
        <v>121.24644339899929</v>
      </c>
      <c r="K114" s="851">
        <f t="shared" si="36"/>
        <v>163.61327039899911</v>
      </c>
      <c r="L114" s="851">
        <f t="shared" si="36"/>
        <v>199.30275389899862</v>
      </c>
      <c r="M114" s="851">
        <f t="shared" si="36"/>
        <v>235.9353368989982</v>
      </c>
      <c r="N114" s="851">
        <f t="shared" si="36"/>
        <v>267.86622499899801</v>
      </c>
      <c r="O114" s="851">
        <f t="shared" si="36"/>
        <v>296.02190499899791</v>
      </c>
      <c r="P114" s="857">
        <f t="shared" si="37"/>
        <v>335.37372412531226</v>
      </c>
      <c r="Q114" s="873">
        <f t="shared" si="35"/>
        <v>359.66672591487594</v>
      </c>
      <c r="R114" s="857">
        <f t="shared" si="35"/>
        <v>385.00805107775227</v>
      </c>
      <c r="S114" s="857">
        <f t="shared" si="35"/>
        <v>409.00805107775233</v>
      </c>
      <c r="T114" s="857">
        <f t="shared" si="35"/>
        <v>432.00805107775233</v>
      </c>
      <c r="U114" s="857">
        <f t="shared" si="35"/>
        <v>454.00805107775233</v>
      </c>
      <c r="V114" s="857">
        <f t="shared" si="35"/>
        <v>475.00805107775233</v>
      </c>
      <c r="W114" s="857">
        <f t="shared" si="35"/>
        <v>495.00805107775233</v>
      </c>
      <c r="X114" s="857">
        <f t="shared" si="35"/>
        <v>514.00805107775227</v>
      </c>
      <c r="Y114" s="857">
        <f t="shared" si="35"/>
        <v>532.00805107775227</v>
      </c>
    </row>
  </sheetData>
  <mergeCells count="1">
    <mergeCell ref="G50:H50"/>
  </mergeCells>
  <phoneticPr fontId="34" type="noConversion"/>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
  <sheetViews>
    <sheetView zoomScaleNormal="100" workbookViewId="0">
      <pane xSplit="3" ySplit="9" topLeftCell="D10" activePane="bottomRight" state="frozen"/>
      <selection pane="topRight" activeCell="C39" sqref="C39"/>
      <selection pane="bottomLeft" activeCell="C39" sqref="C39"/>
      <selection pane="bottomRight"/>
    </sheetView>
  </sheetViews>
  <sheetFormatPr defaultRowHeight="14.4" x14ac:dyDescent="0.3"/>
  <cols>
    <col min="1" max="1" width="13.88671875" customWidth="1"/>
    <col min="2" max="2" width="17.33203125" customWidth="1"/>
    <col min="3" max="3" width="10" bestFit="1" customWidth="1"/>
    <col min="4" max="4" width="15.109375" bestFit="1" customWidth="1"/>
    <col min="5" max="5" width="16.33203125" bestFit="1" customWidth="1"/>
    <col min="6" max="6" width="14.44140625" bestFit="1" customWidth="1"/>
    <col min="7" max="7" width="15.44140625" bestFit="1" customWidth="1"/>
    <col min="8" max="14" width="15.88671875" bestFit="1" customWidth="1"/>
    <col min="15" max="15" width="15.109375" customWidth="1"/>
    <col min="16" max="16" width="16.44140625" style="668" bestFit="1" customWidth="1"/>
    <col min="17" max="17" width="15.88671875" customWidth="1"/>
    <col min="18" max="18" width="13.5546875" bestFit="1" customWidth="1"/>
    <col min="19" max="19" width="12" bestFit="1" customWidth="1"/>
    <col min="20" max="20" width="16.33203125" bestFit="1" customWidth="1"/>
    <col min="21" max="21" width="15.109375" bestFit="1" customWidth="1"/>
    <col min="22" max="22" width="11.88671875" customWidth="1"/>
    <col min="23" max="24" width="11.109375" customWidth="1"/>
    <col min="25" max="25" width="16.33203125" customWidth="1"/>
    <col min="26" max="26" width="11.5546875" customWidth="1"/>
    <col min="29" max="29" width="15.44140625" customWidth="1"/>
  </cols>
  <sheetData>
    <row r="1" spans="1:35" ht="15" thickBot="1" x14ac:dyDescent="0.35">
      <c r="A1" s="170"/>
      <c r="B1" s="170"/>
      <c r="D1" s="48" t="s">
        <v>284</v>
      </c>
      <c r="E1">
        <f>IF(FF_scenario="high",0.9,(IF(FF_scenario="low",1.3,1)))</f>
        <v>1</v>
      </c>
      <c r="F1" t="s">
        <v>285</v>
      </c>
      <c r="P1" s="643"/>
    </row>
    <row r="2" spans="1:35" s="170" customFormat="1" ht="56.4" customHeight="1" thickBot="1" x14ac:dyDescent="0.35">
      <c r="A2" s="869" t="s">
        <v>286</v>
      </c>
      <c r="B2" s="168"/>
      <c r="C2" s="169" t="s">
        <v>287</v>
      </c>
      <c r="D2" s="169" t="s">
        <v>288</v>
      </c>
      <c r="E2" s="169" t="s">
        <v>289</v>
      </c>
      <c r="F2" s="169" t="s">
        <v>290</v>
      </c>
      <c r="G2" s="169" t="s">
        <v>291</v>
      </c>
      <c r="H2" s="169" t="s">
        <v>292</v>
      </c>
      <c r="I2" s="169" t="s">
        <v>293</v>
      </c>
      <c r="J2" s="169" t="s">
        <v>294</v>
      </c>
      <c r="K2" s="169" t="s">
        <v>295</v>
      </c>
      <c r="L2" s="169" t="s">
        <v>296</v>
      </c>
      <c r="M2" s="169" t="s">
        <v>297</v>
      </c>
      <c r="N2" s="169" t="s">
        <v>298</v>
      </c>
      <c r="O2" s="169" t="s">
        <v>299</v>
      </c>
      <c r="P2" s="712" t="s">
        <v>300</v>
      </c>
      <c r="Q2" s="170" t="s">
        <v>301</v>
      </c>
      <c r="AA2" s="998" t="s">
        <v>302</v>
      </c>
      <c r="AB2" s="999" t="s">
        <v>303</v>
      </c>
      <c r="AC2" s="999" t="s">
        <v>978</v>
      </c>
      <c r="AD2" s="999" t="s">
        <v>293</v>
      </c>
      <c r="AE2" s="999" t="s">
        <v>304</v>
      </c>
      <c r="AF2" s="999" t="s">
        <v>305</v>
      </c>
      <c r="AG2" s="999" t="s">
        <v>306</v>
      </c>
      <c r="AH2" s="999" t="s">
        <v>307</v>
      </c>
      <c r="AI2" s="1000" t="s">
        <v>308</v>
      </c>
    </row>
    <row r="3" spans="1:35" ht="14.25" customHeight="1" x14ac:dyDescent="0.3">
      <c r="A3" s="870">
        <v>26</v>
      </c>
      <c r="B3" s="158" t="s">
        <v>39</v>
      </c>
      <c r="C3" s="156">
        <f>'Core Assumptions'!D24</f>
        <v>0.5</v>
      </c>
      <c r="D3" s="157">
        <f>M3-N3</f>
        <v>20.066007316426603</v>
      </c>
      <c r="E3" s="569">
        <f>F3*O3*$E$1</f>
        <v>592.85930707624061</v>
      </c>
      <c r="F3" s="569">
        <f>A3*E$1</f>
        <v>26</v>
      </c>
      <c r="G3" s="762">
        <f>'Tier III PT'!E10/1000</f>
        <v>1.72151558859945</v>
      </c>
      <c r="H3" s="761">
        <f>'Tier III PT'!D10</f>
        <v>14.936551894359305</v>
      </c>
      <c r="I3" s="761">
        <v>15</v>
      </c>
      <c r="J3" s="749">
        <v>0.93</v>
      </c>
      <c r="K3" s="36">
        <v>9104</v>
      </c>
      <c r="L3" s="760">
        <v>0.88</v>
      </c>
      <c r="M3" s="32">
        <f>H3*1000*I3*L3/K3</f>
        <v>21.656687720292492</v>
      </c>
      <c r="N3" s="32">
        <f>G3*I3*L3*(1-J3)</f>
        <v>1.5906804038658906</v>
      </c>
      <c r="O3" s="32">
        <f>D3/L3</f>
        <v>22.802281041393869</v>
      </c>
      <c r="P3" s="710">
        <f>G3/D3*1000</f>
        <v>85.792632358414849</v>
      </c>
      <c r="Q3" s="35">
        <f>'Tier III PT'!F40</f>
        <v>2242.7232669380496</v>
      </c>
      <c r="Z3" t="str">
        <f>B3</f>
        <v>CCHP</v>
      </c>
      <c r="AA3" s="1001">
        <v>8669</v>
      </c>
      <c r="AB3" s="410">
        <v>292129</v>
      </c>
      <c r="AC3" s="1007">
        <f>AB3/SUM($AB$3:$AB$7)</f>
        <v>0.71788337580572625</v>
      </c>
      <c r="AD3" s="410">
        <v>14.8</v>
      </c>
      <c r="AE3" s="724">
        <f>AB3/AD3</f>
        <v>19738.445945945947</v>
      </c>
      <c r="AF3" s="724">
        <f>AE3*'Savings Calculator 2022'!$G$170</f>
        <v>175770.86114864863</v>
      </c>
      <c r="AG3" s="724">
        <f>AF3*'Tier III PT'!E40/2000</f>
        <v>13195.997400734797</v>
      </c>
      <c r="AH3" s="724">
        <f>AB3*'Savings Calculator 2022'!$G$170</f>
        <v>2601408.7449999996</v>
      </c>
      <c r="AI3" s="1002">
        <f>AH3*'Tier III PT'!E40/2000</f>
        <v>195300.76153087497</v>
      </c>
    </row>
    <row r="4" spans="1:35" x14ac:dyDescent="0.3">
      <c r="A4" s="870">
        <v>52</v>
      </c>
      <c r="B4" s="158" t="s">
        <v>40</v>
      </c>
      <c r="C4" s="156">
        <f>'Core Assumptions'!D25</f>
        <v>0.35</v>
      </c>
      <c r="D4" s="157">
        <f>M4-N4</f>
        <v>36.678992114380172</v>
      </c>
      <c r="E4" s="569">
        <f>F4*O4*$E$1</f>
        <v>1907.307589947769</v>
      </c>
      <c r="F4" s="569">
        <f>A4*E$1</f>
        <v>52</v>
      </c>
      <c r="G4" s="762">
        <f>'Tier III PT'!E17/1000</f>
        <v>2.7578400000000003</v>
      </c>
      <c r="H4" s="761">
        <f>'Tier III PT'!D17</f>
        <v>43.498209301364632</v>
      </c>
      <c r="I4" s="761">
        <v>8</v>
      </c>
      <c r="J4" s="749">
        <v>0.93</v>
      </c>
      <c r="K4" s="36">
        <v>9104</v>
      </c>
      <c r="L4" s="288">
        <v>1</v>
      </c>
      <c r="M4" s="32">
        <f>H4*1000*I4*L4/K4</f>
        <v>38.22338251438017</v>
      </c>
      <c r="N4" s="32">
        <f>G4*I4*L4*(1-J4)</f>
        <v>1.5443903999999991</v>
      </c>
      <c r="O4" s="32">
        <f>D4/L4</f>
        <v>36.678992114380172</v>
      </c>
      <c r="P4" s="710">
        <f>G4/D4*1000</f>
        <v>75.188543660085358</v>
      </c>
      <c r="Q4" s="35">
        <f>'Tier III PT'!F41</f>
        <v>6837.9185021745197</v>
      </c>
      <c r="Z4" t="str">
        <f>B4</f>
        <v>EV</v>
      </c>
      <c r="AA4" s="1001">
        <v>3056</v>
      </c>
      <c r="AB4" s="410">
        <v>60663</v>
      </c>
      <c r="AC4" s="1007">
        <f>AB4/SUM($AB$3:$AB$7)</f>
        <v>0.14907441310689035</v>
      </c>
      <c r="AD4" s="410">
        <v>7</v>
      </c>
      <c r="AE4" s="724">
        <f t="shared" ref="AE4:AE7" si="0">AB4/AD4</f>
        <v>8666.1428571428569</v>
      </c>
      <c r="AF4" s="724">
        <f>AE4*'Savings Calculator 2022'!$G$170</f>
        <v>77172.002142857134</v>
      </c>
      <c r="AG4" s="724">
        <f>AF4*'Tier III PT'!$E$41/2000</f>
        <v>6065.7193684285703</v>
      </c>
      <c r="AH4" s="724">
        <f>AB4*'Savings Calculator 2022'!$G$170</f>
        <v>540204.01500000001</v>
      </c>
      <c r="AI4" s="1002">
        <f>AH4*'Tier III PT'!$E$41/2000</f>
        <v>42460.035578999996</v>
      </c>
    </row>
    <row r="5" spans="1:35" x14ac:dyDescent="0.3">
      <c r="A5" s="870">
        <v>25</v>
      </c>
      <c r="B5" s="158" t="s">
        <v>41</v>
      </c>
      <c r="C5" s="156">
        <f>'Core Assumptions'!D26</f>
        <v>0.02</v>
      </c>
      <c r="D5" s="157">
        <f>M5-N5</f>
        <v>15.988342120679555</v>
      </c>
      <c r="E5" s="569">
        <f>F5*O5*$E$1</f>
        <v>399.70855301698884</v>
      </c>
      <c r="F5" s="569">
        <f t="shared" ref="F5:F6" si="1">A5*E$1</f>
        <v>25</v>
      </c>
      <c r="G5" s="763">
        <v>0</v>
      </c>
      <c r="H5" s="763">
        <f>'Tier III PT'!D47</f>
        <v>5.8223146666666672</v>
      </c>
      <c r="I5" s="761">
        <v>25</v>
      </c>
      <c r="J5" s="749">
        <v>0.93</v>
      </c>
      <c r="K5" s="36">
        <v>9104</v>
      </c>
      <c r="L5" s="288">
        <v>1</v>
      </c>
      <c r="M5" s="32">
        <f>H5*1000*I5*L5/K5</f>
        <v>15.988342120679555</v>
      </c>
      <c r="N5" s="32">
        <f>G5*I5*L5*(1-J5)</f>
        <v>0</v>
      </c>
      <c r="O5" s="32">
        <f>D5/L5</f>
        <v>15.988342120679555</v>
      </c>
      <c r="P5" s="710">
        <f>G5/D5*1000</f>
        <v>0</v>
      </c>
      <c r="Q5" s="35">
        <f>'Tier III PT'!F47</f>
        <v>874.22054720000006</v>
      </c>
      <c r="Z5" t="str">
        <f>B5</f>
        <v>Weatherization</v>
      </c>
      <c r="AA5" s="1001">
        <v>13</v>
      </c>
      <c r="AB5" s="410">
        <v>313</v>
      </c>
      <c r="AC5" s="1007">
        <f>AB5/SUM($AB$3:$AB$7)</f>
        <v>7.6917216923753657E-4</v>
      </c>
      <c r="AD5" s="410">
        <v>25</v>
      </c>
      <c r="AE5" s="724">
        <f t="shared" si="0"/>
        <v>12.52</v>
      </c>
      <c r="AF5" s="724">
        <f>AE5*'Savings Calculator 2022'!$G$170</f>
        <v>111.49059999999999</v>
      </c>
      <c r="AG5" s="724">
        <f>AF5*'Tier III PT'!$E$47/2000</f>
        <v>8.3701567949999998</v>
      </c>
      <c r="AH5" s="724">
        <f>AB5*'Savings Calculator 2022'!$G$170</f>
        <v>2787.2649999999999</v>
      </c>
      <c r="AI5" s="1002">
        <f>AH5*'Tier III PT'!$E$47/2000</f>
        <v>209.25391987499998</v>
      </c>
    </row>
    <row r="6" spans="1:35" ht="15" thickBot="1" x14ac:dyDescent="0.35">
      <c r="A6" s="871">
        <v>16</v>
      </c>
      <c r="B6" s="158" t="s">
        <v>42</v>
      </c>
      <c r="C6" s="156">
        <f>'Core Assumptions'!D27</f>
        <v>0.11</v>
      </c>
      <c r="D6" s="157">
        <f>M6-N6</f>
        <v>3351.6664096660811</v>
      </c>
      <c r="E6" s="569">
        <f>F6*O6*$E$1</f>
        <v>53626.662554657298</v>
      </c>
      <c r="F6" s="569">
        <f t="shared" si="1"/>
        <v>16</v>
      </c>
      <c r="G6" s="763">
        <f>6649*0.029</f>
        <v>192.821</v>
      </c>
      <c r="H6" s="763">
        <v>1140</v>
      </c>
      <c r="I6" s="761">
        <v>30</v>
      </c>
      <c r="J6" s="749">
        <v>0.93</v>
      </c>
      <c r="K6" s="36">
        <v>9104</v>
      </c>
      <c r="L6" s="288">
        <v>1</v>
      </c>
      <c r="M6" s="32">
        <f>H6*1000*I6*L6/K6</f>
        <v>3756.5905096660808</v>
      </c>
      <c r="N6" s="32">
        <f>G6*I6*L6*(1-J6)</f>
        <v>404.92409999999973</v>
      </c>
      <c r="O6" s="32">
        <f>D6/L6</f>
        <v>3351.6664096660811</v>
      </c>
      <c r="P6" s="710">
        <f>G6/D6*1000</f>
        <v>57.529890040342742</v>
      </c>
      <c r="Q6" s="35">
        <f>57*O6</f>
        <v>191044.98535096663</v>
      </c>
      <c r="Z6" t="str">
        <f>B6</f>
        <v>Custom</v>
      </c>
      <c r="AA6" s="1001">
        <v>87</v>
      </c>
      <c r="AB6" s="410">
        <f>53826-AB7</f>
        <v>48904</v>
      </c>
      <c r="AC6" s="1007">
        <f>AB6/SUM($AB$3:$AB$7)</f>
        <v>0.12017762225045524</v>
      </c>
      <c r="AD6" s="410">
        <v>14</v>
      </c>
      <c r="AE6" s="724">
        <f t="shared" si="0"/>
        <v>3493.1428571428573</v>
      </c>
      <c r="AF6" s="724">
        <f>AE6*'Savings Calculator 2022'!$G$170</f>
        <v>31106.437142857143</v>
      </c>
      <c r="AG6" s="724">
        <f>AF6*'Tier III PT'!$E$40/2000</f>
        <v>2335.3157685000001</v>
      </c>
      <c r="AH6" s="724">
        <f>AB6*'Savings Calculator 2022'!$G$170</f>
        <v>435490.12</v>
      </c>
      <c r="AI6" s="1002">
        <f>AH6*'Tier III PT'!$E$40/2000</f>
        <v>32694.420759000001</v>
      </c>
    </row>
    <row r="7" spans="1:35" ht="15" thickBot="1" x14ac:dyDescent="0.35">
      <c r="A7" s="88"/>
      <c r="B7" s="303" t="s">
        <v>43</v>
      </c>
      <c r="C7" s="758">
        <f>'Core Assumptions'!D28</f>
        <v>0.02</v>
      </c>
      <c r="D7" s="759">
        <v>1</v>
      </c>
      <c r="E7" s="258"/>
      <c r="F7" s="258"/>
      <c r="G7" s="176"/>
      <c r="H7" s="176">
        <v>8</v>
      </c>
      <c r="I7" s="176">
        <v>1</v>
      </c>
      <c r="J7" s="159"/>
      <c r="K7" s="160"/>
      <c r="L7" s="160">
        <v>1</v>
      </c>
      <c r="M7" s="161">
        <v>1</v>
      </c>
      <c r="N7" s="160">
        <v>1</v>
      </c>
      <c r="O7" s="161">
        <f>D7/L7</f>
        <v>1</v>
      </c>
      <c r="P7" s="713">
        <f>G7/D7*1000</f>
        <v>0</v>
      </c>
      <c r="Q7" s="35">
        <f>emissions!C28</f>
        <v>706</v>
      </c>
      <c r="Z7" t="str">
        <f>B7</f>
        <v>Tier II RECs</v>
      </c>
      <c r="AA7" s="1003">
        <v>645</v>
      </c>
      <c r="AB7" s="1004">
        <v>4922</v>
      </c>
      <c r="AC7" s="1008">
        <f>AB7/SUM($AB$3:$AB$7)</f>
        <v>1.2095416667690592E-2</v>
      </c>
      <c r="AD7" s="1004">
        <v>10</v>
      </c>
      <c r="AE7" s="1005">
        <f t="shared" si="0"/>
        <v>492.2</v>
      </c>
      <c r="AF7" s="1005">
        <f>AE7*'Savings Calculator 2022'!$G$170</f>
        <v>4383.0409999999993</v>
      </c>
      <c r="AG7" s="1005">
        <f>AF7*'Tier III PT'!$E$44/2000</f>
        <v>304.84050154999994</v>
      </c>
      <c r="AH7" s="1005">
        <f>AB7*'Savings Calculator 2022'!$G$170</f>
        <v>43830.409999999996</v>
      </c>
      <c r="AI7" s="1006">
        <f>AH7*'Tier III PT'!$E$44/2000</f>
        <v>3048.4050154999995</v>
      </c>
    </row>
    <row r="8" spans="1:35" ht="15" thickBot="1" x14ac:dyDescent="0.35">
      <c r="D8" s="551" t="s">
        <v>309</v>
      </c>
      <c r="E8" s="551"/>
      <c r="AB8" s="10">
        <f>SUM(AB3:AB7)</f>
        <v>406931</v>
      </c>
      <c r="AG8" s="997">
        <f>SUM(AG3:AG7)</f>
        <v>21910.243196008367</v>
      </c>
      <c r="AI8" s="997">
        <f>SUM(AI3:AI7)</f>
        <v>273712.87680424989</v>
      </c>
    </row>
    <row r="9" spans="1:35" s="8" customFormat="1" x14ac:dyDescent="0.3">
      <c r="C9" s="8" t="s">
        <v>310</v>
      </c>
      <c r="D9" s="550">
        <f>base_year-2</f>
        <v>2019</v>
      </c>
      <c r="E9" s="550">
        <f>D9+1</f>
        <v>2020</v>
      </c>
      <c r="F9" s="9">
        <f t="shared" ref="F9:P9" si="2">E9+1</f>
        <v>2021</v>
      </c>
      <c r="G9" s="9">
        <f t="shared" si="2"/>
        <v>2022</v>
      </c>
      <c r="H9" s="9">
        <f t="shared" si="2"/>
        <v>2023</v>
      </c>
      <c r="I9" s="9">
        <f t="shared" si="2"/>
        <v>2024</v>
      </c>
      <c r="J9" s="9">
        <f t="shared" si="2"/>
        <v>2025</v>
      </c>
      <c r="K9" s="9">
        <f t="shared" si="2"/>
        <v>2026</v>
      </c>
      <c r="L9" s="9">
        <f t="shared" si="2"/>
        <v>2027</v>
      </c>
      <c r="M9" s="9">
        <f t="shared" si="2"/>
        <v>2028</v>
      </c>
      <c r="N9" s="9">
        <f t="shared" si="2"/>
        <v>2029</v>
      </c>
      <c r="O9" s="9">
        <f t="shared" si="2"/>
        <v>2030</v>
      </c>
      <c r="P9" s="644">
        <f t="shared" si="2"/>
        <v>2031</v>
      </c>
      <c r="Q9" s="9"/>
      <c r="R9" s="9"/>
      <c r="S9" s="9"/>
      <c r="T9" s="9"/>
      <c r="U9" s="9"/>
      <c r="V9" s="9"/>
      <c r="W9" s="9"/>
      <c r="X9" s="9"/>
    </row>
    <row r="10" spans="1:35" x14ac:dyDescent="0.3">
      <c r="D10" s="551"/>
      <c r="E10" s="551"/>
    </row>
    <row r="11" spans="1:35" x14ac:dyDescent="0.3">
      <c r="B11" t="s">
        <v>311</v>
      </c>
      <c r="D11" s="552">
        <f>requirements!D14</f>
        <v>180189.56666666665</v>
      </c>
      <c r="E11" s="552">
        <f>requirements!E14</f>
        <v>212030.28</v>
      </c>
      <c r="F11" s="10">
        <f>requirements!F14</f>
        <v>251181.63070000001</v>
      </c>
      <c r="G11" s="10">
        <f>requirements!G14</f>
        <v>287805.34389478655</v>
      </c>
      <c r="H11" s="10">
        <f>requirements!H14</f>
        <v>326232.3225719849</v>
      </c>
      <c r="I11" s="10">
        <f>requirements!I14</f>
        <v>361964.94031025952</v>
      </c>
      <c r="J11" s="10">
        <f>requirements!J14</f>
        <v>395745.73945850233</v>
      </c>
      <c r="K11" s="10">
        <f>requirements!K14</f>
        <v>430970.02232727502</v>
      </c>
      <c r="L11" s="10">
        <f>requirements!L14</f>
        <v>466965.61177938129</v>
      </c>
      <c r="M11" s="10">
        <f>requirements!M14</f>
        <v>504744.20657027164</v>
      </c>
      <c r="N11" s="10">
        <f>requirements!N14</f>
        <v>543840.65275069547</v>
      </c>
      <c r="O11" s="10">
        <f>requirements!O14</f>
        <v>583253.12374359148</v>
      </c>
      <c r="P11" s="654">
        <f>requirements!P14</f>
        <v>624269.69704260479</v>
      </c>
      <c r="AG11" s="12"/>
    </row>
    <row r="12" spans="1:35" x14ac:dyDescent="0.3">
      <c r="D12" s="551"/>
      <c r="E12" s="551"/>
      <c r="AG12" s="12"/>
    </row>
    <row r="13" spans="1:35" x14ac:dyDescent="0.3">
      <c r="B13" s="8" t="s">
        <v>312</v>
      </c>
      <c r="D13" s="551"/>
      <c r="E13" s="551"/>
    </row>
    <row r="14" spans="1:35" x14ac:dyDescent="0.3">
      <c r="B14" t="s">
        <v>39</v>
      </c>
      <c r="D14" s="553">
        <f>$C3*D$11</f>
        <v>90094.783333333326</v>
      </c>
      <c r="E14" s="553">
        <f>$C3*E$11</f>
        <v>106015.14</v>
      </c>
      <c r="F14" s="157">
        <f>$C3*F$11</f>
        <v>125590.81535</v>
      </c>
      <c r="G14" s="12">
        <f>$C3*G$11</f>
        <v>143902.67194739328</v>
      </c>
      <c r="H14" s="12">
        <f t="shared" ref="H14:O14" si="3">$C3*H$11</f>
        <v>163116.16128599245</v>
      </c>
      <c r="I14" s="12">
        <f>$C3*I$11</f>
        <v>180982.47015512976</v>
      </c>
      <c r="J14" s="12">
        <f t="shared" si="3"/>
        <v>197872.86972925116</v>
      </c>
      <c r="K14" s="12">
        <f t="shared" si="3"/>
        <v>215485.01116363751</v>
      </c>
      <c r="L14" s="12">
        <f t="shared" si="3"/>
        <v>233482.80588969064</v>
      </c>
      <c r="M14" s="12">
        <f t="shared" si="3"/>
        <v>252372.10328513582</v>
      </c>
      <c r="N14" s="12">
        <f t="shared" si="3"/>
        <v>271920.32637534774</v>
      </c>
      <c r="O14" s="12">
        <f t="shared" si="3"/>
        <v>291626.56187179574</v>
      </c>
      <c r="P14" s="659">
        <f t="shared" ref="P14" si="4">$C3*P$11</f>
        <v>312134.8485213024</v>
      </c>
    </row>
    <row r="15" spans="1:35" x14ac:dyDescent="0.3">
      <c r="B15" t="s">
        <v>40</v>
      </c>
      <c r="D15" s="553">
        <f t="shared" ref="D15:O18" si="5">$C4*D$11</f>
        <v>63066.348333333321</v>
      </c>
      <c r="E15" s="553">
        <f t="shared" si="5"/>
        <v>74210.597999999998</v>
      </c>
      <c r="F15" s="157">
        <f>$C4*F$11</f>
        <v>87913.570745000005</v>
      </c>
      <c r="G15" s="12">
        <f>$C4*G$11</f>
        <v>100731.87036317529</v>
      </c>
      <c r="H15" s="12">
        <f t="shared" si="5"/>
        <v>114181.31290019471</v>
      </c>
      <c r="I15" s="12">
        <f t="shared" si="5"/>
        <v>126687.72910859082</v>
      </c>
      <c r="J15" s="12">
        <f t="shared" si="5"/>
        <v>138511.00881047582</v>
      </c>
      <c r="K15" s="12">
        <f t="shared" si="5"/>
        <v>150839.50781454623</v>
      </c>
      <c r="L15" s="12">
        <f t="shared" si="5"/>
        <v>163437.96412278345</v>
      </c>
      <c r="M15" s="12">
        <f t="shared" si="5"/>
        <v>176660.47229959507</v>
      </c>
      <c r="N15" s="12">
        <f t="shared" si="5"/>
        <v>190344.2284627434</v>
      </c>
      <c r="O15" s="12">
        <f t="shared" si="5"/>
        <v>204138.59331025701</v>
      </c>
      <c r="P15" s="659">
        <f t="shared" ref="P15" si="6">$C4*P$11</f>
        <v>218494.39396491167</v>
      </c>
    </row>
    <row r="16" spans="1:35" x14ac:dyDescent="0.3">
      <c r="B16" t="s">
        <v>41</v>
      </c>
      <c r="D16" s="553">
        <f t="shared" si="5"/>
        <v>3603.7913333333331</v>
      </c>
      <c r="E16" s="553">
        <f t="shared" si="5"/>
        <v>4240.6055999999999</v>
      </c>
      <c r="F16" s="157">
        <f t="shared" si="5"/>
        <v>5023.6326140000001</v>
      </c>
      <c r="G16" s="12">
        <f t="shared" si="5"/>
        <v>5756.1068778957315</v>
      </c>
      <c r="H16" s="12">
        <f t="shared" si="5"/>
        <v>6524.6464514396985</v>
      </c>
      <c r="I16" s="12">
        <f t="shared" si="5"/>
        <v>7239.2988062051909</v>
      </c>
      <c r="J16" s="12">
        <f t="shared" si="5"/>
        <v>7914.9147891700468</v>
      </c>
      <c r="K16" s="12">
        <f t="shared" si="5"/>
        <v>8619.4004465455</v>
      </c>
      <c r="L16" s="12">
        <f t="shared" si="5"/>
        <v>9339.3122355876258</v>
      </c>
      <c r="M16" s="12">
        <f t="shared" si="5"/>
        <v>10094.884131405433</v>
      </c>
      <c r="N16" s="12">
        <f t="shared" si="5"/>
        <v>10876.81305501391</v>
      </c>
      <c r="O16" s="12">
        <f t="shared" si="5"/>
        <v>11665.062474871829</v>
      </c>
      <c r="P16" s="659">
        <f t="shared" ref="P16" si="7">$C5*P$11</f>
        <v>12485.393940852096</v>
      </c>
      <c r="Q16" s="242"/>
    </row>
    <row r="17" spans="2:18" x14ac:dyDescent="0.3">
      <c r="B17" t="s">
        <v>42</v>
      </c>
      <c r="D17" s="553">
        <f t="shared" si="5"/>
        <v>19820.852333333332</v>
      </c>
      <c r="E17" s="553">
        <f t="shared" si="5"/>
        <v>23323.3308</v>
      </c>
      <c r="F17" s="157">
        <f t="shared" si="5"/>
        <v>27629.979377</v>
      </c>
      <c r="G17" s="12">
        <f t="shared" si="5"/>
        <v>31658.58782842652</v>
      </c>
      <c r="H17" s="12">
        <f t="shared" si="5"/>
        <v>35885.555482918338</v>
      </c>
      <c r="I17" s="12">
        <f t="shared" si="5"/>
        <v>39816.143434128549</v>
      </c>
      <c r="J17" s="12">
        <f t="shared" si="5"/>
        <v>43532.031340435256</v>
      </c>
      <c r="K17" s="12">
        <f t="shared" si="5"/>
        <v>47406.702456000254</v>
      </c>
      <c r="L17" s="12">
        <f t="shared" si="5"/>
        <v>51366.217295731942</v>
      </c>
      <c r="M17" s="12">
        <f t="shared" si="5"/>
        <v>55521.862722729878</v>
      </c>
      <c r="N17" s="12">
        <f t="shared" si="5"/>
        <v>59822.471802576503</v>
      </c>
      <c r="O17" s="12">
        <f t="shared" si="5"/>
        <v>64157.843611795062</v>
      </c>
      <c r="P17" s="659">
        <f t="shared" ref="P17" si="8">$C6*P$11</f>
        <v>68669.666674686523</v>
      </c>
    </row>
    <row r="18" spans="2:18" x14ac:dyDescent="0.3">
      <c r="B18" t="s">
        <v>43</v>
      </c>
      <c r="D18" s="553">
        <f t="shared" si="5"/>
        <v>3603.7913333333331</v>
      </c>
      <c r="E18" s="553">
        <f t="shared" si="5"/>
        <v>4240.6055999999999</v>
      </c>
      <c r="F18" s="157">
        <f t="shared" si="5"/>
        <v>5023.6326140000001</v>
      </c>
      <c r="G18" s="12">
        <f>$C7*G$11</f>
        <v>5756.1068778957315</v>
      </c>
      <c r="H18" s="12">
        <f t="shared" si="5"/>
        <v>6524.6464514396985</v>
      </c>
      <c r="I18" s="12">
        <f t="shared" si="5"/>
        <v>7239.2988062051909</v>
      </c>
      <c r="J18" s="12">
        <f t="shared" si="5"/>
        <v>7914.9147891700468</v>
      </c>
      <c r="K18" s="12">
        <f t="shared" si="5"/>
        <v>8619.4004465455</v>
      </c>
      <c r="L18" s="12">
        <f t="shared" si="5"/>
        <v>9339.3122355876258</v>
      </c>
      <c r="M18" s="12">
        <f t="shared" si="5"/>
        <v>10094.884131405433</v>
      </c>
      <c r="N18" s="12">
        <f t="shared" si="5"/>
        <v>10876.81305501391</v>
      </c>
      <c r="O18" s="12">
        <f t="shared" si="5"/>
        <v>11665.062474871829</v>
      </c>
      <c r="P18" s="659">
        <f t="shared" ref="P18" si="9">$C7*P$11</f>
        <v>12485.393940852096</v>
      </c>
    </row>
    <row r="19" spans="2:18" x14ac:dyDescent="0.3">
      <c r="D19" s="551"/>
      <c r="E19" s="551"/>
    </row>
    <row r="20" spans="2:18" x14ac:dyDescent="0.3">
      <c r="B20" s="8" t="s">
        <v>313</v>
      </c>
      <c r="D20" s="551"/>
      <c r="E20" s="551"/>
    </row>
    <row r="21" spans="2:18" x14ac:dyDescent="0.3">
      <c r="B21" t="s">
        <v>39</v>
      </c>
      <c r="D21" s="553">
        <v>4632</v>
      </c>
      <c r="E21" s="553">
        <f t="shared" ref="E21:G22" si="10">E14/$D3</f>
        <v>5283.3201108828962</v>
      </c>
      <c r="F21" s="12">
        <f t="shared" si="10"/>
        <v>6258.8841601382155</v>
      </c>
      <c r="G21" s="12">
        <f t="shared" si="10"/>
        <v>7171.465138936258</v>
      </c>
      <c r="H21" s="12">
        <f t="shared" ref="H21:O21" si="11">H14/$D3</f>
        <v>8128.9794583330449</v>
      </c>
      <c r="I21" s="12">
        <f>I14/$D3</f>
        <v>9019.356332386682</v>
      </c>
      <c r="J21" s="12">
        <f t="shared" si="11"/>
        <v>9861.098254821567</v>
      </c>
      <c r="K21" s="12">
        <f t="shared" si="11"/>
        <v>10738.808561443879</v>
      </c>
      <c r="L21" s="12">
        <f t="shared" si="11"/>
        <v>11635.738102146259</v>
      </c>
      <c r="M21" s="12">
        <f t="shared" si="11"/>
        <v>12577.096146004933</v>
      </c>
      <c r="N21" s="12">
        <f t="shared" si="11"/>
        <v>13551.292097493957</v>
      </c>
      <c r="O21" s="12">
        <f t="shared" si="11"/>
        <v>14533.362680131286</v>
      </c>
      <c r="P21" s="659">
        <f t="shared" ref="P21" si="12">P14/$D3</f>
        <v>15555.403902687704</v>
      </c>
    </row>
    <row r="22" spans="2:18" x14ac:dyDescent="0.3">
      <c r="B22" t="s">
        <v>40</v>
      </c>
      <c r="D22" s="553">
        <f t="shared" ref="D22:O25" si="13">D15/$D4</f>
        <v>1719.4133398395061</v>
      </c>
      <c r="E22" s="553">
        <f t="shared" si="10"/>
        <v>2023.2452889812471</v>
      </c>
      <c r="F22" s="12">
        <f t="shared" si="10"/>
        <v>2396.8371451115495</v>
      </c>
      <c r="G22" s="12">
        <f t="shared" si="10"/>
        <v>2746.309660010611</v>
      </c>
      <c r="H22" s="12">
        <f t="shared" si="13"/>
        <v>3112.9893794281602</v>
      </c>
      <c r="I22" s="12">
        <f t="shared" si="13"/>
        <v>3453.9588414405284</v>
      </c>
      <c r="J22" s="12">
        <f t="shared" si="13"/>
        <v>3776.3035684988718</v>
      </c>
      <c r="K22" s="12">
        <f t="shared" si="13"/>
        <v>4112.4223736619224</v>
      </c>
      <c r="L22" s="12">
        <f t="shared" si="13"/>
        <v>4455.9011767040029</v>
      </c>
      <c r="M22" s="12">
        <f t="shared" si="13"/>
        <v>4816.3938569711818</v>
      </c>
      <c r="N22" s="12">
        <f>N15/$D4</f>
        <v>5189.4618006179635</v>
      </c>
      <c r="O22" s="12">
        <f>O15/$D4</f>
        <v>5565.5453310622324</v>
      </c>
      <c r="P22" s="659">
        <f>P15/$D4</f>
        <v>5956.9356018168755</v>
      </c>
    </row>
    <row r="23" spans="2:18" x14ac:dyDescent="0.3">
      <c r="B23" t="s">
        <v>41</v>
      </c>
      <c r="D23" s="553">
        <v>30</v>
      </c>
      <c r="E23" s="553">
        <f t="shared" si="13"/>
        <v>265.23110201120471</v>
      </c>
      <c r="F23" s="12">
        <f t="shared" ref="F23" si="14">F16/$D5</f>
        <v>314.20597433315868</v>
      </c>
      <c r="G23" s="12">
        <f t="shared" si="13"/>
        <v>360.0189959940061</v>
      </c>
      <c r="H23" s="12">
        <f t="shared" si="13"/>
        <v>408.08774306878422</v>
      </c>
      <c r="I23" s="12">
        <f t="shared" si="13"/>
        <v>452.78608323259334</v>
      </c>
      <c r="J23" s="12">
        <f t="shared" si="13"/>
        <v>495.04287120130988</v>
      </c>
      <c r="K23" s="12">
        <f t="shared" si="13"/>
        <v>539.10532946358717</v>
      </c>
      <c r="L23" s="12">
        <f t="shared" si="13"/>
        <v>584.13262395154925</v>
      </c>
      <c r="M23" s="12">
        <f t="shared" si="13"/>
        <v>631.39030020808491</v>
      </c>
      <c r="N23" s="12">
        <f t="shared" si="13"/>
        <v>680.29649183861795</v>
      </c>
      <c r="O23" s="12">
        <f t="shared" si="13"/>
        <v>729.59800252110369</v>
      </c>
      <c r="P23" s="659">
        <f t="shared" ref="P23" si="15">P16/$D5</f>
        <v>780.9061031226812</v>
      </c>
    </row>
    <row r="24" spans="2:18" x14ac:dyDescent="0.3">
      <c r="B24" t="s">
        <v>42</v>
      </c>
      <c r="D24" s="553">
        <v>29</v>
      </c>
      <c r="E24" s="553">
        <f t="shared" si="13"/>
        <v>6.9587267792332739</v>
      </c>
      <c r="F24" s="12">
        <f t="shared" ref="F24" si="16">F17/$D6</f>
        <v>8.2436543497634993</v>
      </c>
      <c r="G24" s="12">
        <f t="shared" si="13"/>
        <v>9.4456261330555851</v>
      </c>
      <c r="H24" s="12">
        <f t="shared" si="13"/>
        <v>10.706780179383525</v>
      </c>
      <c r="I24" s="12">
        <f t="shared" si="13"/>
        <v>11.879506659523237</v>
      </c>
      <c r="J24" s="12">
        <f t="shared" si="13"/>
        <v>12.988175438608836</v>
      </c>
      <c r="K24" s="12">
        <f t="shared" si="13"/>
        <v>14.14421862488495</v>
      </c>
      <c r="L24" s="12">
        <f t="shared" si="13"/>
        <v>15.325575703952422</v>
      </c>
      <c r="M24" s="12">
        <f t="shared" si="13"/>
        <v>16.56545011836706</v>
      </c>
      <c r="N24" s="12">
        <f t="shared" si="13"/>
        <v>17.848575750274765</v>
      </c>
      <c r="O24" s="12">
        <f t="shared" si="13"/>
        <v>19.142073157032044</v>
      </c>
      <c r="P24" s="659">
        <f t="shared" ref="P24" si="17">P17/$D6</f>
        <v>20.488216391895612</v>
      </c>
    </row>
    <row r="25" spans="2:18" x14ac:dyDescent="0.3">
      <c r="B25" t="s">
        <v>43</v>
      </c>
      <c r="D25" s="553">
        <v>8998</v>
      </c>
      <c r="E25" s="553">
        <f t="shared" si="13"/>
        <v>4240.6055999999999</v>
      </c>
      <c r="F25" s="12">
        <f>F18/$D7</f>
        <v>5023.6326140000001</v>
      </c>
      <c r="G25" s="12">
        <f>G18/$D7</f>
        <v>5756.1068778957315</v>
      </c>
      <c r="H25" s="12">
        <f t="shared" si="13"/>
        <v>6524.6464514396985</v>
      </c>
      <c r="I25" s="12">
        <f t="shared" si="13"/>
        <v>7239.2988062051909</v>
      </c>
      <c r="J25" s="12">
        <f t="shared" si="13"/>
        <v>7914.9147891700468</v>
      </c>
      <c r="K25" s="12">
        <f t="shared" si="13"/>
        <v>8619.4004465455</v>
      </c>
      <c r="L25" s="12">
        <f t="shared" si="13"/>
        <v>9339.3122355876258</v>
      </c>
      <c r="M25" s="12">
        <f t="shared" si="13"/>
        <v>10094.884131405433</v>
      </c>
      <c r="N25" s="12">
        <f t="shared" si="13"/>
        <v>10876.81305501391</v>
      </c>
      <c r="O25" s="12">
        <f t="shared" si="13"/>
        <v>11665.062474871829</v>
      </c>
      <c r="P25" s="659">
        <f t="shared" ref="P25" si="18">P18/$D7</f>
        <v>12485.393940852096</v>
      </c>
    </row>
    <row r="26" spans="2:18" x14ac:dyDescent="0.3">
      <c r="D26" s="553"/>
      <c r="E26" s="553"/>
      <c r="F26" s="12"/>
      <c r="G26" s="12"/>
      <c r="H26" s="12"/>
      <c r="I26" s="12"/>
      <c r="J26" s="12"/>
      <c r="K26" s="12"/>
      <c r="L26" s="12"/>
      <c r="M26" s="12"/>
      <c r="N26" s="12"/>
      <c r="R26" s="33"/>
    </row>
    <row r="27" spans="2:18" x14ac:dyDescent="0.3">
      <c r="B27" s="8" t="s">
        <v>314</v>
      </c>
      <c r="D27" s="551"/>
      <c r="E27" s="551"/>
    </row>
    <row r="28" spans="2:18" x14ac:dyDescent="0.3">
      <c r="B28" t="s">
        <v>39</v>
      </c>
      <c r="D28" s="553">
        <f>1057+1869</f>
        <v>2926</v>
      </c>
      <c r="E28" s="553">
        <f>SUM($D21:E21)</f>
        <v>9915.3201108828962</v>
      </c>
      <c r="F28" s="12">
        <f>SUM($D21:F21)</f>
        <v>16174.204271021112</v>
      </c>
      <c r="G28" s="12">
        <f>SUM($D21:G21)</f>
        <v>23345.669409957369</v>
      </c>
      <c r="H28" s="12">
        <f>SUM($D21:H21)</f>
        <v>31474.648868290413</v>
      </c>
      <c r="I28" s="12">
        <f>SUM($D21:I21)</f>
        <v>40494.005200677093</v>
      </c>
      <c r="J28" s="12">
        <f>SUM($D21:J21)</f>
        <v>50355.103455498662</v>
      </c>
      <c r="K28" s="12">
        <f>SUM($D21:K21)</f>
        <v>61093.912016942544</v>
      </c>
      <c r="L28" s="12">
        <f>SUM($D21:L21)</f>
        <v>72729.650119088808</v>
      </c>
      <c r="M28" s="12">
        <f>SUM($D21:M21)</f>
        <v>85306.746265093738</v>
      </c>
      <c r="N28" s="12">
        <f>SUM($D21:N21)</f>
        <v>98858.0383625877</v>
      </c>
      <c r="O28" s="12">
        <f>SUM($D21:O21)</f>
        <v>113391.40104271899</v>
      </c>
      <c r="P28" s="659">
        <f>SUM($D21:P21)</f>
        <v>128946.80494540669</v>
      </c>
    </row>
    <row r="29" spans="2:18" x14ac:dyDescent="0.3">
      <c r="B29" t="s">
        <v>40</v>
      </c>
      <c r="D29" s="553">
        <f>SUM($D22:D22)</f>
        <v>1719.4133398395061</v>
      </c>
      <c r="E29" s="553">
        <f>SUM($D22:E22)</f>
        <v>3742.6586288207532</v>
      </c>
      <c r="F29" s="12">
        <f>SUM($D22:F22)</f>
        <v>6139.4957739323027</v>
      </c>
      <c r="G29" s="12">
        <f>SUM($D22:G22)</f>
        <v>8885.8054339429145</v>
      </c>
      <c r="H29" s="12">
        <f>SUM($D22:H22)</f>
        <v>11998.794813371074</v>
      </c>
      <c r="I29" s="12">
        <f>SUM($D22:I22)</f>
        <v>15452.753654811602</v>
      </c>
      <c r="J29" s="12">
        <f>SUM($D22:J22)</f>
        <v>19229.057223310476</v>
      </c>
      <c r="K29" s="12">
        <f>SUM($D22:K22)</f>
        <v>23341.4795969724</v>
      </c>
      <c r="L29" s="12">
        <f>SUM($E22:L22)</f>
        <v>26077.967433836897</v>
      </c>
      <c r="M29" s="12">
        <f>SUM($F22:M22)</f>
        <v>28871.116001826827</v>
      </c>
      <c r="N29" s="12">
        <f>SUM($G22:N22)</f>
        <v>31663.740657333241</v>
      </c>
      <c r="O29" s="12">
        <f>SUM($G22:O22)</f>
        <v>37229.285988395473</v>
      </c>
      <c r="P29" s="659">
        <f>SUM($G22:P22)</f>
        <v>43186.22159021235</v>
      </c>
    </row>
    <row r="30" spans="2:18" x14ac:dyDescent="0.3">
      <c r="B30" t="s">
        <v>41</v>
      </c>
      <c r="D30" s="553">
        <f>SUM($D23:D23)</f>
        <v>30</v>
      </c>
      <c r="E30" s="553">
        <f>SUM($D23:E23)</f>
        <v>295.23110201120471</v>
      </c>
      <c r="F30" s="12">
        <f>SUM($D23:F23)</f>
        <v>609.43707634436339</v>
      </c>
      <c r="G30" s="12">
        <f>SUM($D23:G23)</f>
        <v>969.45607233836949</v>
      </c>
      <c r="H30" s="12">
        <f>SUM($D23:H23)</f>
        <v>1377.5438154071537</v>
      </c>
      <c r="I30" s="12">
        <f>SUM($D23:I23)</f>
        <v>1830.3298986397472</v>
      </c>
      <c r="J30" s="12">
        <f>SUM($D23:J23)</f>
        <v>2325.3727698410571</v>
      </c>
      <c r="K30" s="12">
        <f>SUM($D23:K23)</f>
        <v>2864.4780993046443</v>
      </c>
      <c r="L30" s="12">
        <f>SUM($D23:L23)</f>
        <v>3448.6107232561935</v>
      </c>
      <c r="M30" s="12">
        <f>SUM($D23:M23)</f>
        <v>4080.0010234642787</v>
      </c>
      <c r="N30" s="12">
        <f>SUM($D23:N23)</f>
        <v>4760.2975153028965</v>
      </c>
      <c r="O30" s="12">
        <f>SUM($D23:O23)</f>
        <v>5489.8955178240003</v>
      </c>
      <c r="P30" s="659">
        <f>SUM($D23:P23)</f>
        <v>6270.8016209466814</v>
      </c>
    </row>
    <row r="31" spans="2:18" x14ac:dyDescent="0.3">
      <c r="B31" t="s">
        <v>42</v>
      </c>
      <c r="D31" s="553">
        <f>SUM($D24:D24)</f>
        <v>29</v>
      </c>
      <c r="E31" s="553">
        <f>SUM($D24:E24)</f>
        <v>35.958726779233274</v>
      </c>
      <c r="F31" s="12">
        <f>SUM($D24:F24)</f>
        <v>44.202381128996777</v>
      </c>
      <c r="G31" s="12">
        <f>SUM($D24:G24)</f>
        <v>53.64800726205236</v>
      </c>
      <c r="H31" s="12">
        <f>SUM($D24:H24)</f>
        <v>64.354787441435889</v>
      </c>
      <c r="I31" s="12">
        <f>SUM($D24:I24)</f>
        <v>76.234294100959119</v>
      </c>
      <c r="J31" s="12">
        <f>SUM($D24:J24)</f>
        <v>89.222469539567953</v>
      </c>
      <c r="K31" s="12">
        <f>SUM($D24:K24)</f>
        <v>103.36668816445291</v>
      </c>
      <c r="L31" s="12">
        <f>SUM($D24:L24)</f>
        <v>118.69226386840533</v>
      </c>
      <c r="M31" s="12">
        <f>SUM($D24:M24)</f>
        <v>135.25771398677239</v>
      </c>
      <c r="N31" s="12">
        <f>SUM($D24:N24)</f>
        <v>153.10628973704715</v>
      </c>
      <c r="O31" s="12">
        <f>SUM($D24:O24)</f>
        <v>172.24836289407921</v>
      </c>
      <c r="P31" s="659">
        <f>SUM($D24:P24)</f>
        <v>192.73657928597481</v>
      </c>
    </row>
    <row r="32" spans="2:18" x14ac:dyDescent="0.3">
      <c r="B32" t="s">
        <v>43</v>
      </c>
      <c r="D32" s="553">
        <f>D25</f>
        <v>8998</v>
      </c>
      <c r="E32" s="553">
        <f t="shared" ref="E32:O32" si="19">E25</f>
        <v>4240.6055999999999</v>
      </c>
      <c r="F32" s="12">
        <f t="shared" si="19"/>
        <v>5023.6326140000001</v>
      </c>
      <c r="G32" s="12">
        <f t="shared" si="19"/>
        <v>5756.1068778957315</v>
      </c>
      <c r="H32" s="12">
        <f t="shared" si="19"/>
        <v>6524.6464514396985</v>
      </c>
      <c r="I32" s="12">
        <f t="shared" si="19"/>
        <v>7239.2988062051909</v>
      </c>
      <c r="J32" s="12">
        <f t="shared" si="19"/>
        <v>7914.9147891700468</v>
      </c>
      <c r="K32" s="12">
        <f t="shared" si="19"/>
        <v>8619.4004465455</v>
      </c>
      <c r="L32" s="12">
        <f t="shared" si="19"/>
        <v>9339.3122355876258</v>
      </c>
      <c r="M32" s="12">
        <f t="shared" si="19"/>
        <v>10094.884131405433</v>
      </c>
      <c r="N32" s="12">
        <f t="shared" si="19"/>
        <v>10876.81305501391</v>
      </c>
      <c r="O32" s="12">
        <f t="shared" si="19"/>
        <v>11665.062474871829</v>
      </c>
      <c r="P32" s="659">
        <f t="shared" ref="P32" si="20">P25</f>
        <v>12485.393940852096</v>
      </c>
    </row>
    <row r="33" spans="2:16" x14ac:dyDescent="0.3">
      <c r="D33" s="551"/>
      <c r="E33" s="551"/>
    </row>
    <row r="34" spans="2:16" x14ac:dyDescent="0.3">
      <c r="B34" s="8" t="s">
        <v>315</v>
      </c>
      <c r="D34" s="551"/>
      <c r="E34" s="551"/>
    </row>
    <row r="35" spans="2:16" x14ac:dyDescent="0.3">
      <c r="B35" t="s">
        <v>39</v>
      </c>
      <c r="C35" t="s">
        <v>316</v>
      </c>
      <c r="D35" s="554"/>
      <c r="E35" s="554">
        <f t="shared" ref="E35:O35" si="21">E21*$E3*(1+CCHP_incentive_escalation)^(E9-$E$9)</f>
        <v>3132265.5000000005</v>
      </c>
      <c r="F35" s="21">
        <f>F21*$E3*(1+CCHP_incentive_escalation)^(F9-$E$9)</f>
        <v>3710637.7262500008</v>
      </c>
      <c r="G35" s="21">
        <f t="shared" si="21"/>
        <v>4251669.8529911656</v>
      </c>
      <c r="H35" s="21">
        <f t="shared" si="21"/>
        <v>4819341.1289043231</v>
      </c>
      <c r="I35" s="21">
        <f>I21*$E3*(1+CCHP_incentive_escalation)^(I9-$E$9)</f>
        <v>5347209.345492471</v>
      </c>
      <c r="J35" s="21">
        <f t="shared" si="21"/>
        <v>5846243.8783642398</v>
      </c>
      <c r="K35" s="21">
        <f t="shared" si="21"/>
        <v>6366602.6025620177</v>
      </c>
      <c r="L35" s="21">
        <f t="shared" si="21"/>
        <v>6898355.6285590418</v>
      </c>
      <c r="M35" s="21">
        <f t="shared" si="21"/>
        <v>7456448.5061517404</v>
      </c>
      <c r="N35" s="21">
        <f t="shared" si="21"/>
        <v>8034009.6429080022</v>
      </c>
      <c r="O35" s="21">
        <f t="shared" si="21"/>
        <v>8616239.3280303292</v>
      </c>
      <c r="P35" s="683">
        <f t="shared" ref="P35" si="22">P21*$E3*(1+CCHP_incentive_escalation)^(P9-$E$9)</f>
        <v>9222165.9790384807</v>
      </c>
    </row>
    <row r="36" spans="2:16" x14ac:dyDescent="0.3">
      <c r="B36" t="s">
        <v>40</v>
      </c>
      <c r="C36" t="s">
        <v>316</v>
      </c>
      <c r="D36" s="554"/>
      <c r="E36" s="554">
        <f t="shared" ref="E36:O36" si="23">E22*$E4*(1+EV_incentive_escalation)^(E$9-$E$9)</f>
        <v>3858951.0959999999</v>
      </c>
      <c r="F36" s="21">
        <f t="shared" si="23"/>
        <v>4480075.5651652003</v>
      </c>
      <c r="G36" s="21">
        <f t="shared" si="23"/>
        <v>5030630.1914332639</v>
      </c>
      <c r="H36" s="21">
        <f t="shared" si="23"/>
        <v>5588259.9890603228</v>
      </c>
      <c r="I36" s="21">
        <f t="shared" si="23"/>
        <v>6076341.8348084055</v>
      </c>
      <c r="J36" s="21">
        <f t="shared" si="23"/>
        <v>6510555.0353759294</v>
      </c>
      <c r="K36" s="21">
        <f t="shared" si="23"/>
        <v>6948241.4940011604</v>
      </c>
      <c r="L36" s="21">
        <f t="shared" si="23"/>
        <v>7378002.827356182</v>
      </c>
      <c r="M36" s="21">
        <f t="shared" si="23"/>
        <v>7815402.2639851226</v>
      </c>
      <c r="N36" s="21">
        <f t="shared" si="23"/>
        <v>8252351.8747905185</v>
      </c>
      <c r="O36" s="21">
        <f t="shared" si="23"/>
        <v>8673396.8583645262</v>
      </c>
      <c r="P36" s="683">
        <f t="shared" ref="P36" si="24">P22*$E4*(1+EV_incentive_escalation)^(P$9-$E$9)</f>
        <v>9097676.18296065</v>
      </c>
    </row>
    <row r="37" spans="2:16" x14ac:dyDescent="0.3">
      <c r="B37" t="s">
        <v>41</v>
      </c>
      <c r="C37" t="s">
        <v>316</v>
      </c>
      <c r="D37" s="554"/>
      <c r="E37" s="554">
        <f>E23*$E5*(1+wx_incentive_escalation)^(E$9-$E$9)</f>
        <v>106015.14</v>
      </c>
      <c r="F37" s="21">
        <f t="shared" ref="F37:O37" si="25">F23*$E5*(1+wx_incentive_escalation)^(F$9-$E$9)</f>
        <v>125590.81534999999</v>
      </c>
      <c r="G37" s="21">
        <f t="shared" si="25"/>
        <v>143902.67194739328</v>
      </c>
      <c r="H37" s="21">
        <f t="shared" si="25"/>
        <v>163116.16128599245</v>
      </c>
      <c r="I37" s="21">
        <f t="shared" si="25"/>
        <v>180982.47015512976</v>
      </c>
      <c r="J37" s="21">
        <f t="shared" si="25"/>
        <v>197872.86972925114</v>
      </c>
      <c r="K37" s="21">
        <f t="shared" si="25"/>
        <v>215485.01116363748</v>
      </c>
      <c r="L37" s="21">
        <f t="shared" si="25"/>
        <v>233482.80588969064</v>
      </c>
      <c r="M37" s="21">
        <f t="shared" si="25"/>
        <v>252372.10328513582</v>
      </c>
      <c r="N37" s="21">
        <f t="shared" si="25"/>
        <v>271920.32637534774</v>
      </c>
      <c r="O37" s="21">
        <f t="shared" si="25"/>
        <v>291626.56187179574</v>
      </c>
      <c r="P37" s="683">
        <f t="shared" ref="P37" si="26">P23*$E5*(1+wx_incentive_escalation)^(P$9-$E$9)</f>
        <v>312134.8485213024</v>
      </c>
    </row>
    <row r="38" spans="2:16" x14ac:dyDescent="0.3">
      <c r="B38" t="s">
        <v>42</v>
      </c>
      <c r="C38" t="s">
        <v>316</v>
      </c>
      <c r="D38" s="554"/>
      <c r="E38" s="554">
        <f t="shared" ref="E38:O38" si="27">E24*$E6*(1+custom_incentive_escalation)^(E$9-$E$9)</f>
        <v>373173.2928</v>
      </c>
      <c r="F38" s="21">
        <f t="shared" si="27"/>
        <v>508391.62053679995</v>
      </c>
      <c r="G38" s="21">
        <f t="shared" si="27"/>
        <v>669895.71844950516</v>
      </c>
      <c r="H38" s="21">
        <f t="shared" si="27"/>
        <v>873239.10712133453</v>
      </c>
      <c r="I38" s="21">
        <f t="shared" si="27"/>
        <v>1114218.9394749964</v>
      </c>
      <c r="J38" s="21">
        <f t="shared" si="27"/>
        <v>1400935.425968955</v>
      </c>
      <c r="K38" s="21">
        <f t="shared" si="27"/>
        <v>1754473.3356581195</v>
      </c>
      <c r="L38" s="21">
        <f t="shared" si="27"/>
        <v>2186162.5470579942</v>
      </c>
      <c r="M38" s="21">
        <f t="shared" si="27"/>
        <v>2717482.3590333746</v>
      </c>
      <c r="N38" s="21">
        <f t="shared" si="27"/>
        <v>3367168.8844533078</v>
      </c>
      <c r="O38" s="21">
        <f t="shared" si="27"/>
        <v>4152868.1684805695</v>
      </c>
      <c r="P38" s="683">
        <f t="shared" ref="P38" si="28">P24*$E6*(1+custom_incentive_escalation)^(P$9-$E$9)</f>
        <v>5111650.662526411</v>
      </c>
    </row>
    <row r="39" spans="2:16" x14ac:dyDescent="0.3">
      <c r="B39" s="13" t="s">
        <v>43</v>
      </c>
      <c r="C39" s="13" t="s">
        <v>316</v>
      </c>
      <c r="D39" s="555"/>
      <c r="E39" s="555">
        <f>E25*'Tier II'!E16</f>
        <v>173864.8296</v>
      </c>
      <c r="F39" s="67">
        <f>F25*'Tier II'!F16</f>
        <v>200945.30456000002</v>
      </c>
      <c r="G39" s="67">
        <f>G25*'Tier II'!G16</f>
        <v>190012.82709497094</v>
      </c>
      <c r="H39" s="67">
        <f>H25*'Tier II'!H16</f>
        <v>226787.71113969712</v>
      </c>
      <c r="I39" s="67">
        <f>I25*'Tier II'!I16</f>
        <v>235152.39570501001</v>
      </c>
      <c r="J39" s="67">
        <f>J25*'Tier II'!J16</f>
        <v>264160.28108855028</v>
      </c>
      <c r="K39" s="67">
        <f>K25*'Tier II'!K16</f>
        <v>287672.48990345607</v>
      </c>
      <c r="L39" s="67">
        <f>L25*'Tier II'!L16</f>
        <v>311699.545862737</v>
      </c>
      <c r="M39" s="67">
        <f>M25*'Tier II'!M16</f>
        <v>336916.75788565632</v>
      </c>
      <c r="N39" s="67">
        <f>N25*'Tier II'!N16</f>
        <v>363013.63571108924</v>
      </c>
      <c r="O39" s="67">
        <f>O25*'Tier II'!O16</f>
        <v>389321.46009884728</v>
      </c>
      <c r="P39" s="684">
        <f>P25*'Tier II'!P16</f>
        <v>416700.02277593873</v>
      </c>
    </row>
    <row r="40" spans="2:16" x14ac:dyDescent="0.3">
      <c r="B40" t="s">
        <v>44</v>
      </c>
      <c r="C40" t="s">
        <v>316</v>
      </c>
      <c r="D40" s="554"/>
      <c r="E40" s="554">
        <f>SUM(E35:E39)</f>
        <v>7644269.8584000003</v>
      </c>
      <c r="F40" s="21">
        <f t="shared" ref="F40:O40" si="29">SUM(F35:F39)</f>
        <v>9025641.0318620019</v>
      </c>
      <c r="G40" s="21">
        <f t="shared" si="29"/>
        <v>10286111.261916298</v>
      </c>
      <c r="H40" s="21">
        <f t="shared" si="29"/>
        <v>11670744.097511671</v>
      </c>
      <c r="I40" s="21">
        <f t="shared" si="29"/>
        <v>12953904.985636013</v>
      </c>
      <c r="J40" s="21">
        <f t="shared" si="29"/>
        <v>14219767.490526924</v>
      </c>
      <c r="K40" s="21">
        <f t="shared" si="29"/>
        <v>15572474.933288392</v>
      </c>
      <c r="L40" s="21">
        <f t="shared" si="29"/>
        <v>17007703.354725644</v>
      </c>
      <c r="M40" s="21">
        <f t="shared" si="29"/>
        <v>18578621.99034103</v>
      </c>
      <c r="N40" s="21">
        <f t="shared" si="29"/>
        <v>20288464.364238266</v>
      </c>
      <c r="O40" s="21">
        <f t="shared" si="29"/>
        <v>22123452.376846068</v>
      </c>
      <c r="P40" s="683">
        <f t="shared" ref="P40" si="30">SUM(P35:P39)</f>
        <v>24160327.695822783</v>
      </c>
    </row>
    <row r="41" spans="2:16" x14ac:dyDescent="0.3">
      <c r="D41" s="554"/>
      <c r="E41" s="554"/>
      <c r="F41" s="21"/>
      <c r="G41" s="21"/>
      <c r="H41" s="21"/>
      <c r="I41" s="21"/>
      <c r="J41" s="21"/>
      <c r="K41" s="21"/>
      <c r="L41" s="21"/>
      <c r="M41" s="21"/>
      <c r="N41" s="21"/>
    </row>
    <row r="42" spans="2:16" x14ac:dyDescent="0.3">
      <c r="B42" t="s">
        <v>317</v>
      </c>
      <c r="D42" s="554"/>
      <c r="E42" s="554">
        <f>Tier3_Overhead</f>
        <v>1000000</v>
      </c>
      <c r="F42" s="21">
        <f t="shared" ref="F42:P42" si="31">E42*(1+overhead_escalation)</f>
        <v>1030000</v>
      </c>
      <c r="G42" s="21">
        <f t="shared" si="31"/>
        <v>1060900</v>
      </c>
      <c r="H42" s="21">
        <f t="shared" si="31"/>
        <v>1092727</v>
      </c>
      <c r="I42" s="21">
        <f t="shared" si="31"/>
        <v>1125508.81</v>
      </c>
      <c r="J42" s="21">
        <f t="shared" si="31"/>
        <v>1159274.0743</v>
      </c>
      <c r="K42" s="21">
        <f t="shared" si="31"/>
        <v>1194052.2965289999</v>
      </c>
      <c r="L42" s="21">
        <f t="shared" si="31"/>
        <v>1229873.86542487</v>
      </c>
      <c r="M42" s="21">
        <f t="shared" si="31"/>
        <v>1266770.0813876162</v>
      </c>
      <c r="N42" s="21">
        <f t="shared" si="31"/>
        <v>1304773.1838292447</v>
      </c>
      <c r="O42" s="21">
        <f t="shared" si="31"/>
        <v>1343916.379344122</v>
      </c>
      <c r="P42" s="683">
        <f t="shared" si="31"/>
        <v>1384233.8707244457</v>
      </c>
    </row>
    <row r="43" spans="2:16" x14ac:dyDescent="0.3">
      <c r="D43" s="551"/>
      <c r="E43" s="551"/>
    </row>
    <row r="44" spans="2:16" x14ac:dyDescent="0.3">
      <c r="B44" s="8" t="s">
        <v>318</v>
      </c>
      <c r="D44" s="551"/>
      <c r="E44" s="551"/>
    </row>
    <row r="45" spans="2:16" s="102" customFormat="1" x14ac:dyDescent="0.3">
      <c r="B45" s="102" t="s">
        <v>39</v>
      </c>
      <c r="C45" s="102" t="s">
        <v>122</v>
      </c>
      <c r="D45" s="556"/>
      <c r="E45" s="556">
        <f>E28*$G3</f>
        <v>17069.378136838532</v>
      </c>
      <c r="F45" s="175">
        <f>F28*$G3</f>
        <v>27844.144785754648</v>
      </c>
      <c r="G45" s="175">
        <f>G28*$G3</f>
        <v>40189.933815530931</v>
      </c>
      <c r="H45" s="175">
        <f>H28*$G3</f>
        <v>54184.098672455984</v>
      </c>
      <c r="I45" s="175">
        <f>I28*$G3</f>
        <v>69711.06119779282</v>
      </c>
      <c r="J45" s="175">
        <f t="shared" ref="J45:O45" si="32">J28*$G3</f>
        <v>86687.095564178977</v>
      </c>
      <c r="K45" s="175">
        <f t="shared" si="32"/>
        <v>105174.12190568986</v>
      </c>
      <c r="L45" s="175">
        <f t="shared" si="32"/>
        <v>125205.22643339523</v>
      </c>
      <c r="M45" s="175">
        <f t="shared" si="32"/>
        <v>146856.89350805679</v>
      </c>
      <c r="N45" s="175">
        <f t="shared" si="32"/>
        <v>170185.65409955717</v>
      </c>
      <c r="O45" s="175">
        <f t="shared" si="32"/>
        <v>195205.06450817268</v>
      </c>
      <c r="P45" s="700">
        <f t="shared" ref="P45" si="33">P28*$G3</f>
        <v>221983.93481361028</v>
      </c>
    </row>
    <row r="46" spans="2:16" s="102" customFormat="1" x14ac:dyDescent="0.3">
      <c r="B46" s="102" t="s">
        <v>40</v>
      </c>
      <c r="C46" s="102" t="s">
        <v>122</v>
      </c>
      <c r="D46" s="556"/>
      <c r="E46" s="556">
        <f>E29*$G4</f>
        <v>10321.653672907027</v>
      </c>
      <c r="F46" s="175">
        <f t="shared" ref="F46:O46" si="34">F29*$G4</f>
        <v>16931.747025181463</v>
      </c>
      <c r="G46" s="175">
        <f t="shared" si="34"/>
        <v>24505.62965794513</v>
      </c>
      <c r="H46" s="175">
        <f t="shared" si="34"/>
        <v>33090.756288107288</v>
      </c>
      <c r="I46" s="175">
        <f t="shared" si="34"/>
        <v>42616.222139385631</v>
      </c>
      <c r="J46" s="175">
        <f t="shared" si="34"/>
        <v>53030.663172734567</v>
      </c>
      <c r="K46" s="175">
        <f t="shared" si="34"/>
        <v>64372.066091714369</v>
      </c>
      <c r="L46" s="175">
        <f t="shared" si="34"/>
        <v>71918.861707732751</v>
      </c>
      <c r="M46" s="175">
        <f t="shared" si="34"/>
        <v>79621.918554478107</v>
      </c>
      <c r="N46" s="175">
        <f t="shared" si="34"/>
        <v>87323.530534419915</v>
      </c>
      <c r="O46" s="175">
        <f t="shared" si="34"/>
        <v>102672.41407023658</v>
      </c>
      <c r="P46" s="700">
        <f t="shared" ref="P46" si="35">P29*$G4</f>
        <v>119100.68935035124</v>
      </c>
    </row>
    <row r="47" spans="2:16" s="102" customFormat="1" x14ac:dyDescent="0.3">
      <c r="B47" s="102" t="s">
        <v>41</v>
      </c>
      <c r="C47" s="102" t="s">
        <v>122</v>
      </c>
      <c r="D47" s="556"/>
      <c r="E47" s="556">
        <f>E30*$G5</f>
        <v>0</v>
      </c>
      <c r="F47" s="175">
        <f t="shared" ref="F47:O47" si="36">F30*$G5</f>
        <v>0</v>
      </c>
      <c r="G47" s="175">
        <f t="shared" si="36"/>
        <v>0</v>
      </c>
      <c r="H47" s="175">
        <f t="shared" si="36"/>
        <v>0</v>
      </c>
      <c r="I47" s="175">
        <f t="shared" si="36"/>
        <v>0</v>
      </c>
      <c r="J47" s="175">
        <f t="shared" si="36"/>
        <v>0</v>
      </c>
      <c r="K47" s="175">
        <f t="shared" si="36"/>
        <v>0</v>
      </c>
      <c r="L47" s="175">
        <f t="shared" si="36"/>
        <v>0</v>
      </c>
      <c r="M47" s="175">
        <f t="shared" si="36"/>
        <v>0</v>
      </c>
      <c r="N47" s="175">
        <f t="shared" si="36"/>
        <v>0</v>
      </c>
      <c r="O47" s="175">
        <f t="shared" si="36"/>
        <v>0</v>
      </c>
      <c r="P47" s="700">
        <f t="shared" ref="P47" si="37">P30*$G5</f>
        <v>0</v>
      </c>
    </row>
    <row r="48" spans="2:16" s="102" customFormat="1" x14ac:dyDescent="0.3">
      <c r="B48" s="102" t="s">
        <v>42</v>
      </c>
      <c r="C48" s="102" t="s">
        <v>122</v>
      </c>
      <c r="D48" s="557"/>
      <c r="E48" s="557">
        <f t="shared" ref="E48:O48" si="38">E31*$G6</f>
        <v>6933.5976562985388</v>
      </c>
      <c r="F48" s="173">
        <f t="shared" si="38"/>
        <v>8523.1473316742868</v>
      </c>
      <c r="G48" s="173">
        <f t="shared" si="38"/>
        <v>10344.462408276198</v>
      </c>
      <c r="H48" s="173">
        <f t="shared" si="38"/>
        <v>12408.954469245109</v>
      </c>
      <c r="I48" s="173">
        <f t="shared" si="38"/>
        <v>14699.572822841039</v>
      </c>
      <c r="J48" s="173">
        <f t="shared" si="38"/>
        <v>17203.965799089034</v>
      </c>
      <c r="K48" s="173">
        <f t="shared" si="38"/>
        <v>19931.268178557973</v>
      </c>
      <c r="L48" s="173">
        <f t="shared" si="38"/>
        <v>22886.361011369783</v>
      </c>
      <c r="M48" s="173">
        <f t="shared" si="38"/>
        <v>26080.527668643437</v>
      </c>
      <c r="N48" s="173">
        <f t="shared" si="38"/>
        <v>29522.107893387169</v>
      </c>
      <c r="O48" s="173">
        <f t="shared" si="38"/>
        <v>33213.101581599243</v>
      </c>
      <c r="P48" s="700">
        <f t="shared" ref="P48" si="39">P31*$G6</f>
        <v>37163.659954500952</v>
      </c>
    </row>
    <row r="49" spans="1:16" s="102" customFormat="1" x14ac:dyDescent="0.3">
      <c r="B49" s="171" t="s">
        <v>43</v>
      </c>
      <c r="C49" s="171" t="s">
        <v>122</v>
      </c>
      <c r="D49" s="558"/>
      <c r="E49" s="558">
        <f>E32*$G7</f>
        <v>0</v>
      </c>
      <c r="F49" s="185">
        <f t="shared" ref="F49:O49" si="40">F32*$G7</f>
        <v>0</v>
      </c>
      <c r="G49" s="185">
        <f t="shared" si="40"/>
        <v>0</v>
      </c>
      <c r="H49" s="185">
        <f t="shared" si="40"/>
        <v>0</v>
      </c>
      <c r="I49" s="185">
        <f t="shared" si="40"/>
        <v>0</v>
      </c>
      <c r="J49" s="185">
        <f t="shared" si="40"/>
        <v>0</v>
      </c>
      <c r="K49" s="185">
        <f t="shared" si="40"/>
        <v>0</v>
      </c>
      <c r="L49" s="185">
        <f t="shared" si="40"/>
        <v>0</v>
      </c>
      <c r="M49" s="185">
        <f t="shared" si="40"/>
        <v>0</v>
      </c>
      <c r="N49" s="185">
        <f t="shared" si="40"/>
        <v>0</v>
      </c>
      <c r="O49" s="185">
        <f t="shared" si="40"/>
        <v>0</v>
      </c>
      <c r="P49" s="714">
        <f t="shared" ref="P49" si="41">P32*$G7</f>
        <v>0</v>
      </c>
    </row>
    <row r="50" spans="1:16" s="10" customFormat="1" x14ac:dyDescent="0.3">
      <c r="B50" s="10" t="s">
        <v>44</v>
      </c>
      <c r="C50" s="10" t="s">
        <v>122</v>
      </c>
      <c r="D50" s="552"/>
      <c r="E50" s="552">
        <f t="shared" ref="E50:O50" si="42">SUM(E45:E49)</f>
        <v>34324.629466044098</v>
      </c>
      <c r="F50" s="10">
        <f t="shared" si="42"/>
        <v>53299.039142610396</v>
      </c>
      <c r="G50" s="10">
        <f t="shared" si="42"/>
        <v>75040.025881752255</v>
      </c>
      <c r="H50" s="10">
        <f t="shared" si="42"/>
        <v>99683.809429808374</v>
      </c>
      <c r="I50" s="10">
        <f t="shared" si="42"/>
        <v>127026.8561600195</v>
      </c>
      <c r="J50" s="10">
        <f t="shared" si="42"/>
        <v>156921.72453600258</v>
      </c>
      <c r="K50" s="10">
        <f t="shared" si="42"/>
        <v>189477.4561759622</v>
      </c>
      <c r="L50" s="10">
        <f t="shared" si="42"/>
        <v>220010.44915249778</v>
      </c>
      <c r="M50" s="10">
        <f t="shared" si="42"/>
        <v>252559.33973117836</v>
      </c>
      <c r="N50" s="10">
        <f t="shared" si="42"/>
        <v>287031.29252736422</v>
      </c>
      <c r="O50" s="10">
        <f t="shared" si="42"/>
        <v>331090.58016000851</v>
      </c>
      <c r="P50" s="654">
        <f t="shared" ref="P50" si="43">SUM(P45:P49)</f>
        <v>378248.28411846247</v>
      </c>
    </row>
    <row r="51" spans="1:16" x14ac:dyDescent="0.3">
      <c r="D51" s="551"/>
      <c r="E51" s="551"/>
      <c r="G51" s="12"/>
      <c r="H51" s="12"/>
      <c r="I51" s="12"/>
      <c r="J51" s="12"/>
      <c r="K51" s="12"/>
      <c r="L51" s="12"/>
      <c r="M51" s="12"/>
      <c r="N51" s="12"/>
      <c r="O51" s="12"/>
      <c r="P51" s="659"/>
    </row>
    <row r="52" spans="1:16" x14ac:dyDescent="0.3">
      <c r="A52" t="s">
        <v>319</v>
      </c>
      <c r="B52" s="8" t="s">
        <v>320</v>
      </c>
      <c r="D52" s="551"/>
      <c r="E52" s="551"/>
    </row>
    <row r="53" spans="1:16" x14ac:dyDescent="0.3">
      <c r="A53" s="78">
        <f>NPV(discount_rate,G42:P42)</f>
        <v>8825418.9218408931</v>
      </c>
      <c r="B53" t="s">
        <v>39</v>
      </c>
      <c r="C53" t="s">
        <v>122</v>
      </c>
      <c r="D53" s="554"/>
      <c r="E53" s="554">
        <f>E45*Retail_Rate_yr1*(1+Retail_Rate_escalation)^('Tier III'!E$9-base_year)</f>
        <v>3012194.0772786983</v>
      </c>
      <c r="F53" s="21">
        <f>F45*Retail_Rate_yr1*(1+Retail_Rate_escalation)^('Tier III'!F$9-base_year)</f>
        <v>5021691.5121108517</v>
      </c>
      <c r="G53" s="21">
        <f>G45*Retail_Rate_yr1*(1+Retail_Rate_escalation)^('Tier III'!G$9-base_year)</f>
        <v>7407716.1640308872</v>
      </c>
      <c r="H53" s="21">
        <f>H45*Retail_Rate_yr1*(1+Retail_Rate_escalation)^('Tier III'!H$9-base_year)</f>
        <v>10206804.389645506</v>
      </c>
      <c r="I53" s="21">
        <f>I45*Retail_Rate_yr1*(1+Retail_Rate_escalation)^('Tier III'!I$9-base_year)</f>
        <v>13420556.600488856</v>
      </c>
      <c r="J53" s="21">
        <f>J45*Retail_Rate_yr1*(1+Retail_Rate_escalation)^('Tier III'!J$9-base_year)</f>
        <v>17055881.97508058</v>
      </c>
      <c r="K53" s="21">
        <f>K45*Retail_Rate_yr1*(1+Retail_Rate_escalation)^('Tier III'!K$9-base_year)</f>
        <v>21148497.606776204</v>
      </c>
      <c r="L53" s="21">
        <f>L45*Retail_Rate_yr1*(1+Retail_Rate_escalation)^('Tier III'!L$9-base_year)</f>
        <v>25730248.430350292</v>
      </c>
      <c r="M53" s="21">
        <f>M45*Retail_Rate_yr1*(1+Retail_Rate_escalation)^('Tier III'!M$9-base_year)</f>
        <v>30843720.182135664</v>
      </c>
      <c r="N53" s="21">
        <f>N45*Retail_Rate_yr1*(1+Retail_Rate_escalation)^('Tier III'!N$9-base_year)</f>
        <v>36529713.091306061</v>
      </c>
      <c r="O53" s="21">
        <f>O45*Retail_Rate_yr1*(1+Retail_Rate_escalation)^('Tier III'!O$9-base_year)</f>
        <v>42821836.593818851</v>
      </c>
      <c r="P53" s="683">
        <f>P45*Retail_Rate_yr1*(1+Retail_Rate_escalation)^('Tier III'!P$9-base_year)</f>
        <v>49767594.517823234</v>
      </c>
    </row>
    <row r="54" spans="1:16" x14ac:dyDescent="0.3">
      <c r="B54" t="s">
        <v>40</v>
      </c>
      <c r="C54" t="s">
        <v>122</v>
      </c>
      <c r="D54" s="554"/>
      <c r="E54" s="554">
        <f>E46*EV_rate*(1+Retail_Rate_escalation)^('Tier III'!E$9-base_year)</f>
        <v>1516808.415041964</v>
      </c>
      <c r="F54" s="21">
        <f>F46*EV_rate*(1+Retail_Rate_escalation)^('Tier III'!F$9-base_year)</f>
        <v>2542928.290470928</v>
      </c>
      <c r="G54" s="21">
        <f>G46*EV_rate*(1+Retail_Rate_escalation)^('Tier III'!G$9-base_year)</f>
        <v>3761396.3954694364</v>
      </c>
      <c r="H54" s="21">
        <f>H46*EV_rate*(1+Retail_Rate_escalation)^('Tier III'!H$9-base_year)</f>
        <v>5190878.0607709019</v>
      </c>
      <c r="I54" s="21">
        <f>I46*EV_rate*(1+Retail_Rate_escalation)^('Tier III'!I$9-base_year)</f>
        <v>6832190.6590369288</v>
      </c>
      <c r="J54" s="21">
        <f>J46*EV_rate*(1+Retail_Rate_escalation)^('Tier III'!J$9-base_year)</f>
        <v>8688863.6818804927</v>
      </c>
      <c r="K54" s="21">
        <f>K46*EV_rate*(1+Retail_Rate_escalation)^('Tier III'!K$9-base_year)</f>
        <v>10779143.901862947</v>
      </c>
      <c r="L54" s="21">
        <f>L46*EV_rate*(1+Retail_Rate_escalation)^('Tier III'!L$9-base_year)</f>
        <v>12307802.598542633</v>
      </c>
      <c r="M54" s="21">
        <f>M46*EV_rate*(1+Retail_Rate_escalation)^('Tier III'!M$9-base_year)</f>
        <v>13925835.186181167</v>
      </c>
      <c r="N54" s="21">
        <f>N46*EV_rate*(1+Retail_Rate_escalation)^('Tier III'!N$9-base_year)</f>
        <v>15608845.965167264</v>
      </c>
      <c r="O54" s="21">
        <f>O46*EV_rate*(1+Retail_Rate_escalation)^('Tier III'!O$9-base_year)</f>
        <v>18756170.757006682</v>
      </c>
      <c r="P54" s="683">
        <f>P46*EV_rate*(1+Retail_Rate_escalation)^('Tier III'!P$9-base_year)</f>
        <v>22235944.196644012</v>
      </c>
    </row>
    <row r="55" spans="1:16" x14ac:dyDescent="0.3">
      <c r="A55" s="22" t="s">
        <v>321</v>
      </c>
      <c r="B55" t="s">
        <v>41</v>
      </c>
      <c r="C55" t="s">
        <v>122</v>
      </c>
      <c r="D55" s="554"/>
      <c r="E55" s="554">
        <f>E47*Retail_Rate_yr1*(1+Retail_Rate_escalation)^('Tier III'!E$9-base_year)</f>
        <v>0</v>
      </c>
      <c r="F55" s="21">
        <f>F47*Retail_Rate_yr1*(1+Retail_Rate_escalation)^('Tier III'!F$9-base_year)</f>
        <v>0</v>
      </c>
      <c r="G55" s="21">
        <f>G47*Retail_Rate_yr1*(1+Retail_Rate_escalation)^('Tier III'!G$9-base_year)</f>
        <v>0</v>
      </c>
      <c r="H55" s="21">
        <f>H47*Retail_Rate_yr1*(1+Retail_Rate_escalation)^('Tier III'!H$9-base_year)</f>
        <v>0</v>
      </c>
      <c r="I55" s="21">
        <f>I47*Retail_Rate_yr1*(1+Retail_Rate_escalation)^('Tier III'!I$9-base_year)</f>
        <v>0</v>
      </c>
      <c r="J55" s="21">
        <f>J47*Retail_Rate_yr1*(1+Retail_Rate_escalation)^('Tier III'!J$9-base_year)</f>
        <v>0</v>
      </c>
      <c r="K55" s="21">
        <f>K47*Retail_Rate_yr1*(1+Retail_Rate_escalation)^('Tier III'!K$9-base_year)</f>
        <v>0</v>
      </c>
      <c r="L55" s="21">
        <f>L47*Retail_Rate_yr1*(1+Retail_Rate_escalation)^('Tier III'!L$9-base_year)</f>
        <v>0</v>
      </c>
      <c r="M55" s="21">
        <f>M47*Retail_Rate_yr1*(1+Retail_Rate_escalation)^('Tier III'!M$9-base_year)</f>
        <v>0</v>
      </c>
      <c r="N55" s="21">
        <f>N47*Retail_Rate_yr1*(1+Retail_Rate_escalation)^('Tier III'!N$9-base_year)</f>
        <v>0</v>
      </c>
      <c r="O55" s="21">
        <f>O47*Retail_Rate_yr1*(1+Retail_Rate_escalation)^('Tier III'!O$9-base_year)</f>
        <v>0</v>
      </c>
      <c r="P55" s="683">
        <f>P47*Retail_Rate_yr1*(1+Retail_Rate_escalation)^('Tier III'!P$9-base_year)</f>
        <v>0</v>
      </c>
    </row>
    <row r="56" spans="1:16" x14ac:dyDescent="0.3">
      <c r="B56" t="s">
        <v>42</v>
      </c>
      <c r="C56" t="s">
        <v>122</v>
      </c>
      <c r="D56" s="554"/>
      <c r="E56" s="554">
        <f>E48*Retail_Rate_yr1*(1+Retail_Rate_escalation)^('Tier III'!E$9-base_year)</f>
        <v>1223556.1030464203</v>
      </c>
      <c r="F56" s="21">
        <f>F48*Retail_Rate_yr1*(1+Retail_Rate_escalation)^('Tier III'!F$9-base_year)</f>
        <v>1537149.6212674577</v>
      </c>
      <c r="G56" s="21">
        <f>G48*Retail_Rate_yr1*(1+Retail_Rate_escalation)^('Tier III'!G$9-base_year)</f>
        <v>1906667.5188299301</v>
      </c>
      <c r="H56" s="21">
        <f>H48*Retail_Rate_yr1*(1+Retail_Rate_escalation)^('Tier III'!H$9-base_year)</f>
        <v>2337508.1260138508</v>
      </c>
      <c r="I56" s="21">
        <f>I48*Retail_Rate_yr1*(1+Retail_Rate_escalation)^('Tier III'!I$9-base_year)</f>
        <v>2829916.0231144503</v>
      </c>
      <c r="J56" s="21">
        <f>J48*Retail_Rate_yr1*(1+Retail_Rate_escalation)^('Tier III'!J$9-base_year)</f>
        <v>3384919.1539165685</v>
      </c>
      <c r="K56" s="21">
        <f>K48*Retail_Rate_yr1*(1+Retail_Rate_escalation)^('Tier III'!K$9-base_year)</f>
        <v>4007795.5464389208</v>
      </c>
      <c r="L56" s="21">
        <f>L48*Retail_Rate_yr1*(1+Retail_Rate_escalation)^('Tier III'!L$9-base_year)</f>
        <v>4703252.18254756</v>
      </c>
      <c r="M56" s="21">
        <f>M48*Retail_Rate_yr1*(1+Retail_Rate_escalation)^('Tier III'!M$9-base_year)</f>
        <v>5477580.7822051849</v>
      </c>
      <c r="N56" s="21">
        <f>N48*Retail_Rate_yr1*(1+Retail_Rate_escalation)^('Tier III'!N$9-base_year)</f>
        <v>6336809.8615711778</v>
      </c>
      <c r="O56" s="21">
        <f>O48*Retail_Rate_yr1*(1+Retail_Rate_escalation)^('Tier III'!O$9-base_year)</f>
        <v>7285907.3215367515</v>
      </c>
      <c r="P56" s="683">
        <f>P48*Retail_Rate_yr1*(1+Retail_Rate_escalation)^('Tier III'!P$9-base_year)</f>
        <v>8331891.048633079</v>
      </c>
    </row>
    <row r="57" spans="1:16" x14ac:dyDescent="0.3">
      <c r="A57" s="25">
        <f>NPV(discount_rate,G40:P40)</f>
        <v>117527870.81815702</v>
      </c>
      <c r="B57" t="s">
        <v>43</v>
      </c>
      <c r="C57" t="s">
        <v>122</v>
      </c>
      <c r="D57" s="554"/>
      <c r="E57" s="554">
        <f>E49*Retail_Rate_yr1*(1+Retail_Rate_escalation)^('Tier III'!E$9-base_year)</f>
        <v>0</v>
      </c>
      <c r="F57" s="21">
        <f>F49*Retail_Rate_yr1*(1+Retail_Rate_escalation)^('Tier III'!F$9-base_year)</f>
        <v>0</v>
      </c>
      <c r="G57" s="21">
        <f>G49*Retail_Rate_yr1*(1+Retail_Rate_escalation)^('Tier III'!G$9-base_year)</f>
        <v>0</v>
      </c>
      <c r="H57" s="21">
        <f>H49*Retail_Rate_yr1*(1+Retail_Rate_escalation)^('Tier III'!H$9-base_year)</f>
        <v>0</v>
      </c>
      <c r="I57" s="21">
        <f>I49*Retail_Rate_yr1*(1+Retail_Rate_escalation)^('Tier III'!I$9-base_year)</f>
        <v>0</v>
      </c>
      <c r="J57" s="21">
        <f>J49*Retail_Rate_yr1*(1+Retail_Rate_escalation)^('Tier III'!J$9-base_year)</f>
        <v>0</v>
      </c>
      <c r="K57" s="21">
        <f>K49*Retail_Rate_yr1*(1+Retail_Rate_escalation)^('Tier III'!K$9-base_year)</f>
        <v>0</v>
      </c>
      <c r="L57" s="21">
        <f>L49*Retail_Rate_yr1*(1+Retail_Rate_escalation)^('Tier III'!L$9-base_year)</f>
        <v>0</v>
      </c>
      <c r="M57" s="21">
        <f>M49*Retail_Rate_yr1*(1+Retail_Rate_escalation)^('Tier III'!M$9-base_year)</f>
        <v>0</v>
      </c>
      <c r="N57" s="21">
        <f>N49*Retail_Rate_yr1*(1+Retail_Rate_escalation)^('Tier III'!N$9-base_year)</f>
        <v>0</v>
      </c>
      <c r="O57" s="21">
        <f>O49*Retail_Rate_yr1*(1+Retail_Rate_escalation)^('Tier III'!O$9-base_year)</f>
        <v>0</v>
      </c>
      <c r="P57" s="683">
        <f>P49*Retail_Rate_yr1*(1+Retail_Rate_escalation)^('Tier III'!P$9-base_year)</f>
        <v>0</v>
      </c>
    </row>
    <row r="58" spans="1:16" x14ac:dyDescent="0.3">
      <c r="B58" s="79" t="s">
        <v>44</v>
      </c>
      <c r="C58" s="79" t="s">
        <v>122</v>
      </c>
      <c r="D58" s="559"/>
      <c r="E58" s="559">
        <f t="shared" ref="E58:O58" si="44">SUM(E53:E57)</f>
        <v>5752558.5953670824</v>
      </c>
      <c r="F58" s="111">
        <f t="shared" si="44"/>
        <v>9101769.4238492381</v>
      </c>
      <c r="G58" s="111">
        <f>SUM(G53:G57)</f>
        <v>13075780.078330254</v>
      </c>
      <c r="H58" s="111">
        <f t="shared" si="44"/>
        <v>17735190.576430261</v>
      </c>
      <c r="I58" s="111">
        <f t="shared" si="44"/>
        <v>23082663.282640234</v>
      </c>
      <c r="J58" s="111">
        <f t="shared" si="44"/>
        <v>29129664.81087764</v>
      </c>
      <c r="K58" s="111">
        <f t="shared" si="44"/>
        <v>35935437.055078067</v>
      </c>
      <c r="L58" s="111">
        <f t="shared" si="44"/>
        <v>42741303.211440489</v>
      </c>
      <c r="M58" s="111">
        <f t="shared" si="44"/>
        <v>50247136.150522016</v>
      </c>
      <c r="N58" s="111">
        <f t="shared" si="44"/>
        <v>58475368.9180445</v>
      </c>
      <c r="O58" s="111">
        <f t="shared" si="44"/>
        <v>68863914.672362283</v>
      </c>
      <c r="P58" s="715">
        <f t="shared" ref="P58" si="45">SUM(P53:P57)</f>
        <v>80335429.763100326</v>
      </c>
    </row>
    <row r="59" spans="1:16" x14ac:dyDescent="0.3">
      <c r="A59" s="25"/>
      <c r="D59" s="551"/>
      <c r="E59" s="551"/>
    </row>
    <row r="60" spans="1:16" x14ac:dyDescent="0.3">
      <c r="B60" s="8" t="s">
        <v>322</v>
      </c>
      <c r="D60" s="551"/>
      <c r="E60" s="551"/>
    </row>
    <row r="61" spans="1:16" x14ac:dyDescent="0.3">
      <c r="B61" t="s">
        <v>39</v>
      </c>
      <c r="C61" t="s">
        <v>316</v>
      </c>
      <c r="D61" s="554">
        <f>D45*'price forecasts'!E33</f>
        <v>0</v>
      </c>
      <c r="E61" s="554">
        <f>E45*'price forecasts'!E33</f>
        <v>736982.27168033354</v>
      </c>
      <c r="F61" s="21">
        <f>F45*'price forecasts'!F33</f>
        <v>1262821.3438316025</v>
      </c>
      <c r="G61" s="21">
        <f>G45*'price forecasts'!G33</f>
        <v>4506969.7738028169</v>
      </c>
      <c r="H61" s="21">
        <f>H45*'price forecasts'!H33</f>
        <v>6458990.8792054951</v>
      </c>
      <c r="I61" s="21">
        <f>I45*'price forecasts'!I33</f>
        <v>7183207.9258581549</v>
      </c>
      <c r="J61" s="21">
        <f>J45*'price forecasts'!J33</f>
        <v>8564853.1391843315</v>
      </c>
      <c r="K61" s="21">
        <f>K45*'price forecasts'!K33</f>
        <v>10264519.585419966</v>
      </c>
      <c r="L61" s="21">
        <f>L45*'price forecasts'!L33</f>
        <v>11894058.543844815</v>
      </c>
      <c r="M61" s="21">
        <f>M45*'price forecasts'!M33</f>
        <v>13543873.777829828</v>
      </c>
      <c r="N61" s="21">
        <f>N45*'price forecasts'!N33</f>
        <v>15230063.621436747</v>
      </c>
      <c r="O61" s="21">
        <f>O45*'price forecasts'!O33</f>
        <v>16918364.625097964</v>
      </c>
      <c r="P61" s="683">
        <f>P45*'price forecasts'!P33</f>
        <v>17945982.623712476</v>
      </c>
    </row>
    <row r="62" spans="1:16" x14ac:dyDescent="0.3">
      <c r="A62" s="22" t="s">
        <v>323</v>
      </c>
      <c r="B62" t="s">
        <v>40</v>
      </c>
      <c r="C62" t="s">
        <v>316</v>
      </c>
      <c r="D62" s="554">
        <f>D54*Retail_Rate_yr1</f>
        <v>0</v>
      </c>
      <c r="E62" s="554">
        <f>E46*'price forecasts'!E34</f>
        <v>351176.58265446109</v>
      </c>
      <c r="F62" s="21">
        <f>F46*'price forecasts'!F34</f>
        <v>604417.40914160945</v>
      </c>
      <c r="G62" s="21">
        <f>G46*'price forecasts'!G34</f>
        <v>2112455.2243658178</v>
      </c>
      <c r="H62" s="21">
        <f>H46*'price forecasts'!H34</f>
        <v>3024072.5972181498</v>
      </c>
      <c r="I62" s="21">
        <f>I46*'price forecasts'!I34</f>
        <v>3376152.1458651121</v>
      </c>
      <c r="J62" s="21">
        <f>J46*'price forecasts'!J34</f>
        <v>4031658.9931500978</v>
      </c>
      <c r="K62" s="21">
        <f>K46*'price forecasts'!K34</f>
        <v>4837358.5987277497</v>
      </c>
      <c r="L62" s="21">
        <f>L46*'price forecasts'!L34</f>
        <v>5268812.7214798527</v>
      </c>
      <c r="M62" s="21">
        <f>M46*'price forecasts'!M34</f>
        <v>5669210.1910661645</v>
      </c>
      <c r="N62" s="21">
        <f>N46*'price forecasts'!N34</f>
        <v>6041056.3286607089</v>
      </c>
      <c r="O62" s="21">
        <f>O46*'price forecasts'!O34</f>
        <v>6886405.896268147</v>
      </c>
      <c r="P62" s="683">
        <f>P46*'price forecasts'!P34</f>
        <v>7464136.9747725278</v>
      </c>
    </row>
    <row r="63" spans="1:16" x14ac:dyDescent="0.3">
      <c r="B63" t="s">
        <v>41</v>
      </c>
      <c r="C63" t="s">
        <v>316</v>
      </c>
      <c r="D63" s="554">
        <f>D55*Retail_Rate_yr1</f>
        <v>0</v>
      </c>
      <c r="E63" s="554">
        <f>E47*'price forecasts'!E35</f>
        <v>0</v>
      </c>
      <c r="F63" s="21">
        <f>F47*'price forecasts'!F35</f>
        <v>0</v>
      </c>
      <c r="G63" s="21">
        <f>G47*'price forecasts'!G35</f>
        <v>0</v>
      </c>
      <c r="H63" s="21">
        <f>H47*'price forecasts'!H35</f>
        <v>0</v>
      </c>
      <c r="I63" s="21">
        <f>I47*'price forecasts'!I35</f>
        <v>0</v>
      </c>
      <c r="J63" s="21">
        <f>J47*'price forecasts'!J35</f>
        <v>0</v>
      </c>
      <c r="K63" s="21">
        <f>K47*'price forecasts'!K35</f>
        <v>0</v>
      </c>
      <c r="L63" s="21">
        <f>L47*'price forecasts'!L35</f>
        <v>0</v>
      </c>
      <c r="M63" s="21">
        <f>M47*'price forecasts'!M35</f>
        <v>0</v>
      </c>
      <c r="N63" s="21">
        <f>N47*'price forecasts'!N35</f>
        <v>0</v>
      </c>
      <c r="O63" s="21">
        <f>O47*'price forecasts'!O35</f>
        <v>0</v>
      </c>
      <c r="P63" s="683">
        <f>P47*'price forecasts'!P35</f>
        <v>0</v>
      </c>
    </row>
    <row r="64" spans="1:16" x14ac:dyDescent="0.3">
      <c r="A64" s="25">
        <f>NPV(discount_rate,G66:P66)</f>
        <v>124714025.97294068</v>
      </c>
      <c r="B64" t="s">
        <v>42</v>
      </c>
      <c r="C64" t="s">
        <v>316</v>
      </c>
      <c r="D64" s="554">
        <f>D56*Retail_Rate_yr1</f>
        <v>0</v>
      </c>
      <c r="E64" s="554">
        <f>E48*'price forecasts'!E36</f>
        <v>275617.40877525997</v>
      </c>
      <c r="F64" s="21">
        <f>F48*'price forecasts'!F36</f>
        <v>355757.03556028625</v>
      </c>
      <c r="G64" s="21">
        <f>G48*'price forecasts'!G36</f>
        <v>1059643.194976971</v>
      </c>
      <c r="H64" s="21">
        <f>H48*'price forecasts'!H36</f>
        <v>1350040.9614101106</v>
      </c>
      <c r="I64" s="21">
        <f>I48*'price forecasts'!I36</f>
        <v>1383661.230672051</v>
      </c>
      <c r="J64" s="21">
        <f>J48*'price forecasts'!J36</f>
        <v>1553159.4996831359</v>
      </c>
      <c r="K64" s="21">
        <f>K48*'price forecasts'!K36</f>
        <v>1777780.074529486</v>
      </c>
      <c r="L64" s="21">
        <f>L48*'price forecasts'!L36</f>
        <v>1987982.7118902702</v>
      </c>
      <c r="M64" s="21">
        <f>M48*'price forecasts'!M36</f>
        <v>2200110.0714598414</v>
      </c>
      <c r="N64" s="21">
        <f>N48*'price forecasts'!N36</f>
        <v>2417592.0153577733</v>
      </c>
      <c r="O64" s="21">
        <f>O48*'price forecasts'!O36</f>
        <v>2635007.3549983324</v>
      </c>
      <c r="P64" s="683">
        <f>P48*'price forecasts'!P36</f>
        <v>2751731.5390514946</v>
      </c>
    </row>
    <row r="65" spans="1:21" x14ac:dyDescent="0.3">
      <c r="B65" t="s">
        <v>43</v>
      </c>
      <c r="C65" s="13" t="s">
        <v>316</v>
      </c>
      <c r="D65" s="554">
        <f>D57*Retail_Rate_yr1</f>
        <v>0</v>
      </c>
      <c r="E65" s="554">
        <f>E57*Retail_Rate_yr1*(1+Retail_Rate_escalation)^('Tier III'!E$9-'Tier III'!$D$9)</f>
        <v>0</v>
      </c>
      <c r="F65" s="21">
        <f>F57*Retail_Rate_yr1*(1+Retail_Rate_escalation)^('Tier III'!F$9-'Tier III'!$D$9)</f>
        <v>0</v>
      </c>
      <c r="G65" s="21">
        <f>G57*Retail_Rate_yr1*(1+Retail_Rate_escalation)^('Tier III'!G$9-'Tier III'!$D$9)</f>
        <v>0</v>
      </c>
      <c r="H65" s="21">
        <f>H57*Retail_Rate_yr1*(1+Retail_Rate_escalation)^('Tier III'!H$9-'Tier III'!$D$9)</f>
        <v>0</v>
      </c>
      <c r="I65" s="21">
        <f>I57*Retail_Rate_yr1*(1+Retail_Rate_escalation)^('Tier III'!I$9-'Tier III'!$D$9)</f>
        <v>0</v>
      </c>
      <c r="J65" s="21">
        <f>J57*Retail_Rate_yr1*(1+Retail_Rate_escalation)^('Tier III'!J$9-'Tier III'!$D$9)</f>
        <v>0</v>
      </c>
      <c r="K65" s="21">
        <f>K57*Retail_Rate_yr1*(1+Retail_Rate_escalation)^('Tier III'!K$9-'Tier III'!$D$9)</f>
        <v>0</v>
      </c>
      <c r="L65" s="21">
        <f>L57*Retail_Rate_yr1*(1+Retail_Rate_escalation)^('Tier III'!L$9-'Tier III'!$D$9)</f>
        <v>0</v>
      </c>
      <c r="M65" s="21">
        <f>M57*Retail_Rate_yr1*(1+Retail_Rate_escalation)^('Tier III'!M$9-'Tier III'!$D$9)</f>
        <v>0</v>
      </c>
      <c r="N65" s="21">
        <f>N57*Retail_Rate_yr1*(1+Retail_Rate_escalation)^('Tier III'!N$9-'Tier III'!$D$9)</f>
        <v>0</v>
      </c>
      <c r="O65" s="21">
        <f>O57*Retail_Rate_yr1*(1+Retail_Rate_escalation)^('Tier III'!O$9-'Tier III'!$D$9)</f>
        <v>0</v>
      </c>
      <c r="P65" s="683">
        <f>P57*Retail_Rate_yr1*(1+Retail_Rate_escalation)^('Tier III'!P$9-'Tier III'!$D$9)</f>
        <v>0</v>
      </c>
    </row>
    <row r="66" spans="1:21" x14ac:dyDescent="0.3">
      <c r="A66" s="25"/>
      <c r="B66" s="79" t="s">
        <v>44</v>
      </c>
      <c r="C66" t="s">
        <v>316</v>
      </c>
      <c r="D66" s="559"/>
      <c r="E66" s="559">
        <f t="shared" ref="E66:O66" si="46">SUM(E61:E65)</f>
        <v>1363776.2631100547</v>
      </c>
      <c r="F66" s="111">
        <f>SUM(F61:F65)</f>
        <v>2222995.7885334981</v>
      </c>
      <c r="G66" s="111">
        <f t="shared" si="46"/>
        <v>7679068.1931456048</v>
      </c>
      <c r="H66" s="111">
        <f t="shared" si="46"/>
        <v>10833104.437833756</v>
      </c>
      <c r="I66" s="111">
        <f t="shared" si="46"/>
        <v>11943021.302395318</v>
      </c>
      <c r="J66" s="111">
        <f t="shared" si="46"/>
        <v>14149671.632017566</v>
      </c>
      <c r="K66" s="111">
        <f t="shared" si="46"/>
        <v>16879658.258677203</v>
      </c>
      <c r="L66" s="111">
        <f t="shared" si="46"/>
        <v>19150853.977214936</v>
      </c>
      <c r="M66" s="111">
        <f t="shared" si="46"/>
        <v>21413194.040355835</v>
      </c>
      <c r="N66" s="111">
        <f t="shared" si="46"/>
        <v>23688711.96545523</v>
      </c>
      <c r="O66" s="111">
        <f t="shared" si="46"/>
        <v>26439777.876364443</v>
      </c>
      <c r="P66" s="715">
        <f t="shared" ref="P66" si="47">SUM(P61:P65)</f>
        <v>28161851.1375365</v>
      </c>
      <c r="U66">
        <f>293967/960086</f>
        <v>0.30618819564080718</v>
      </c>
    </row>
    <row r="67" spans="1:21" x14ac:dyDescent="0.3">
      <c r="D67" s="551"/>
      <c r="E67" s="551"/>
    </row>
    <row r="68" spans="1:21" x14ac:dyDescent="0.3">
      <c r="B68" s="8" t="s">
        <v>324</v>
      </c>
      <c r="D68" s="551"/>
      <c r="E68" s="551"/>
    </row>
    <row r="69" spans="1:21" x14ac:dyDescent="0.3">
      <c r="B69" t="s">
        <v>39</v>
      </c>
      <c r="C69" t="s">
        <v>316</v>
      </c>
      <c r="D69" s="560">
        <f>D61+D35</f>
        <v>0</v>
      </c>
      <c r="E69" s="560">
        <f>E61+E35</f>
        <v>3869247.7716803341</v>
      </c>
      <c r="F69" s="66">
        <f>F61+F35</f>
        <v>4973459.0700816028</v>
      </c>
      <c r="G69" s="66">
        <f>G61+G35</f>
        <v>8758639.6267939825</v>
      </c>
      <c r="H69" s="66">
        <f t="shared" ref="H69:O69" si="48">H61+H35</f>
        <v>11278332.008109819</v>
      </c>
      <c r="I69" s="66">
        <f t="shared" si="48"/>
        <v>12530417.271350626</v>
      </c>
      <c r="J69" s="66">
        <f t="shared" si="48"/>
        <v>14411097.017548572</v>
      </c>
      <c r="K69" s="66">
        <f t="shared" si="48"/>
        <v>16631122.187981984</v>
      </c>
      <c r="L69" s="66">
        <f t="shared" si="48"/>
        <v>18792414.172403857</v>
      </c>
      <c r="M69" s="66">
        <f t="shared" si="48"/>
        <v>21000322.283981569</v>
      </c>
      <c r="N69" s="66">
        <f t="shared" si="48"/>
        <v>23264073.264344748</v>
      </c>
      <c r="O69" s="66">
        <f t="shared" si="48"/>
        <v>25534603.953128293</v>
      </c>
      <c r="P69" s="683">
        <f t="shared" ref="P69" si="49">P61+P35</f>
        <v>27168148.602750957</v>
      </c>
    </row>
    <row r="70" spans="1:21" x14ac:dyDescent="0.3">
      <c r="B70" t="s">
        <v>40</v>
      </c>
      <c r="C70" t="s">
        <v>316</v>
      </c>
      <c r="D70" s="560">
        <f t="shared" ref="D70:O70" si="50">D62+D36</f>
        <v>0</v>
      </c>
      <c r="E70" s="560">
        <f>E62+E36</f>
        <v>4210127.6786544612</v>
      </c>
      <c r="F70" s="66">
        <f t="shared" si="50"/>
        <v>5084492.9743068097</v>
      </c>
      <c r="G70" s="66">
        <f t="shared" si="50"/>
        <v>7143085.4157990813</v>
      </c>
      <c r="H70" s="66">
        <f t="shared" si="50"/>
        <v>8612332.5862784721</v>
      </c>
      <c r="I70" s="66">
        <f t="shared" si="50"/>
        <v>9452493.980673518</v>
      </c>
      <c r="J70" s="66">
        <f t="shared" si="50"/>
        <v>10542214.028526027</v>
      </c>
      <c r="K70" s="66">
        <f t="shared" si="50"/>
        <v>11785600.092728909</v>
      </c>
      <c r="L70" s="66">
        <f t="shared" si="50"/>
        <v>12646815.548836034</v>
      </c>
      <c r="M70" s="66">
        <f t="shared" si="50"/>
        <v>13484612.455051288</v>
      </c>
      <c r="N70" s="66">
        <f t="shared" si="50"/>
        <v>14293408.203451227</v>
      </c>
      <c r="O70" s="66">
        <f t="shared" si="50"/>
        <v>15559802.754632674</v>
      </c>
      <c r="P70" s="683">
        <f t="shared" ref="P70" si="51">P62+P36</f>
        <v>16561813.157733178</v>
      </c>
    </row>
    <row r="71" spans="1:21" x14ac:dyDescent="0.3">
      <c r="B71" t="s">
        <v>41</v>
      </c>
      <c r="C71" t="s">
        <v>316</v>
      </c>
      <c r="D71" s="560">
        <f t="shared" ref="D71:O71" si="52">D63+D37</f>
        <v>0</v>
      </c>
      <c r="E71" s="560">
        <f t="shared" si="52"/>
        <v>106015.14</v>
      </c>
      <c r="F71" s="66">
        <f t="shared" si="52"/>
        <v>125590.81534999999</v>
      </c>
      <c r="G71" s="66">
        <f t="shared" si="52"/>
        <v>143902.67194739328</v>
      </c>
      <c r="H71" s="66">
        <f t="shared" si="52"/>
        <v>163116.16128599245</v>
      </c>
      <c r="I71" s="66">
        <f t="shared" si="52"/>
        <v>180982.47015512976</v>
      </c>
      <c r="J71" s="66">
        <f t="shared" si="52"/>
        <v>197872.86972925114</v>
      </c>
      <c r="K71" s="66">
        <f t="shared" si="52"/>
        <v>215485.01116363748</v>
      </c>
      <c r="L71" s="66">
        <f t="shared" si="52"/>
        <v>233482.80588969064</v>
      </c>
      <c r="M71" s="66">
        <f t="shared" si="52"/>
        <v>252372.10328513582</v>
      </c>
      <c r="N71" s="66">
        <f t="shared" si="52"/>
        <v>271920.32637534774</v>
      </c>
      <c r="O71" s="66">
        <f t="shared" si="52"/>
        <v>291626.56187179574</v>
      </c>
      <c r="P71" s="683">
        <f t="shared" ref="P71" si="53">P63+P37</f>
        <v>312134.8485213024</v>
      </c>
    </row>
    <row r="72" spans="1:21" x14ac:dyDescent="0.3">
      <c r="B72" t="s">
        <v>42</v>
      </c>
      <c r="C72" t="s">
        <v>316</v>
      </c>
      <c r="D72" s="560">
        <f t="shared" ref="D72:O72" si="54">D64+D38</f>
        <v>0</v>
      </c>
      <c r="E72" s="560">
        <f t="shared" si="54"/>
        <v>648790.70157525991</v>
      </c>
      <c r="F72" s="66">
        <f t="shared" si="54"/>
        <v>864148.65609708615</v>
      </c>
      <c r="G72" s="66">
        <f t="shared" si="54"/>
        <v>1729538.9134264761</v>
      </c>
      <c r="H72" s="66">
        <f t="shared" si="54"/>
        <v>2223280.0685314452</v>
      </c>
      <c r="I72" s="66">
        <f t="shared" si="54"/>
        <v>2497880.1701470474</v>
      </c>
      <c r="J72" s="66">
        <f t="shared" si="54"/>
        <v>2954094.9256520909</v>
      </c>
      <c r="K72" s="66">
        <f t="shared" si="54"/>
        <v>3532253.4101876058</v>
      </c>
      <c r="L72" s="66">
        <f t="shared" si="54"/>
        <v>4174145.2589482646</v>
      </c>
      <c r="M72" s="66">
        <f t="shared" si="54"/>
        <v>4917592.430493216</v>
      </c>
      <c r="N72" s="66">
        <f t="shared" si="54"/>
        <v>5784760.8998110816</v>
      </c>
      <c r="O72" s="66">
        <f t="shared" si="54"/>
        <v>6787875.5234789019</v>
      </c>
      <c r="P72" s="683">
        <f t="shared" ref="P72" si="55">P64+P38</f>
        <v>7863382.2015779056</v>
      </c>
    </row>
    <row r="73" spans="1:21" x14ac:dyDescent="0.3">
      <c r="B73" t="s">
        <v>43</v>
      </c>
      <c r="C73" s="13" t="s">
        <v>316</v>
      </c>
      <c r="D73" s="555">
        <f t="shared" ref="D73:O73" si="56">D65+D39</f>
        <v>0</v>
      </c>
      <c r="E73" s="555">
        <f t="shared" si="56"/>
        <v>173864.8296</v>
      </c>
      <c r="F73" s="67">
        <f t="shared" si="56"/>
        <v>200945.30456000002</v>
      </c>
      <c r="G73" s="67">
        <f t="shared" si="56"/>
        <v>190012.82709497094</v>
      </c>
      <c r="H73" s="67">
        <f t="shared" si="56"/>
        <v>226787.71113969712</v>
      </c>
      <c r="I73" s="67">
        <f t="shared" si="56"/>
        <v>235152.39570501001</v>
      </c>
      <c r="J73" s="67">
        <f t="shared" si="56"/>
        <v>264160.28108855028</v>
      </c>
      <c r="K73" s="67">
        <f t="shared" si="56"/>
        <v>287672.48990345607</v>
      </c>
      <c r="L73" s="67">
        <f t="shared" si="56"/>
        <v>311699.545862737</v>
      </c>
      <c r="M73" s="67">
        <f t="shared" si="56"/>
        <v>336916.75788565632</v>
      </c>
      <c r="N73" s="67">
        <f t="shared" si="56"/>
        <v>363013.63571108924</v>
      </c>
      <c r="O73" s="67">
        <f t="shared" si="56"/>
        <v>389321.46009884728</v>
      </c>
      <c r="P73" s="684">
        <f t="shared" ref="P73" si="57">P65+P39</f>
        <v>416700.02277593873</v>
      </c>
    </row>
    <row r="74" spans="1:21" x14ac:dyDescent="0.3">
      <c r="B74" s="79" t="s">
        <v>44</v>
      </c>
      <c r="C74" t="s">
        <v>316</v>
      </c>
      <c r="D74" s="559"/>
      <c r="E74" s="559">
        <f>SUM(E69:E73)+E42</f>
        <v>10008046.121510055</v>
      </c>
      <c r="F74" s="111">
        <f>SUM(F69:F73)+F42</f>
        <v>12278636.820395499</v>
      </c>
      <c r="G74" s="111">
        <f>SUM(G69:G73)+G42</f>
        <v>19026079.455061905</v>
      </c>
      <c r="H74" s="111">
        <f t="shared" ref="H74:O74" si="58">SUM(H69:H73)+H42</f>
        <v>23596575.535345428</v>
      </c>
      <c r="I74" s="111">
        <f t="shared" si="58"/>
        <v>26022435.098031331</v>
      </c>
      <c r="J74" s="111">
        <f t="shared" si="58"/>
        <v>29528713.196844488</v>
      </c>
      <c r="K74" s="111">
        <f t="shared" si="58"/>
        <v>33646185.48849459</v>
      </c>
      <c r="L74" s="111">
        <f t="shared" si="58"/>
        <v>37388431.197365455</v>
      </c>
      <c r="M74" s="111">
        <f t="shared" si="58"/>
        <v>41258586.112084478</v>
      </c>
      <c r="N74" s="111">
        <f t="shared" si="58"/>
        <v>45281949.513522744</v>
      </c>
      <c r="O74" s="111">
        <f t="shared" si="58"/>
        <v>49907146.632554635</v>
      </c>
      <c r="P74" s="715">
        <f t="shared" ref="P74" si="59">SUM(P69:P73)+P42</f>
        <v>53706412.704083726</v>
      </c>
    </row>
    <row r="75" spans="1:21" x14ac:dyDescent="0.3">
      <c r="D75" s="551"/>
      <c r="E75" s="551"/>
      <c r="T75">
        <f>emissions!O62</f>
        <v>15262185.976963118</v>
      </c>
      <c r="U75" s="33">
        <f>ROUND(T75,-6)</f>
        <v>15000000</v>
      </c>
    </row>
    <row r="76" spans="1:21" s="102" customFormat="1" x14ac:dyDescent="0.3">
      <c r="B76" s="8" t="s">
        <v>325</v>
      </c>
      <c r="D76" s="561"/>
      <c r="E76" s="561"/>
      <c r="P76" s="708"/>
      <c r="T76" s="227">
        <f>O82+emissions!O62</f>
        <v>18896917.329765506</v>
      </c>
      <c r="U76" s="227">
        <f>T76+emissions!O63</f>
        <v>21309762.183615316</v>
      </c>
    </row>
    <row r="77" spans="1:21" s="102" customFormat="1" x14ac:dyDescent="0.3">
      <c r="B77" s="102" t="s">
        <v>39</v>
      </c>
      <c r="D77" s="562"/>
      <c r="E77" s="557">
        <f>E28*$H$3</f>
        <v>148100.69338538684</v>
      </c>
      <c r="F77" s="173">
        <f t="shared" ref="F77:M77" si="60">F28*$H$3</f>
        <v>241586.84144407473</v>
      </c>
      <c r="G77" s="173">
        <f>G28*$H$3</f>
        <v>348703.80265038478</v>
      </c>
      <c r="H77" s="173">
        <f t="shared" si="60"/>
        <v>470122.72617795708</v>
      </c>
      <c r="I77" s="173">
        <f>I28*$H$3</f>
        <v>604840.81009036896</v>
      </c>
      <c r="J77" s="173">
        <f t="shared" si="60"/>
        <v>752131.61590888735</v>
      </c>
      <c r="K77" s="173">
        <f t="shared" si="60"/>
        <v>912532.38727048389</v>
      </c>
      <c r="L77" s="173">
        <f t="shared" si="60"/>
        <v>1086330.1932623654</v>
      </c>
      <c r="M77" s="173">
        <f t="shared" si="60"/>
        <v>1274188.6425275144</v>
      </c>
      <c r="N77" s="173">
        <f>N28*$H$3</f>
        <v>1476598.2201773541</v>
      </c>
      <c r="O77" s="173">
        <f>O28*$H$3</f>
        <v>1693676.5460486801</v>
      </c>
      <c r="P77" s="700">
        <f>P28*$H$3</f>
        <v>1926020.643678894</v>
      </c>
      <c r="T77" s="582">
        <f>Q80-T76</f>
        <v>106103082.6702345</v>
      </c>
      <c r="U77" s="582">
        <f>Q80-U76</f>
        <v>103690237.81638469</v>
      </c>
    </row>
    <row r="78" spans="1:21" s="102" customFormat="1" x14ac:dyDescent="0.3">
      <c r="B78" s="102" t="s">
        <v>40</v>
      </c>
      <c r="D78" s="562"/>
      <c r="E78" s="557">
        <f>E29*$H$4</f>
        <v>162798.94838000348</v>
      </c>
      <c r="F78" s="173">
        <f t="shared" ref="F78:M78" si="61">F29*$H$4</f>
        <v>267057.07217935094</v>
      </c>
      <c r="G78" s="173">
        <f t="shared" si="61"/>
        <v>386516.62457685207</v>
      </c>
      <c r="H78" s="173">
        <f t="shared" si="61"/>
        <v>521926.08815614338</v>
      </c>
      <c r="I78" s="173">
        <f t="shared" si="61"/>
        <v>672167.11275942239</v>
      </c>
      <c r="J78" s="173">
        <f t="shared" si="61"/>
        <v>836429.55576747656</v>
      </c>
      <c r="K78" s="173">
        <f t="shared" si="61"/>
        <v>1015312.5649126376</v>
      </c>
      <c r="L78" s="173">
        <f t="shared" si="61"/>
        <v>1134344.885591208</v>
      </c>
      <c r="M78" s="173">
        <f t="shared" si="61"/>
        <v>1255841.8466114409</v>
      </c>
      <c r="N78" s="173">
        <f>N29*$H$4</f>
        <v>1377316.0183768102</v>
      </c>
      <c r="O78" s="173">
        <f>O29*$H$4</f>
        <v>1619407.2740635879</v>
      </c>
      <c r="P78" s="700">
        <f>P29*$H$4</f>
        <v>1878523.3056661689</v>
      </c>
      <c r="Q78" s="227"/>
      <c r="R78" s="584"/>
      <c r="T78" s="583">
        <f>T77/Q80-1</f>
        <v>-0.15117533863812394</v>
      </c>
      <c r="U78" s="583">
        <f>U77/Q80-1</f>
        <v>-0.17047809746892251</v>
      </c>
    </row>
    <row r="79" spans="1:21" s="102" customFormat="1" x14ac:dyDescent="0.3">
      <c r="B79" s="102" t="s">
        <v>41</v>
      </c>
      <c r="D79" s="562"/>
      <c r="E79" s="557">
        <f>E30*$H$5</f>
        <v>1718.9283752960002</v>
      </c>
      <c r="F79" s="173">
        <f t="shared" ref="F79:O79" si="62">F30*$H$5</f>
        <v>3548.3344280102401</v>
      </c>
      <c r="G79" s="173">
        <f t="shared" si="62"/>
        <v>5644.4783086647503</v>
      </c>
      <c r="H79" s="173">
        <f t="shared" si="62"/>
        <v>8020.4935604210314</v>
      </c>
      <c r="I79" s="173">
        <f t="shared" si="62"/>
        <v>10656.756613688714</v>
      </c>
      <c r="J79" s="173">
        <f t="shared" si="62"/>
        <v>13539.051983312878</v>
      </c>
      <c r="K79" s="173">
        <f t="shared" si="62"/>
        <v>16677.892849926888</v>
      </c>
      <c r="L79" s="173">
        <f t="shared" si="62"/>
        <v>20078.89679363848</v>
      </c>
      <c r="M79" s="173">
        <f t="shared" si="62"/>
        <v>23755.049798931082</v>
      </c>
      <c r="N79" s="173">
        <f t="shared" si="62"/>
        <v>27715.950041044947</v>
      </c>
      <c r="O79" s="173">
        <f t="shared" si="62"/>
        <v>31963.899191894274</v>
      </c>
      <c r="P79" s="700">
        <f t="shared" ref="P79" si="63">P30*$H$5</f>
        <v>36510.580249394974</v>
      </c>
      <c r="T79" s="582">
        <f>T76/Q80</f>
        <v>0.15117533863812405</v>
      </c>
    </row>
    <row r="80" spans="1:21" s="102" customFormat="1" x14ac:dyDescent="0.3">
      <c r="B80" s="102" t="s">
        <v>42</v>
      </c>
      <c r="D80" s="562"/>
      <c r="E80" s="557">
        <f>E31*$H$6</f>
        <v>40992.948528325935</v>
      </c>
      <c r="F80" s="173">
        <f t="shared" ref="F80:O80" si="64">F31*$H$6</f>
        <v>50390.714487056328</v>
      </c>
      <c r="G80" s="173">
        <f t="shared" si="64"/>
        <v>61158.728278739691</v>
      </c>
      <c r="H80" s="173">
        <f t="shared" si="64"/>
        <v>73364.45768323692</v>
      </c>
      <c r="I80" s="173">
        <f t="shared" si="64"/>
        <v>86907.095275093394</v>
      </c>
      <c r="J80" s="173">
        <f t="shared" si="64"/>
        <v>101713.61527510747</v>
      </c>
      <c r="K80" s="173">
        <f t="shared" si="64"/>
        <v>117838.02450747632</v>
      </c>
      <c r="L80" s="173">
        <f t="shared" si="64"/>
        <v>135309.18080998209</v>
      </c>
      <c r="M80" s="173">
        <f t="shared" si="64"/>
        <v>154193.79394492053</v>
      </c>
      <c r="N80" s="173">
        <f t="shared" si="64"/>
        <v>174541.17030023376</v>
      </c>
      <c r="O80" s="173">
        <f t="shared" si="64"/>
        <v>196363.13369925029</v>
      </c>
      <c r="P80" s="700">
        <f t="shared" ref="P80" si="65">P31*$H$6</f>
        <v>219719.70038601127</v>
      </c>
      <c r="Q80" s="585">
        <v>125000000</v>
      </c>
      <c r="S80" s="585">
        <f>Q80-emissions!O62</f>
        <v>109737814.02303688</v>
      </c>
    </row>
    <row r="81" spans="2:20" s="102" customFormat="1" ht="15" thickBot="1" x14ac:dyDescent="0.35">
      <c r="B81" s="102" t="s">
        <v>43</v>
      </c>
      <c r="C81" s="171"/>
      <c r="D81" s="563"/>
      <c r="E81" s="564">
        <f>E32*$H$7</f>
        <v>33924.844799999999</v>
      </c>
      <c r="F81" s="272">
        <f t="shared" ref="F81:O81" si="66">F32*$H$7</f>
        <v>40189.060912000001</v>
      </c>
      <c r="G81" s="272">
        <f t="shared" si="66"/>
        <v>46048.855023165852</v>
      </c>
      <c r="H81" s="272">
        <f t="shared" si="66"/>
        <v>52197.171611517588</v>
      </c>
      <c r="I81" s="272">
        <f t="shared" si="66"/>
        <v>57914.390449641527</v>
      </c>
      <c r="J81" s="272">
        <f t="shared" si="66"/>
        <v>63319.318313360374</v>
      </c>
      <c r="K81" s="272">
        <f t="shared" si="66"/>
        <v>68955.203572364</v>
      </c>
      <c r="L81" s="272">
        <f t="shared" si="66"/>
        <v>74714.497884701006</v>
      </c>
      <c r="M81" s="272">
        <f t="shared" si="66"/>
        <v>80759.073051243467</v>
      </c>
      <c r="N81" s="272">
        <f t="shared" si="66"/>
        <v>87014.504440111283</v>
      </c>
      <c r="O81" s="272">
        <f t="shared" si="66"/>
        <v>93320.499798974633</v>
      </c>
      <c r="P81" s="716">
        <f t="shared" ref="P81" si="67">P32*$H$7</f>
        <v>99883.151526816771</v>
      </c>
      <c r="S81" s="271">
        <f>S80/Q80-1</f>
        <v>-0.12209748781570495</v>
      </c>
    </row>
    <row r="82" spans="2:20" s="175" customFormat="1" x14ac:dyDescent="0.3">
      <c r="B82" s="174" t="s">
        <v>44</v>
      </c>
      <c r="D82" s="565"/>
      <c r="E82" s="557">
        <f t="shared" ref="E82:M82" si="68">SUM(E77:E81)</f>
        <v>387536.36346901226</v>
      </c>
      <c r="F82" s="174">
        <f t="shared" si="68"/>
        <v>602772.02345049218</v>
      </c>
      <c r="G82" s="174">
        <f t="shared" si="68"/>
        <v>848072.48883780709</v>
      </c>
      <c r="H82" s="174">
        <f t="shared" si="68"/>
        <v>1125630.9371892761</v>
      </c>
      <c r="I82" s="174">
        <f t="shared" si="68"/>
        <v>1432486.165188215</v>
      </c>
      <c r="J82" s="174">
        <f t="shared" si="68"/>
        <v>1767133.1572481447</v>
      </c>
      <c r="K82" s="174">
        <f t="shared" si="68"/>
        <v>2131316.0731128883</v>
      </c>
      <c r="L82" s="174">
        <f t="shared" si="68"/>
        <v>2450777.6543418951</v>
      </c>
      <c r="M82" s="174">
        <f t="shared" si="68"/>
        <v>2788738.4059340502</v>
      </c>
      <c r="N82" s="174">
        <f>SUM(N77:N81)</f>
        <v>3143185.863335554</v>
      </c>
      <c r="O82" s="174">
        <f>SUM(O77:O81)</f>
        <v>3634731.352802387</v>
      </c>
      <c r="P82" s="717">
        <f>SUM(P77:P81)</f>
        <v>4160657.3815072854</v>
      </c>
      <c r="Q82" s="633">
        <f>Q80-P82</f>
        <v>120839342.61849271</v>
      </c>
      <c r="R82" s="581">
        <f>Q82/Q80-1</f>
        <v>-3.3285259052058369E-2</v>
      </c>
    </row>
    <row r="83" spans="2:20" s="102" customFormat="1" x14ac:dyDescent="0.3">
      <c r="D83" s="561"/>
      <c r="E83" s="561"/>
      <c r="L83" s="227"/>
      <c r="P83" s="708"/>
    </row>
    <row r="84" spans="2:20" s="102" customFormat="1" x14ac:dyDescent="0.3">
      <c r="B84" s="195" t="s">
        <v>326</v>
      </c>
      <c r="D84" s="561"/>
      <c r="E84" s="556"/>
      <c r="F84" s="175"/>
      <c r="G84" s="175"/>
      <c r="H84" s="175"/>
      <c r="I84" s="175"/>
      <c r="J84" s="175"/>
      <c r="K84" s="175"/>
      <c r="L84" s="175"/>
      <c r="M84" s="175"/>
      <c r="N84" s="175"/>
      <c r="P84" s="708"/>
      <c r="S84" s="583">
        <f>P82/T84</f>
        <v>4.0394731859294035E-2</v>
      </c>
      <c r="T84" s="10">
        <v>103000000</v>
      </c>
    </row>
    <row r="85" spans="2:20" s="102" customFormat="1" x14ac:dyDescent="0.3">
      <c r="B85" s="102" t="s">
        <v>39</v>
      </c>
      <c r="D85" s="562"/>
      <c r="E85" s="557">
        <f>E28*$Q3</f>
        <v>22237319.111815833</v>
      </c>
      <c r="F85" s="173">
        <f>F28*$Q3</f>
        <v>36274264.242827825</v>
      </c>
      <c r="G85" s="173">
        <f>G28*$Q3</f>
        <v>52357875.967955276</v>
      </c>
      <c r="H85" s="173">
        <f t="shared" ref="H85:O85" si="69">H28*$Q3</f>
        <v>70588927.335620254</v>
      </c>
      <c r="I85" s="173">
        <f>I28*$Q3</f>
        <v>90816847.635068908</v>
      </c>
      <c r="J85" s="173">
        <f t="shared" si="69"/>
        <v>112932562.12871943</v>
      </c>
      <c r="K85" s="173">
        <f t="shared" si="69"/>
        <v>137016737.94866315</v>
      </c>
      <c r="L85" s="173">
        <f t="shared" si="69"/>
        <v>163112478.51834416</v>
      </c>
      <c r="M85" s="173">
        <f t="shared" si="69"/>
        <v>191319424.67550629</v>
      </c>
      <c r="N85" s="173">
        <f t="shared" si="69"/>
        <v>221711222.75962973</v>
      </c>
      <c r="O85" s="173">
        <f t="shared" si="69"/>
        <v>254305533.3892093</v>
      </c>
      <c r="P85" s="700">
        <f t="shared" ref="P85" si="70">P28*$Q3</f>
        <v>289191999.64838594</v>
      </c>
      <c r="S85" s="583">
        <f>T75/T85</f>
        <v>0.69373572622559621</v>
      </c>
      <c r="T85" s="31">
        <v>22000000</v>
      </c>
    </row>
    <row r="86" spans="2:20" s="102" customFormat="1" x14ac:dyDescent="0.3">
      <c r="B86" s="102" t="s">
        <v>40</v>
      </c>
      <c r="D86" s="562"/>
      <c r="E86" s="557">
        <f>E29*$Q4</f>
        <v>25591994.685336545</v>
      </c>
      <c r="F86" s="173">
        <f>F29*$Q4</f>
        <v>41981371.746593967</v>
      </c>
      <c r="G86" s="173">
        <f t="shared" ref="G86:O86" si="71">G29*$Q4</f>
        <v>60760413.383481145</v>
      </c>
      <c r="H86" s="173">
        <f>H29*$Q4</f>
        <v>82046781.058145732</v>
      </c>
      <c r="I86" s="173">
        <f t="shared" si="71"/>
        <v>105664670.12578119</v>
      </c>
      <c r="J86" s="173">
        <f t="shared" si="71"/>
        <v>131486726.1666473</v>
      </c>
      <c r="K86" s="173">
        <f t="shared" si="71"/>
        <v>159607135.20426664</v>
      </c>
      <c r="L86" s="173">
        <f t="shared" si="71"/>
        <v>178319016.01493791</v>
      </c>
      <c r="M86" s="173">
        <f t="shared" si="71"/>
        <v>197418338.2873185</v>
      </c>
      <c r="N86" s="173">
        <f t="shared" si="71"/>
        <v>216514078.08883455</v>
      </c>
      <c r="O86" s="173">
        <f t="shared" si="71"/>
        <v>254570823.48279601</v>
      </c>
      <c r="P86" s="700">
        <f t="shared" ref="P86" si="72">P29*$Q4</f>
        <v>295303863.65072173</v>
      </c>
      <c r="S86" s="583"/>
    </row>
    <row r="87" spans="2:20" s="102" customFormat="1" x14ac:dyDescent="0.3">
      <c r="B87" s="102" t="s">
        <v>41</v>
      </c>
      <c r="D87" s="562"/>
      <c r="E87" s="557">
        <f>E30*$Q5</f>
        <v>258097.09555069442</v>
      </c>
      <c r="F87" s="173">
        <f t="shared" ref="F87:O87" si="73">F30*$Q5</f>
        <v>532782.41436573758</v>
      </c>
      <c r="G87" s="173">
        <f t="shared" si="73"/>
        <v>847518.41804601217</v>
      </c>
      <c r="H87" s="173">
        <f>H30*$Q5</f>
        <v>1204277.1080972177</v>
      </c>
      <c r="I87" s="173">
        <f t="shared" si="73"/>
        <v>1600112.0055453605</v>
      </c>
      <c r="J87" s="173">
        <f t="shared" si="73"/>
        <v>2032888.6552944288</v>
      </c>
      <c r="K87" s="173">
        <f t="shared" si="73"/>
        <v>2504185.6114165224</v>
      </c>
      <c r="L87" s="173">
        <f t="shared" si="73"/>
        <v>3014846.3535648175</v>
      </c>
      <c r="M87" s="173">
        <f t="shared" si="73"/>
        <v>3566820.7273095017</v>
      </c>
      <c r="N87" s="173">
        <f t="shared" si="73"/>
        <v>4161549.8986628987</v>
      </c>
      <c r="O87" s="173">
        <f t="shared" si="73"/>
        <v>4799379.4636629252</v>
      </c>
      <c r="P87" s="700">
        <f t="shared" ref="P87" si="74">P30*$Q5</f>
        <v>5482063.6244466547</v>
      </c>
    </row>
    <row r="88" spans="2:20" s="102" customFormat="1" x14ac:dyDescent="0.3">
      <c r="B88" s="102" t="s">
        <v>42</v>
      </c>
      <c r="D88" s="562"/>
      <c r="E88" s="557">
        <f>E31*$Q6</f>
        <v>6869734.4307780322</v>
      </c>
      <c r="F88" s="173">
        <f t="shared" ref="F88:O88" si="75">F31*$Q6</f>
        <v>8444643.2552670334</v>
      </c>
      <c r="G88" s="173">
        <f t="shared" si="75"/>
        <v>10249182.761487344</v>
      </c>
      <c r="H88" s="173">
        <f t="shared" si="75"/>
        <v>12294659.424013691</v>
      </c>
      <c r="I88" s="173">
        <f t="shared" si="75"/>
        <v>14564179.599759016</v>
      </c>
      <c r="J88" s="173">
        <f t="shared" si="75"/>
        <v>17045505.386163827</v>
      </c>
      <c r="K88" s="173">
        <f t="shared" si="75"/>
        <v>19747687.426155843</v>
      </c>
      <c r="L88" s="173">
        <f t="shared" si="75"/>
        <v>22675561.812012564</v>
      </c>
      <c r="M88" s="173">
        <f t="shared" si="75"/>
        <v>25840307.987208165</v>
      </c>
      <c r="N88" s="173">
        <f t="shared" si="75"/>
        <v>29250188.879955024</v>
      </c>
      <c r="O88" s="173">
        <f t="shared" si="75"/>
        <v>32907185.965827346</v>
      </c>
      <c r="P88" s="700">
        <f t="shared" ref="P88" si="76">P31*$Q6</f>
        <v>36821356.966284476</v>
      </c>
    </row>
    <row r="89" spans="2:20" s="102" customFormat="1" x14ac:dyDescent="0.3">
      <c r="B89" s="102" t="s">
        <v>43</v>
      </c>
      <c r="C89" s="171"/>
      <c r="D89" s="563"/>
      <c r="E89" s="558">
        <f>E32*$Q7</f>
        <v>2993867.5535999998</v>
      </c>
      <c r="F89" s="185">
        <f>F32*$Q7</f>
        <v>3546684.625484</v>
      </c>
      <c r="G89" s="185">
        <f t="shared" ref="G89:O89" si="77">G32*$Q7</f>
        <v>4063811.4557943866</v>
      </c>
      <c r="H89" s="185">
        <f t="shared" si="77"/>
        <v>4606400.3947164267</v>
      </c>
      <c r="I89" s="185">
        <f t="shared" si="77"/>
        <v>5110944.9571808651</v>
      </c>
      <c r="J89" s="185">
        <f t="shared" si="77"/>
        <v>5587929.8411540529</v>
      </c>
      <c r="K89" s="185">
        <f t="shared" si="77"/>
        <v>6085296.7152611231</v>
      </c>
      <c r="L89" s="185">
        <f t="shared" si="77"/>
        <v>6593554.438324864</v>
      </c>
      <c r="M89" s="185">
        <f t="shared" si="77"/>
        <v>7126988.1967722364</v>
      </c>
      <c r="N89" s="185">
        <f t="shared" si="77"/>
        <v>7679030.0168398209</v>
      </c>
      <c r="O89" s="185">
        <f t="shared" si="77"/>
        <v>8235534.107259511</v>
      </c>
      <c r="P89" s="714">
        <f t="shared" ref="P89" si="78">P32*$Q7</f>
        <v>8814688.1222415809</v>
      </c>
    </row>
    <row r="90" spans="2:20" s="102" customFormat="1" x14ac:dyDescent="0.3">
      <c r="B90" s="196" t="s">
        <v>44</v>
      </c>
      <c r="D90" s="566"/>
      <c r="E90" s="565">
        <f>SUM(E85:E89)</f>
        <v>57951012.877081104</v>
      </c>
      <c r="F90" s="174">
        <f>SUM(F85:F89)</f>
        <v>90779746.284538567</v>
      </c>
      <c r="G90" s="174">
        <f t="shared" ref="G90:O90" si="79">SUM(G85:G89)</f>
        <v>128278801.98676416</v>
      </c>
      <c r="H90" s="174">
        <f t="shared" si="79"/>
        <v>170741045.32059336</v>
      </c>
      <c r="I90" s="174">
        <f t="shared" si="79"/>
        <v>217756754.32333532</v>
      </c>
      <c r="J90" s="174">
        <f t="shared" si="79"/>
        <v>269085612.17797905</v>
      </c>
      <c r="K90" s="174">
        <f t="shared" si="79"/>
        <v>324961042.90576327</v>
      </c>
      <c r="L90" s="174">
        <f t="shared" si="79"/>
        <v>373715457.13718426</v>
      </c>
      <c r="M90" s="174">
        <f t="shared" si="79"/>
        <v>425271879.87411475</v>
      </c>
      <c r="N90" s="174">
        <f t="shared" si="79"/>
        <v>479316069.64392203</v>
      </c>
      <c r="O90" s="174">
        <f t="shared" si="79"/>
        <v>554818456.40875506</v>
      </c>
      <c r="P90" s="717">
        <f t="shared" ref="P90" si="80">SUM(P85:P89)</f>
        <v>635613972.01208043</v>
      </c>
    </row>
    <row r="91" spans="2:20" s="43" customFormat="1" x14ac:dyDescent="0.3">
      <c r="D91" s="567"/>
      <c r="E91" s="599">
        <f>E90/2204</f>
        <v>26293.563011379811</v>
      </c>
      <c r="F91" s="599">
        <f>F90/2204</f>
        <v>41188.632615489369</v>
      </c>
      <c r="G91" s="599">
        <f t="shared" ref="G91:O91" si="81">G90/2204</f>
        <v>58202.723224484645</v>
      </c>
      <c r="H91" s="599">
        <f t="shared" si="81"/>
        <v>77468.713847819134</v>
      </c>
      <c r="I91" s="599">
        <f t="shared" si="81"/>
        <v>98800.705228373554</v>
      </c>
      <c r="J91" s="599">
        <f t="shared" si="81"/>
        <v>122089.66069781264</v>
      </c>
      <c r="K91" s="599">
        <f t="shared" si="81"/>
        <v>147441.48952167117</v>
      </c>
      <c r="L91" s="599">
        <f t="shared" si="81"/>
        <v>169562.36712213443</v>
      </c>
      <c r="M91" s="599">
        <f t="shared" si="81"/>
        <v>192954.57344560561</v>
      </c>
      <c r="N91" s="599">
        <f t="shared" si="81"/>
        <v>217475.53069143469</v>
      </c>
      <c r="O91" s="599">
        <f t="shared" si="81"/>
        <v>251732.51198219377</v>
      </c>
      <c r="P91" s="718">
        <f t="shared" ref="P91" si="82">P90/2204</f>
        <v>288391.09437934682</v>
      </c>
    </row>
    <row r="92" spans="2:20" s="198" customFormat="1" x14ac:dyDescent="0.3">
      <c r="B92" s="198" t="s">
        <v>327</v>
      </c>
      <c r="D92" s="568"/>
      <c r="E92" s="568"/>
      <c r="P92" s="719"/>
      <c r="Q92" s="198">
        <v>16672</v>
      </c>
      <c r="R92" s="600">
        <f>Q93/Q92-1</f>
        <v>0.34692898272552775</v>
      </c>
    </row>
    <row r="93" spans="2:20" s="175" customFormat="1" x14ac:dyDescent="0.3">
      <c r="B93" s="175" t="s">
        <v>39</v>
      </c>
      <c r="D93" s="557"/>
      <c r="E93" s="557">
        <f>E77-E45*3.412</f>
        <v>89859.97518249377</v>
      </c>
      <c r="F93" s="173">
        <f>F77-F45*3.412</f>
        <v>146582.61943507986</v>
      </c>
      <c r="G93" s="173">
        <f t="shared" ref="G93:O93" si="83">G77-G45*3.412</f>
        <v>211575.74847179325</v>
      </c>
      <c r="H93" s="173">
        <f t="shared" si="83"/>
        <v>285246.58150753728</v>
      </c>
      <c r="I93" s="173">
        <f>I77-I45*3.412</f>
        <v>366986.66928349982</v>
      </c>
      <c r="J93" s="173">
        <f t="shared" si="83"/>
        <v>456355.24584390869</v>
      </c>
      <c r="K93" s="173">
        <f t="shared" si="83"/>
        <v>553678.28332827007</v>
      </c>
      <c r="L93" s="173">
        <f t="shared" si="83"/>
        <v>659129.96067162091</v>
      </c>
      <c r="M93" s="173">
        <f t="shared" si="83"/>
        <v>773112.92187802459</v>
      </c>
      <c r="N93" s="173">
        <f t="shared" si="83"/>
        <v>895924.76838966506</v>
      </c>
      <c r="O93" s="173">
        <f t="shared" si="83"/>
        <v>1027636.8659467949</v>
      </c>
      <c r="P93" s="700">
        <f t="shared" ref="P93" si="84">P77-P45*3.412</f>
        <v>1168611.4580948558</v>
      </c>
      <c r="Q93" s="175">
        <v>22456</v>
      </c>
    </row>
    <row r="94" spans="2:20" s="175" customFormat="1" x14ac:dyDescent="0.3">
      <c r="B94" s="175" t="s">
        <v>40</v>
      </c>
      <c r="D94" s="557"/>
      <c r="E94" s="557">
        <f t="shared" ref="E94:O97" si="85">E78-E46*3.412</f>
        <v>127581.46604804471</v>
      </c>
      <c r="F94" s="173">
        <f t="shared" si="85"/>
        <v>209285.95132943179</v>
      </c>
      <c r="G94" s="173">
        <f t="shared" si="85"/>
        <v>302903.41618394328</v>
      </c>
      <c r="H94" s="173">
        <f t="shared" si="85"/>
        <v>409020.42770112131</v>
      </c>
      <c r="I94" s="173">
        <f t="shared" si="85"/>
        <v>526760.56281983864</v>
      </c>
      <c r="J94" s="173">
        <f t="shared" si="85"/>
        <v>655488.93302210618</v>
      </c>
      <c r="K94" s="173">
        <f t="shared" si="85"/>
        <v>795675.07540770818</v>
      </c>
      <c r="L94" s="173">
        <f t="shared" si="85"/>
        <v>888957.72944442392</v>
      </c>
      <c r="M94" s="173">
        <f t="shared" si="85"/>
        <v>984171.86050356156</v>
      </c>
      <c r="N94" s="173">
        <f t="shared" si="85"/>
        <v>1079368.1321933696</v>
      </c>
      <c r="O94" s="173">
        <f t="shared" si="85"/>
        <v>1269088.9972559407</v>
      </c>
      <c r="P94" s="700">
        <f t="shared" ref="P94" si="86">P78-P46*3.412</f>
        <v>1472151.7536027706</v>
      </c>
    </row>
    <row r="95" spans="2:20" s="175" customFormat="1" x14ac:dyDescent="0.3">
      <c r="B95" s="175" t="s">
        <v>41</v>
      </c>
      <c r="D95" s="557"/>
      <c r="E95" s="557">
        <f t="shared" si="85"/>
        <v>1718.9283752960002</v>
      </c>
      <c r="F95" s="173">
        <f t="shared" si="85"/>
        <v>3548.3344280102401</v>
      </c>
      <c r="G95" s="173">
        <f t="shared" si="85"/>
        <v>5644.4783086647503</v>
      </c>
      <c r="H95" s="173">
        <f t="shared" si="85"/>
        <v>8020.4935604210314</v>
      </c>
      <c r="I95" s="173">
        <f t="shared" si="85"/>
        <v>10656.756613688714</v>
      </c>
      <c r="J95" s="173">
        <f t="shared" si="85"/>
        <v>13539.051983312878</v>
      </c>
      <c r="K95" s="173">
        <f t="shared" si="85"/>
        <v>16677.892849926888</v>
      </c>
      <c r="L95" s="173">
        <f t="shared" si="85"/>
        <v>20078.89679363848</v>
      </c>
      <c r="M95" s="173">
        <f t="shared" si="85"/>
        <v>23755.049798931082</v>
      </c>
      <c r="N95" s="173">
        <f t="shared" si="85"/>
        <v>27715.950041044947</v>
      </c>
      <c r="O95" s="173">
        <f t="shared" si="85"/>
        <v>31963.899191894274</v>
      </c>
      <c r="P95" s="700">
        <f t="shared" ref="P95" si="87">P79-P47*3.412</f>
        <v>36510.580249394974</v>
      </c>
    </row>
    <row r="96" spans="2:20" s="175" customFormat="1" x14ac:dyDescent="0.3">
      <c r="B96" s="175" t="s">
        <v>42</v>
      </c>
      <c r="D96" s="557"/>
      <c r="E96" s="557">
        <f t="shared" si="85"/>
        <v>17335.513325035321</v>
      </c>
      <c r="F96" s="173">
        <f t="shared" si="85"/>
        <v>21309.73579138366</v>
      </c>
      <c r="G96" s="173">
        <f t="shared" si="85"/>
        <v>25863.4225417013</v>
      </c>
      <c r="H96" s="173">
        <f t="shared" si="85"/>
        <v>31025.105034172608</v>
      </c>
      <c r="I96" s="173">
        <f t="shared" si="85"/>
        <v>36752.152803559773</v>
      </c>
      <c r="J96" s="173">
        <f t="shared" si="85"/>
        <v>43013.683968615689</v>
      </c>
      <c r="K96" s="173">
        <f t="shared" si="85"/>
        <v>49832.537482236512</v>
      </c>
      <c r="L96" s="173">
        <f t="shared" si="85"/>
        <v>57220.917039188396</v>
      </c>
      <c r="M96" s="173">
        <f t="shared" si="85"/>
        <v>65207.033539509124</v>
      </c>
      <c r="N96" s="173">
        <f t="shared" si="85"/>
        <v>73811.738167996737</v>
      </c>
      <c r="O96" s="173">
        <f t="shared" si="85"/>
        <v>83040.031102833673</v>
      </c>
      <c r="P96" s="700">
        <f t="shared" ref="P96" si="88">P80-P48*3.412</f>
        <v>92917.292621254033</v>
      </c>
    </row>
    <row r="97" spans="2:16" s="175" customFormat="1" x14ac:dyDescent="0.3">
      <c r="B97" s="175" t="s">
        <v>43</v>
      </c>
      <c r="C97" s="185"/>
      <c r="D97" s="558"/>
      <c r="E97" s="557">
        <f t="shared" si="85"/>
        <v>33924.844799999999</v>
      </c>
      <c r="F97" s="173">
        <f t="shared" si="85"/>
        <v>40189.060912000001</v>
      </c>
      <c r="G97" s="173">
        <f t="shared" si="85"/>
        <v>46048.855023165852</v>
      </c>
      <c r="H97" s="173">
        <f t="shared" si="85"/>
        <v>52197.171611517588</v>
      </c>
      <c r="I97" s="173">
        <f t="shared" si="85"/>
        <v>57914.390449641527</v>
      </c>
      <c r="J97" s="173">
        <f t="shared" si="85"/>
        <v>63319.318313360374</v>
      </c>
      <c r="K97" s="173">
        <f t="shared" si="85"/>
        <v>68955.203572364</v>
      </c>
      <c r="L97" s="173">
        <f t="shared" si="85"/>
        <v>74714.497884701006</v>
      </c>
      <c r="M97" s="173">
        <f t="shared" si="85"/>
        <v>80759.073051243467</v>
      </c>
      <c r="N97" s="173">
        <f t="shared" si="85"/>
        <v>87014.504440111283</v>
      </c>
      <c r="O97" s="173">
        <f t="shared" si="85"/>
        <v>93320.499798974633</v>
      </c>
      <c r="P97" s="700">
        <f t="shared" ref="P97" si="89">P81-P49*3.412</f>
        <v>99883.151526816771</v>
      </c>
    </row>
    <row r="98" spans="2:16" s="175" customFormat="1" x14ac:dyDescent="0.3">
      <c r="B98" s="174" t="s">
        <v>44</v>
      </c>
      <c r="D98" s="565"/>
      <c r="E98" s="565">
        <f t="shared" ref="E98:O98" si="90">SUM(E93:E97)</f>
        <v>270420.72773086978</v>
      </c>
      <c r="F98" s="174">
        <f t="shared" si="90"/>
        <v>420915.70189590554</v>
      </c>
      <c r="G98" s="174">
        <f t="shared" si="90"/>
        <v>592035.92052926845</v>
      </c>
      <c r="H98" s="174">
        <f t="shared" si="90"/>
        <v>785509.77941476984</v>
      </c>
      <c r="I98" s="174">
        <f t="shared" si="90"/>
        <v>999070.53197022842</v>
      </c>
      <c r="J98" s="174">
        <f t="shared" si="90"/>
        <v>1231716.2331313039</v>
      </c>
      <c r="K98" s="174">
        <f t="shared" si="90"/>
        <v>1484818.9926405055</v>
      </c>
      <c r="L98" s="174">
        <f t="shared" si="90"/>
        <v>1700102.0018335728</v>
      </c>
      <c r="M98" s="174">
        <f t="shared" si="90"/>
        <v>1927005.93877127</v>
      </c>
      <c r="N98" s="174">
        <f t="shared" si="90"/>
        <v>2163835.0932321874</v>
      </c>
      <c r="O98" s="174">
        <f t="shared" si="90"/>
        <v>2505050.2932964382</v>
      </c>
      <c r="P98" s="717">
        <f t="shared" ref="P98" si="91">SUM(P93:P97)</f>
        <v>2870074.2360950918</v>
      </c>
    </row>
    <row r="100" spans="2:16" x14ac:dyDescent="0.3">
      <c r="E100" s="10"/>
    </row>
  </sheetData>
  <pageMargins left="0.7" right="0.7" top="0.75" bottom="0.75" header="0.3" footer="0.3"/>
  <pageSetup orientation="portrait"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8dbc17e-cec9-4211-a89f-0bf74a616302">
      <UserInfo>
        <DisplayName>Levenson, Keith</DisplayName>
        <AccountId>17</AccountId>
        <AccountType/>
      </UserInfo>
      <UserInfo>
        <DisplayName>Murphy, Barry</DisplayName>
        <AccountId>15</AccountId>
        <AccountType/>
      </UserInfo>
      <UserInfo>
        <DisplayName>Picotte, Philip</DisplayName>
        <AccountId>13</AccountId>
        <AccountType/>
      </UserInfo>
      <UserInfo>
        <DisplayName>Jacobs, Adam</DisplayName>
        <AccountId>91</AccountId>
        <AccountType/>
      </UserInfo>
      <UserInfo>
        <DisplayName>Poor, TJ</DisplayName>
        <AccountId>20</AccountId>
        <AccountType/>
      </UserInfo>
      <UserInfo>
        <DisplayName>Margolis, Anne</DisplayName>
        <AccountId>18</AccountId>
        <AccountType/>
      </UserInfo>
      <UserInfo>
        <DisplayName>McIlvennie, Claire</DisplayName>
        <AccountId>14</AccountId>
        <AccountType/>
      </UserInfo>
      <UserInfo>
        <DisplayName>Cecere, Lou</DisplayName>
        <AccountId>89</AccountId>
        <AccountType/>
      </UserInfo>
      <UserInfo>
        <DisplayName>Perchlik, Andrew</DisplayName>
        <AccountId>19</AccountId>
        <AccountType/>
      </UserInfo>
      <UserInfo>
        <DisplayName>Heine, Christopher</DisplayName>
        <AccountId>92</AccountId>
        <AccountType/>
      </UserInfo>
    </SharedWithUsers>
    <TaxCatchAll xmlns="18dbc17e-cec9-4211-a89f-0bf74a616302" xsi:nil="true"/>
    <lcf76f155ced4ddcb4097134ff3c332f xmlns="2819d22d-c924-42b3-954a-d3b43813cc6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8CAE338EA9D064E9C17BF7952C6204F" ma:contentTypeVersion="13" ma:contentTypeDescription="Create a new document." ma:contentTypeScope="" ma:versionID="fd4704273cff53b23d4bbedee60360be">
  <xsd:schema xmlns:xsd="http://www.w3.org/2001/XMLSchema" xmlns:xs="http://www.w3.org/2001/XMLSchema" xmlns:p="http://schemas.microsoft.com/office/2006/metadata/properties" xmlns:ns2="2819d22d-c924-42b3-954a-d3b43813cc67" xmlns:ns3="18dbc17e-cec9-4211-a89f-0bf74a616302" targetNamespace="http://schemas.microsoft.com/office/2006/metadata/properties" ma:root="true" ma:fieldsID="9b293ad1447e18ab5919ca53f64231fe" ns2:_="" ns3:_="">
    <xsd:import namespace="2819d22d-c924-42b3-954a-d3b43813cc67"/>
    <xsd:import namespace="18dbc17e-cec9-4211-a89f-0bf74a61630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9d22d-c924-42b3-954a-d3b43813cc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dbc17e-cec9-4211-a89f-0bf74a61630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29ce464a-492c-41bd-8c04-ef1f2b52060e}" ma:internalName="TaxCatchAll" ma:showField="CatchAllData" ma:web="18dbc17e-cec9-4211-a89f-0bf74a6163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0DDC38-89ED-48D1-BAA4-C5087420B2FF}">
  <ds:schemaRefs>
    <ds:schemaRef ds:uri="http://schemas.openxmlformats.org/package/2006/metadata/core-properties"/>
    <ds:schemaRef ds:uri="http://purl.org/dc/elements/1.1/"/>
    <ds:schemaRef ds:uri="http://schemas.microsoft.com/office/2006/metadata/properties"/>
    <ds:schemaRef ds:uri="2819d22d-c924-42b3-954a-d3b43813cc67"/>
    <ds:schemaRef ds:uri="http://purl.org/dc/terms/"/>
    <ds:schemaRef ds:uri="18dbc17e-cec9-4211-a89f-0bf74a616302"/>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493F452-8E09-490B-B2DB-751357F9FB7A}">
  <ds:schemaRefs>
    <ds:schemaRef ds:uri="http://schemas.microsoft.com/sharepoint/v3/contenttype/forms"/>
  </ds:schemaRefs>
</ds:datastoreItem>
</file>

<file path=customXml/itemProps3.xml><?xml version="1.0" encoding="utf-8"?>
<ds:datastoreItem xmlns:ds="http://schemas.openxmlformats.org/officeDocument/2006/customXml" ds:itemID="{F8D6A09D-D7DF-46E5-81D3-456D154C9E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9d22d-c924-42b3-954a-d3b43813cc67"/>
    <ds:schemaRef ds:uri="18dbc17e-cec9-4211-a89f-0bf74a6163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58</vt:i4>
      </vt:variant>
    </vt:vector>
  </HeadingPairs>
  <TitlesOfParts>
    <vt:vector size="76" baseType="lpstr">
      <vt:lpstr>Notes</vt:lpstr>
      <vt:lpstr>Core Assumptions</vt:lpstr>
      <vt:lpstr>Current Run &amp; Summary Results</vt:lpstr>
      <vt:lpstr>requirements</vt:lpstr>
      <vt:lpstr>loads</vt:lpstr>
      <vt:lpstr>impact</vt:lpstr>
      <vt:lpstr>Tier I</vt:lpstr>
      <vt:lpstr>Tier II</vt:lpstr>
      <vt:lpstr>Tier III</vt:lpstr>
      <vt:lpstr>price forecasts</vt:lpstr>
      <vt:lpstr>emissions</vt:lpstr>
      <vt:lpstr>AEO- reference</vt:lpstr>
      <vt:lpstr>Savings Calculator 2022</vt:lpstr>
      <vt:lpstr>annual RES req</vt:lpstr>
      <vt:lpstr>Tier III incentives</vt:lpstr>
      <vt:lpstr>Tier III PT</vt:lpstr>
      <vt:lpstr>Savings Calculator_2020</vt:lpstr>
      <vt:lpstr>Savings Calculator_2019</vt:lpstr>
      <vt:lpstr>'Savings Calculator 2022'!_ftn1</vt:lpstr>
      <vt:lpstr>'Savings Calculator_2019'!_ftn1</vt:lpstr>
      <vt:lpstr>'Savings Calculator 2022'!_ftn2</vt:lpstr>
      <vt:lpstr>'Savings Calculator_2019'!_ftn2</vt:lpstr>
      <vt:lpstr>'Savings Calculator 2022'!_ftn3</vt:lpstr>
      <vt:lpstr>'Savings Calculator_2019'!_ftn3</vt:lpstr>
      <vt:lpstr>'Savings Calculator 2022'!_ftn5</vt:lpstr>
      <vt:lpstr>'Savings Calculator_2019'!_ftn5</vt:lpstr>
      <vt:lpstr>'Savings Calculator 2022'!_ftn6</vt:lpstr>
      <vt:lpstr>'Savings Calculator_2019'!_ftn6</vt:lpstr>
      <vt:lpstr>'Savings Calculator 2022'!_ftnref3</vt:lpstr>
      <vt:lpstr>'Savings Calculator_2019'!_ftnref3</vt:lpstr>
      <vt:lpstr>'Savings Calculator 2022'!_ftnref4</vt:lpstr>
      <vt:lpstr>'Savings Calculator_2019'!_ftnref4</vt:lpstr>
      <vt:lpstr>'Savings Calculator 2022'!_ftnref5</vt:lpstr>
      <vt:lpstr>'Savings Calculator_2019'!_ftnref5</vt:lpstr>
      <vt:lpstr>'Savings Calculator 2022'!_ftnref6</vt:lpstr>
      <vt:lpstr>'Savings Calculator_2019'!_ftnref6</vt:lpstr>
      <vt:lpstr>base_year</vt:lpstr>
      <vt:lpstr>CCHP_incentive_escalation</vt:lpstr>
      <vt:lpstr>CCHP_LMP_multiplier</vt:lpstr>
      <vt:lpstr>COS_depreciation</vt:lpstr>
      <vt:lpstr>COS_inflation</vt:lpstr>
      <vt:lpstr>COS_market</vt:lpstr>
      <vt:lpstr>custom_incentive_escalation</vt:lpstr>
      <vt:lpstr>Custom_LMP_multiplier</vt:lpstr>
      <vt:lpstr>depreciation_rate</vt:lpstr>
      <vt:lpstr>discount_rate</vt:lpstr>
      <vt:lpstr>equip_cost_CCHP_space</vt:lpstr>
      <vt:lpstr>equip_cost_trend_CCHP</vt:lpstr>
      <vt:lpstr>EV_incentive_escalation</vt:lpstr>
      <vt:lpstr>EV_LMP_multiplier</vt:lpstr>
      <vt:lpstr>EV_rate</vt:lpstr>
      <vt:lpstr>FCM_coincidence</vt:lpstr>
      <vt:lpstr>FF_scenario</vt:lpstr>
      <vt:lpstr>fuel_cons_trans_EV</vt:lpstr>
      <vt:lpstr>High_FF_esc</vt:lpstr>
      <vt:lpstr>htg_load_baseline_space</vt:lpstr>
      <vt:lpstr>htg_load_baseline_water</vt:lpstr>
      <vt:lpstr>htg_load_CCHP_backup</vt:lpstr>
      <vt:lpstr>htg_load_CCHP_space</vt:lpstr>
      <vt:lpstr>inflation_rate</vt:lpstr>
      <vt:lpstr>Low_FF_esc</vt:lpstr>
      <vt:lpstr>Mid_FF_esc</vt:lpstr>
      <vt:lpstr>NM_escalation</vt:lpstr>
      <vt:lpstr>overhead_escalation</vt:lpstr>
      <vt:lpstr>'Core Assumptions'!Print_Area</vt:lpstr>
      <vt:lpstr>impact!Print_Area</vt:lpstr>
      <vt:lpstr>REC_scenario</vt:lpstr>
      <vt:lpstr>Retail_Rate_escalation</vt:lpstr>
      <vt:lpstr>Retail_Rate_yr1</vt:lpstr>
      <vt:lpstr>retail_sales_forecast</vt:lpstr>
      <vt:lpstr>retail_sales_scenario</vt:lpstr>
      <vt:lpstr>RNS_coincidence</vt:lpstr>
      <vt:lpstr>scenario</vt:lpstr>
      <vt:lpstr>Tier3_Overhead</vt:lpstr>
      <vt:lpstr>UEC_window_clg</vt:lpstr>
      <vt:lpstr>wx_incentive_escalation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Fischer, Maria</dc:creator>
  <cp:keywords/>
  <dc:description/>
  <cp:lastModifiedBy>Jacobs, Adam</cp:lastModifiedBy>
  <cp:revision/>
  <dcterms:created xsi:type="dcterms:W3CDTF">2018-10-10T17:04:59Z</dcterms:created>
  <dcterms:modified xsi:type="dcterms:W3CDTF">2023-01-11T17:24:46Z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0x010100D8CAE338EA9D064E9C17BF7952C6204F</vt:lpwstr>
  </property>
  <property fmtid="{D5CDD505-2E9C-101B-9397-08002B2CF9AE}" pid="3" name="MediaServiceImageTags">
    <vt:lpwstr/>
  </property>
</Properties>
</file>