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KWH &amp; Rev 2013" sheetId="1" r:id="rId1"/>
    <sheet name="Ranking" sheetId="2" r:id="rId2"/>
  </sheets>
  <definedNames>
    <definedName name="_Key1" hidden="1">'Ranking'!$A$57:$A$74</definedName>
    <definedName name="_Key2" hidden="1">'Ranking'!$F$57:$F$74</definedName>
    <definedName name="_Order1" hidden="1">255</definedName>
    <definedName name="_Order2" hidden="1">255</definedName>
    <definedName name="_Sort" hidden="1">'Ranking'!$A$57:$G$74</definedName>
    <definedName name="_xlnm.Print_Area" localSheetId="0">'KWH &amp; Rev 2013'!$B$93:$H$99</definedName>
    <definedName name="_xlnm.Print_Area" localSheetId="1">'Ranking'!$A$1:$G$101</definedName>
    <definedName name="T2.3A_D">'Ranking'!$A$3:$G$103</definedName>
  </definedNames>
  <calcPr fullCalcOnLoad="1"/>
</workbook>
</file>

<file path=xl/sharedStrings.xml><?xml version="1.0" encoding="utf-8"?>
<sst xmlns="http://schemas.openxmlformats.org/spreadsheetml/2006/main" count="224" uniqueCount="103">
  <si>
    <t xml:space="preserve">Company </t>
  </si>
  <si>
    <t xml:space="preserve">Residential Rev </t>
  </si>
  <si>
    <t>kWh</t>
  </si>
  <si>
    <t>Residential Customers</t>
  </si>
  <si>
    <t>Avg Res Use (kWh)</t>
  </si>
  <si>
    <t>Rev/kWh (cents)</t>
  </si>
  <si>
    <t>Rank by Rev/kWh</t>
  </si>
  <si>
    <t>Barton</t>
  </si>
  <si>
    <t>BED</t>
  </si>
  <si>
    <t>Enosburg</t>
  </si>
  <si>
    <t>GMP</t>
  </si>
  <si>
    <t>Hardwick</t>
  </si>
  <si>
    <t>Hyde Park</t>
  </si>
  <si>
    <t>Jacksonville</t>
  </si>
  <si>
    <t>Johnson</t>
  </si>
  <si>
    <t>Ludlow</t>
  </si>
  <si>
    <t>Lyndonville</t>
  </si>
  <si>
    <t>Morrisville</t>
  </si>
  <si>
    <t>Northfield</t>
  </si>
  <si>
    <t>Orleans</t>
  </si>
  <si>
    <t>Stowe</t>
  </si>
  <si>
    <t>Swanton</t>
  </si>
  <si>
    <t>VEC</t>
  </si>
  <si>
    <t>WEC</t>
  </si>
  <si>
    <t>Total</t>
  </si>
  <si>
    <t>Commercial Revenue</t>
  </si>
  <si>
    <t>Commercial Customers</t>
  </si>
  <si>
    <t>Avg  Com Use (kWh)</t>
  </si>
  <si>
    <t>Com Rev/kWh (cents)</t>
  </si>
  <si>
    <t xml:space="preserve"> </t>
  </si>
  <si>
    <t xml:space="preserve">Industrial Revenue </t>
  </si>
  <si>
    <t>Industrial Customers</t>
  </si>
  <si>
    <t>Avg Ind Use (kWh)</t>
  </si>
  <si>
    <t>Ind Rev/kWh (cents)</t>
  </si>
  <si>
    <t>Total Rate Revenue</t>
  </si>
  <si>
    <t>Total Customers</t>
  </si>
  <si>
    <t>-</t>
  </si>
  <si>
    <t>Residential</t>
  </si>
  <si>
    <t xml:space="preserve"> Vermont Electric Utilities: Revenue and Usage,</t>
  </si>
  <si>
    <t>Commercial</t>
  </si>
  <si>
    <t>Industrial</t>
  </si>
  <si>
    <t xml:space="preserve"> Vermont Electric Utilities: Revenue and Usage</t>
  </si>
  <si>
    <t>Totals</t>
  </si>
  <si>
    <t>STATE OF VERMONT</t>
  </si>
  <si>
    <t>Other and</t>
  </si>
  <si>
    <t>Total Sales</t>
  </si>
  <si>
    <t>Public Street</t>
  </si>
  <si>
    <t>to Ultimate</t>
  </si>
  <si>
    <t>Sales</t>
  </si>
  <si>
    <t>&amp; Highway</t>
  </si>
  <si>
    <t>Authorities</t>
  </si>
  <si>
    <t>Consumers</t>
  </si>
  <si>
    <t>for Resale</t>
  </si>
  <si>
    <t>check</t>
  </si>
  <si>
    <t>BARTON</t>
  </si>
  <si>
    <t>BURLINGTON</t>
  </si>
  <si>
    <t>ENOSBURG FALLS</t>
  </si>
  <si>
    <t>HARDWICK</t>
  </si>
  <si>
    <t>HYDE PARK</t>
  </si>
  <si>
    <t>JACKSONVILLE</t>
  </si>
  <si>
    <t>JOHNSON</t>
  </si>
  <si>
    <t>LUDLOW</t>
  </si>
  <si>
    <t>LYNDONVILLE</t>
  </si>
  <si>
    <t>MORRISVILLE</t>
  </si>
  <si>
    <t>NORTHFIELD</t>
  </si>
  <si>
    <t>ORLEANS</t>
  </si>
  <si>
    <t>STOWE</t>
  </si>
  <si>
    <t>SWANTON</t>
  </si>
  <si>
    <t>Total Rate</t>
  </si>
  <si>
    <t>Total Utility</t>
  </si>
  <si>
    <t>Number of</t>
  </si>
  <si>
    <t xml:space="preserve">Number of </t>
  </si>
  <si>
    <t>Electric Companies</t>
  </si>
  <si>
    <t>Vermont</t>
  </si>
  <si>
    <r>
      <t xml:space="preserve">CENTRAL VT </t>
    </r>
    <r>
      <rPr>
        <b/>
        <sz val="8"/>
        <rFont val="Arial"/>
        <family val="2"/>
      </rPr>
      <t>(See Note 1)</t>
    </r>
  </si>
  <si>
    <r>
      <t>GMP</t>
    </r>
    <r>
      <rPr>
        <b/>
        <sz val="8"/>
        <rFont val="Arial"/>
        <family val="2"/>
      </rPr>
      <t xml:space="preserve"> (see Note 1)</t>
    </r>
  </si>
  <si>
    <t>Public</t>
  </si>
  <si>
    <t xml:space="preserve"> Public</t>
  </si>
  <si>
    <t>Page 2 of 2</t>
  </si>
  <si>
    <t>Page 1 of 2</t>
  </si>
  <si>
    <t>Rounding +/- 1</t>
  </si>
  <si>
    <t>Comments</t>
  </si>
  <si>
    <t xml:space="preserve">VEC </t>
  </si>
  <si>
    <t>Sales for Resale</t>
  </si>
  <si>
    <t>5 lowest</t>
  </si>
  <si>
    <t>Total other Operating</t>
  </si>
  <si>
    <t xml:space="preserve">Total </t>
  </si>
  <si>
    <t>Problem</t>
  </si>
  <si>
    <t xml:space="preserve">    Central Vermont Public Service was sold to Green Mountain Power Corporation  October 1, 2012.</t>
  </si>
  <si>
    <t>VERMONT PUBLIC SERVICE DEPARTMENT</t>
  </si>
  <si>
    <t>Note 1- Central Vermont Public Service was sold to Green Mountain Power Corporation  October 1, 2012.</t>
  </si>
  <si>
    <t>kWh SALES 2013</t>
  </si>
  <si>
    <t xml:space="preserve">2013 Reports not in yet - Estimated Figures as at </t>
  </si>
  <si>
    <t>kWh 2013</t>
  </si>
  <si>
    <t>Revenue 2013</t>
  </si>
  <si>
    <t>Customers 2013</t>
  </si>
  <si>
    <t>Sources:   2013 Annual Reports sent to the DPS from the responding utilities</t>
  </si>
  <si>
    <t>Prepared by: Tod Ziegler, Utiltities Financial Analyst, Vermont Public Service Department</t>
  </si>
  <si>
    <t>RATE REVENUE 2013</t>
  </si>
  <si>
    <t>Two dollars 2013</t>
  </si>
  <si>
    <t>Note 1</t>
  </si>
  <si>
    <t>FILE:kWh Revenue &amp; Ranking 2013.xls</t>
  </si>
  <si>
    <t>Rounding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</si>
</sst>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&quot;$&quot;#,##0.00"/>
    <numFmt numFmtId="167" formatCode="&quot;$&quot;#,##0"/>
    <numFmt numFmtId="168" formatCode="_(* #,##0_);_(* \(#,##0\);_(* &quot;-&quot;??_);_(@_)"/>
  </numFmts>
  <fonts count="57">
    <font>
      <sz val="10"/>
      <name val="Genev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ms Rmn"/>
      <family val="0"/>
    </font>
    <font>
      <sz val="12"/>
      <color indexed="8"/>
      <name val="Arial"/>
      <family val="2"/>
    </font>
    <font>
      <sz val="10"/>
      <color indexed="8"/>
      <name val="Geneva"/>
      <family val="0"/>
    </font>
    <font>
      <sz val="10"/>
      <color indexed="8"/>
      <name val="Arial"/>
      <family val="2"/>
    </font>
    <font>
      <b/>
      <sz val="14"/>
      <name val="Geneva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0"/>
      <name val="Geneva"/>
      <family val="0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Geneva"/>
      <family val="0"/>
    </font>
    <font>
      <b/>
      <i/>
      <sz val="12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0" fontId="6" fillId="0" borderId="0" xfId="0" applyNumberFormat="1" applyFont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4" fontId="5" fillId="0" borderId="0" xfId="0" applyFont="1" applyAlignment="1" applyProtection="1">
      <alignment horizontal="centerContinuous"/>
      <protection/>
    </xf>
    <xf numFmtId="164" fontId="7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9" fontId="8" fillId="0" borderId="0" xfId="0" applyNumberFormat="1" applyFont="1" applyAlignment="1" applyProtection="1">
      <alignment/>
      <protection/>
    </xf>
    <xf numFmtId="164" fontId="10" fillId="0" borderId="0" xfId="0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Continuous"/>
      <protection/>
    </xf>
    <xf numFmtId="39" fontId="10" fillId="0" borderId="0" xfId="0" applyNumberFormat="1" applyFont="1" applyAlignment="1" applyProtection="1">
      <alignment horizontal="centerContinuous"/>
      <protection/>
    </xf>
    <xf numFmtId="164" fontId="9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Continuous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/>
    </xf>
    <xf numFmtId="164" fontId="10" fillId="0" borderId="0" xfId="0" applyFont="1" applyFill="1" applyAlignment="1" applyProtection="1">
      <alignment horizontal="centerContinuous" vertical="center"/>
      <protection/>
    </xf>
    <xf numFmtId="164" fontId="4" fillId="0" borderId="0" xfId="0" applyFont="1" applyFill="1" applyAlignment="1" applyProtection="1">
      <alignment horizontal="centerContinuous" vertical="center"/>
      <protection/>
    </xf>
    <xf numFmtId="164" fontId="4" fillId="0" borderId="0" xfId="0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 locked="0"/>
    </xf>
    <xf numFmtId="164" fontId="10" fillId="0" borderId="0" xfId="0" applyFont="1" applyFill="1" applyAlignment="1" applyProtection="1">
      <alignment/>
      <protection/>
    </xf>
    <xf numFmtId="5" fontId="4" fillId="0" borderId="0" xfId="0" applyNumberFormat="1" applyFont="1" applyFill="1" applyAlignment="1" applyProtection="1">
      <alignment/>
      <protection locked="0"/>
    </xf>
    <xf numFmtId="37" fontId="4" fillId="0" borderId="0" xfId="0" applyNumberFormat="1" applyFont="1" applyFill="1" applyAlignment="1" applyProtection="1">
      <alignment/>
      <protection locked="0"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4" fillId="0" borderId="0" xfId="0" applyFont="1" applyFill="1" applyBorder="1" applyAlignment="1">
      <alignment horizontal="center"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/>
      <protection/>
    </xf>
    <xf numFmtId="5" fontId="4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1" fillId="0" borderId="0" xfId="0" applyFont="1" applyBorder="1" applyAlignment="1" applyProtection="1">
      <alignment/>
      <protection/>
    </xf>
    <xf numFmtId="164" fontId="12" fillId="0" borderId="0" xfId="0" applyFont="1" applyFill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11" fillId="0" borderId="0" xfId="0" applyFont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0" fontId="13" fillId="0" borderId="0" xfId="55" applyNumberFormat="1" applyFont="1" applyAlignment="1">
      <alignment/>
      <protection/>
    </xf>
    <xf numFmtId="0" fontId="9" fillId="0" borderId="0" xfId="55" applyNumberFormat="1" applyFont="1" applyAlignment="1">
      <alignment/>
      <protection/>
    </xf>
    <xf numFmtId="14" fontId="9" fillId="0" borderId="0" xfId="55" applyNumberFormat="1" applyFont="1" applyAlignment="1">
      <alignment horizontal="left"/>
      <protection/>
    </xf>
    <xf numFmtId="14" fontId="9" fillId="0" borderId="0" xfId="55" applyNumberFormat="1" applyFont="1" applyAlignment="1">
      <alignment/>
      <protection/>
    </xf>
    <xf numFmtId="22" fontId="9" fillId="0" borderId="0" xfId="55" applyNumberFormat="1" applyFont="1" applyAlignment="1">
      <alignment/>
      <protection/>
    </xf>
    <xf numFmtId="0" fontId="9" fillId="0" borderId="0" xfId="55" applyNumberFormat="1" applyFont="1" applyProtection="1">
      <alignment/>
      <protection locked="0"/>
    </xf>
    <xf numFmtId="0" fontId="9" fillId="0" borderId="0" xfId="55" applyNumberFormat="1" applyFont="1" applyAlignment="1" applyProtection="1">
      <alignment/>
      <protection locked="0"/>
    </xf>
    <xf numFmtId="3" fontId="9" fillId="0" borderId="0" xfId="55" applyNumberFormat="1" applyFont="1">
      <alignment/>
      <protection/>
    </xf>
    <xf numFmtId="0" fontId="9" fillId="0" borderId="0" xfId="55" applyNumberFormat="1" applyFont="1" applyFill="1" applyProtection="1">
      <alignment/>
      <protection locked="0"/>
    </xf>
    <xf numFmtId="0" fontId="9" fillId="0" borderId="0" xfId="55" applyNumberFormat="1" applyFont="1" applyFill="1" applyAlignment="1">
      <alignment/>
      <protection/>
    </xf>
    <xf numFmtId="4" fontId="9" fillId="0" borderId="0" xfId="55" applyNumberFormat="1" applyFont="1" applyProtection="1">
      <alignment/>
      <protection locked="0"/>
    </xf>
    <xf numFmtId="0" fontId="13" fillId="0" borderId="10" xfId="55" applyNumberFormat="1" applyFont="1" applyBorder="1" applyAlignment="1" applyProtection="1">
      <alignment horizontal="center"/>
      <protection locked="0"/>
    </xf>
    <xf numFmtId="0" fontId="13" fillId="0" borderId="10" xfId="55" applyNumberFormat="1" applyFont="1" applyBorder="1" applyAlignment="1">
      <alignment horizontal="center"/>
      <protection/>
    </xf>
    <xf numFmtId="0" fontId="13" fillId="0" borderId="11" xfId="55" applyNumberFormat="1" applyFont="1" applyBorder="1" applyAlignment="1" applyProtection="1">
      <alignment horizontal="center"/>
      <protection locked="0"/>
    </xf>
    <xf numFmtId="0" fontId="13" fillId="0" borderId="11" xfId="55" applyNumberFormat="1" applyFont="1" applyBorder="1" applyAlignment="1">
      <alignment horizontal="center"/>
      <protection/>
    </xf>
    <xf numFmtId="0" fontId="9" fillId="0" borderId="10" xfId="55" applyNumberFormat="1" applyFont="1" applyBorder="1" applyAlignment="1">
      <alignment horizontal="center"/>
      <protection/>
    </xf>
    <xf numFmtId="0" fontId="9" fillId="0" borderId="11" xfId="55" applyNumberFormat="1" applyFont="1" applyBorder="1" applyAlignment="1">
      <alignment horizontal="center"/>
      <protection/>
    </xf>
    <xf numFmtId="0" fontId="14" fillId="0" borderId="0" xfId="55" applyNumberFormat="1" applyFont="1" applyBorder="1" applyAlignment="1" applyProtection="1">
      <alignment horizontal="center"/>
      <protection locked="0"/>
    </xf>
    <xf numFmtId="0" fontId="9" fillId="0" borderId="11" xfId="55" applyNumberFormat="1" applyFont="1" applyBorder="1" applyAlignment="1">
      <alignment/>
      <protection/>
    </xf>
    <xf numFmtId="0" fontId="13" fillId="0" borderId="10" xfId="55" applyNumberFormat="1" applyFont="1" applyBorder="1" applyAlignment="1">
      <alignment/>
      <protection/>
    </xf>
    <xf numFmtId="0" fontId="13" fillId="0" borderId="11" xfId="55" applyNumberFormat="1" applyFont="1" applyBorder="1" applyAlignment="1">
      <alignment/>
      <protection/>
    </xf>
    <xf numFmtId="0" fontId="13" fillId="0" borderId="11" xfId="55" applyNumberFormat="1" applyFont="1" applyBorder="1" applyProtection="1">
      <alignment/>
      <protection locked="0"/>
    </xf>
    <xf numFmtId="0" fontId="9" fillId="0" borderId="10" xfId="55" applyNumberFormat="1" applyFont="1" applyBorder="1" applyProtection="1">
      <alignment/>
      <protection locked="0"/>
    </xf>
    <xf numFmtId="3" fontId="9" fillId="0" borderId="10" xfId="55" applyNumberFormat="1" applyFont="1" applyBorder="1" applyProtection="1">
      <alignment/>
      <protection locked="0"/>
    </xf>
    <xf numFmtId="166" fontId="9" fillId="0" borderId="10" xfId="55" applyNumberFormat="1" applyFont="1" applyBorder="1" applyProtection="1">
      <alignment/>
      <protection locked="0"/>
    </xf>
    <xf numFmtId="0" fontId="9" fillId="0" borderId="0" xfId="55" applyNumberFormat="1" applyFont="1" applyBorder="1" applyAlignment="1">
      <alignment/>
      <protection/>
    </xf>
    <xf numFmtId="0" fontId="13" fillId="0" borderId="12" xfId="55" applyNumberFormat="1" applyFont="1" applyBorder="1" applyAlignment="1">
      <alignment/>
      <protection/>
    </xf>
    <xf numFmtId="164" fontId="2" fillId="0" borderId="0" xfId="0" applyFont="1" applyAlignment="1">
      <alignment/>
    </xf>
    <xf numFmtId="164" fontId="15" fillId="0" borderId="0" xfId="0" applyFont="1" applyAlignment="1">
      <alignment/>
    </xf>
    <xf numFmtId="0" fontId="9" fillId="0" borderId="13" xfId="55" applyNumberFormat="1" applyFont="1" applyBorder="1" applyAlignment="1">
      <alignment/>
      <protection/>
    </xf>
    <xf numFmtId="0" fontId="9" fillId="0" borderId="14" xfId="55" applyNumberFormat="1" applyFont="1" applyBorder="1" applyAlignment="1">
      <alignment/>
      <protection/>
    </xf>
    <xf numFmtId="166" fontId="9" fillId="0" borderId="0" xfId="55" applyNumberFormat="1" applyFont="1" applyBorder="1" applyProtection="1">
      <alignment/>
      <protection locked="0"/>
    </xf>
    <xf numFmtId="0" fontId="13" fillId="0" borderId="15" xfId="55" applyNumberFormat="1" applyFont="1" applyBorder="1" applyAlignment="1">
      <alignment/>
      <protection/>
    </xf>
    <xf numFmtId="0" fontId="9" fillId="0" borderId="10" xfId="55" applyNumberFormat="1" applyFont="1" applyBorder="1" applyAlignment="1">
      <alignment/>
      <protection/>
    </xf>
    <xf numFmtId="0" fontId="9" fillId="0" borderId="11" xfId="55" applyNumberFormat="1" applyFont="1" applyBorder="1" applyProtection="1">
      <alignment/>
      <protection locked="0"/>
    </xf>
    <xf numFmtId="0" fontId="9" fillId="0" borderId="12" xfId="55" applyNumberFormat="1" applyFont="1" applyBorder="1" applyAlignment="1" applyProtection="1">
      <alignment horizontal="center"/>
      <protection locked="0"/>
    </xf>
    <xf numFmtId="0" fontId="13" fillId="0" borderId="14" xfId="55" applyNumberFormat="1" applyFont="1" applyBorder="1" applyAlignment="1">
      <alignment horizontal="center"/>
      <protection/>
    </xf>
    <xf numFmtId="0" fontId="9" fillId="0" borderId="13" xfId="55" applyNumberFormat="1" applyFont="1" applyBorder="1" applyProtection="1">
      <alignment/>
      <protection locked="0"/>
    </xf>
    <xf numFmtId="3" fontId="9" fillId="0" borderId="0" xfId="55" applyNumberFormat="1" applyFont="1" applyBorder="1" applyProtection="1">
      <alignment/>
      <protection locked="0"/>
    </xf>
    <xf numFmtId="164" fontId="10" fillId="0" borderId="0" xfId="0" applyFont="1" applyBorder="1" applyAlignment="1" applyProtection="1">
      <alignment horizontal="centerContinuous"/>
      <protection/>
    </xf>
    <xf numFmtId="164" fontId="0" fillId="0" borderId="0" xfId="0" applyBorder="1" applyAlignment="1">
      <alignment horizontal="centerContinuous"/>
    </xf>
    <xf numFmtId="164" fontId="10" fillId="0" borderId="16" xfId="0" applyFont="1" applyBorder="1" applyAlignment="1" applyProtection="1">
      <alignment horizontal="center" vertical="center" wrapText="1"/>
      <protection/>
    </xf>
    <xf numFmtId="37" fontId="10" fillId="0" borderId="16" xfId="0" applyNumberFormat="1" applyFont="1" applyBorder="1" applyAlignment="1" applyProtection="1">
      <alignment horizontal="center" vertical="center" wrapText="1"/>
      <protection/>
    </xf>
    <xf numFmtId="39" fontId="10" fillId="0" borderId="16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>
      <alignment horizontal="centerContinuous"/>
    </xf>
    <xf numFmtId="164" fontId="10" fillId="0" borderId="16" xfId="0" applyFont="1" applyFill="1" applyBorder="1" applyAlignment="1" applyProtection="1">
      <alignment horizontal="center" vertical="center" wrapText="1"/>
      <protection/>
    </xf>
    <xf numFmtId="37" fontId="10" fillId="0" borderId="16" xfId="0" applyNumberFormat="1" applyFont="1" applyFill="1" applyBorder="1" applyAlignment="1" applyProtection="1">
      <alignment horizontal="center" vertical="center" wrapText="1"/>
      <protection/>
    </xf>
    <xf numFmtId="164" fontId="10" fillId="0" borderId="17" xfId="0" applyFont="1" applyBorder="1" applyAlignment="1" applyProtection="1">
      <alignment horizontal="center" vertical="center" wrapText="1"/>
      <protection/>
    </xf>
    <xf numFmtId="164" fontId="10" fillId="0" borderId="18" xfId="0" applyFont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Continuous"/>
      <protection/>
    </xf>
    <xf numFmtId="164" fontId="10" fillId="0" borderId="19" xfId="0" applyFont="1" applyFill="1" applyBorder="1" applyAlignment="1" applyProtection="1">
      <alignment horizontal="center" vertical="center" wrapText="1"/>
      <protection/>
    </xf>
    <xf numFmtId="37" fontId="10" fillId="0" borderId="19" xfId="0" applyNumberFormat="1" applyFont="1" applyFill="1" applyBorder="1" applyAlignment="1" applyProtection="1">
      <alignment horizontal="center" vertical="center" wrapText="1"/>
      <protection/>
    </xf>
    <xf numFmtId="39" fontId="10" fillId="0" borderId="19" xfId="0" applyNumberFormat="1" applyFont="1" applyFill="1" applyBorder="1" applyAlignment="1" applyProtection="1">
      <alignment horizontal="center" vertical="center" wrapText="1"/>
      <protection/>
    </xf>
    <xf numFmtId="39" fontId="10" fillId="0" borderId="16" xfId="0" applyNumberFormat="1" applyFont="1" applyFill="1" applyBorder="1" applyAlignment="1" applyProtection="1">
      <alignment horizontal="center" vertical="center" wrapText="1"/>
      <protection/>
    </xf>
    <xf numFmtId="39" fontId="4" fillId="0" borderId="20" xfId="0" applyNumberFormat="1" applyFont="1" applyFill="1" applyBorder="1" applyAlignment="1" applyProtection="1">
      <alignment/>
      <protection/>
    </xf>
    <xf numFmtId="164" fontId="16" fillId="0" borderId="0" xfId="0" applyFont="1" applyAlignment="1">
      <alignment/>
    </xf>
    <xf numFmtId="14" fontId="13" fillId="0" borderId="0" xfId="55" applyNumberFormat="1" applyFont="1" applyAlignment="1">
      <alignment horizontal="left"/>
      <protection/>
    </xf>
    <xf numFmtId="164" fontId="10" fillId="0" borderId="13" xfId="0" applyFont="1" applyFill="1" applyBorder="1" applyAlignment="1" applyProtection="1">
      <alignment horizontal="centerContinuous"/>
      <protection/>
    </xf>
    <xf numFmtId="164" fontId="10" fillId="0" borderId="21" xfId="0" applyFont="1" applyFill="1" applyBorder="1" applyAlignment="1" applyProtection="1">
      <alignment horizontal="centerContinuous"/>
      <protection/>
    </xf>
    <xf numFmtId="37" fontId="10" fillId="0" borderId="21" xfId="0" applyNumberFormat="1" applyFont="1" applyFill="1" applyBorder="1" applyAlignment="1" applyProtection="1">
      <alignment horizontal="centerContinuous"/>
      <protection/>
    </xf>
    <xf numFmtId="39" fontId="10" fillId="0" borderId="21" xfId="0" applyNumberFormat="1" applyFont="1" applyFill="1" applyBorder="1" applyAlignment="1" applyProtection="1">
      <alignment horizontal="centerContinuous"/>
      <protection/>
    </xf>
    <xf numFmtId="164" fontId="10" fillId="0" borderId="22" xfId="0" applyFont="1" applyFill="1" applyBorder="1" applyAlignment="1" applyProtection="1">
      <alignment horizontal="centerContinuous"/>
      <protection/>
    </xf>
    <xf numFmtId="164" fontId="10" fillId="0" borderId="14" xfId="0" applyFont="1" applyFill="1" applyBorder="1" applyAlignment="1" applyProtection="1">
      <alignment horizontal="centerContinuous"/>
      <protection/>
    </xf>
    <xf numFmtId="37" fontId="10" fillId="0" borderId="0" xfId="0" applyNumberFormat="1" applyFont="1" applyFill="1" applyBorder="1" applyAlignment="1" applyProtection="1">
      <alignment horizontal="centerContinuous"/>
      <protection/>
    </xf>
    <xf numFmtId="39" fontId="10" fillId="0" borderId="0" xfId="0" applyNumberFormat="1" applyFont="1" applyFill="1" applyBorder="1" applyAlignment="1" applyProtection="1">
      <alignment horizontal="centerContinuous"/>
      <protection/>
    </xf>
    <xf numFmtId="164" fontId="10" fillId="0" borderId="23" xfId="0" applyFont="1" applyFill="1" applyBorder="1" applyAlignment="1" applyProtection="1">
      <alignment horizontal="centerContinuous"/>
      <protection/>
    </xf>
    <xf numFmtId="164" fontId="10" fillId="0" borderId="15" xfId="0" applyFont="1" applyFill="1" applyBorder="1" applyAlignment="1" applyProtection="1">
      <alignment horizontal="centerContinuous"/>
      <protection/>
    </xf>
    <xf numFmtId="164" fontId="5" fillId="0" borderId="24" xfId="0" applyFont="1" applyFill="1" applyBorder="1" applyAlignment="1">
      <alignment horizontal="centerContinuous"/>
    </xf>
    <xf numFmtId="164" fontId="4" fillId="0" borderId="20" xfId="0" applyFont="1" applyFill="1" applyBorder="1" applyAlignment="1" applyProtection="1">
      <alignment horizontal="centerContinuous"/>
      <protection/>
    </xf>
    <xf numFmtId="164" fontId="5" fillId="0" borderId="20" xfId="0" applyFont="1" applyFill="1" applyBorder="1" applyAlignment="1">
      <alignment horizontal="centerContinuous"/>
    </xf>
    <xf numFmtId="164" fontId="5" fillId="0" borderId="23" xfId="0" applyFont="1" applyFill="1" applyBorder="1" applyAlignment="1">
      <alignment horizontal="centerContinuous"/>
    </xf>
    <xf numFmtId="39" fontId="4" fillId="0" borderId="24" xfId="0" applyNumberFormat="1" applyFont="1" applyFill="1" applyBorder="1" applyAlignment="1" applyProtection="1">
      <alignment/>
      <protection/>
    </xf>
    <xf numFmtId="164" fontId="10" fillId="0" borderId="24" xfId="0" applyFont="1" applyFill="1" applyBorder="1" applyAlignment="1" applyProtection="1">
      <alignment horizontal="centerContinuous"/>
      <protection/>
    </xf>
    <xf numFmtId="0" fontId="13" fillId="0" borderId="21" xfId="55" applyNumberFormat="1" applyFont="1" applyBorder="1" applyAlignment="1">
      <alignment/>
      <protection/>
    </xf>
    <xf numFmtId="0" fontId="13" fillId="0" borderId="0" xfId="55" applyNumberFormat="1" applyFont="1" applyBorder="1" applyAlignment="1">
      <alignment/>
      <protection/>
    </xf>
    <xf numFmtId="0" fontId="13" fillId="0" borderId="0" xfId="55" applyNumberFormat="1" applyFont="1" applyBorder="1" applyAlignment="1" applyProtection="1">
      <alignment horizontal="center"/>
      <protection locked="0"/>
    </xf>
    <xf numFmtId="0" fontId="18" fillId="0" borderId="0" xfId="55" applyNumberFormat="1" applyFont="1" applyAlignment="1">
      <alignment/>
      <protection/>
    </xf>
    <xf numFmtId="14" fontId="15" fillId="0" borderId="0" xfId="55" applyNumberFormat="1" applyFont="1" applyAlignment="1">
      <alignment horizontal="left"/>
      <protection/>
    </xf>
    <xf numFmtId="164" fontId="22" fillId="0" borderId="15" xfId="0" applyFont="1" applyFill="1" applyBorder="1" applyAlignment="1" applyProtection="1">
      <alignment/>
      <protection/>
    </xf>
    <xf numFmtId="167" fontId="22" fillId="0" borderId="24" xfId="0" applyNumberFormat="1" applyFont="1" applyFill="1" applyBorder="1" applyAlignment="1">
      <alignment/>
    </xf>
    <xf numFmtId="37" fontId="22" fillId="0" borderId="24" xfId="0" applyNumberFormat="1" applyFont="1" applyFill="1" applyBorder="1" applyAlignment="1" applyProtection="1">
      <alignment/>
      <protection locked="0"/>
    </xf>
    <xf numFmtId="168" fontId="22" fillId="0" borderId="24" xfId="42" applyNumberFormat="1" applyFont="1" applyFill="1" applyBorder="1" applyAlignment="1" applyProtection="1">
      <alignment/>
      <protection locked="0"/>
    </xf>
    <xf numFmtId="164" fontId="22" fillId="0" borderId="0" xfId="0" applyFont="1" applyFill="1" applyAlignment="1" applyProtection="1">
      <alignment/>
      <protection/>
    </xf>
    <xf numFmtId="164" fontId="22" fillId="0" borderId="0" xfId="0" applyFont="1" applyFill="1" applyAlignment="1" applyProtection="1">
      <alignment/>
      <protection locked="0"/>
    </xf>
    <xf numFmtId="4" fontId="9" fillId="0" borderId="0" xfId="55" applyNumberFormat="1" applyFont="1" applyProtection="1" quotePrefix="1">
      <alignment/>
      <protection locked="0"/>
    </xf>
    <xf numFmtId="0" fontId="13" fillId="0" borderId="14" xfId="55" applyNumberFormat="1" applyFont="1" applyFill="1" applyBorder="1" applyAlignment="1" applyProtection="1">
      <alignment/>
      <protection locked="0"/>
    </xf>
    <xf numFmtId="0" fontId="13" fillId="0" borderId="11" xfId="55" applyNumberFormat="1" applyFont="1" applyFill="1" applyBorder="1" applyAlignment="1" applyProtection="1">
      <alignment/>
      <protection locked="0"/>
    </xf>
    <xf numFmtId="0" fontId="13" fillId="0" borderId="15" xfId="55" applyNumberFormat="1" applyFont="1" applyFill="1" applyBorder="1" applyAlignment="1" applyProtection="1">
      <alignment/>
      <protection locked="0"/>
    </xf>
    <xf numFmtId="0" fontId="13" fillId="0" borderId="12" xfId="55" applyNumberFormat="1" applyFont="1" applyFill="1" applyBorder="1" applyAlignment="1" applyProtection="1">
      <alignment/>
      <protection locked="0"/>
    </xf>
    <xf numFmtId="3" fontId="13" fillId="0" borderId="11" xfId="55" applyNumberFormat="1" applyFont="1" applyBorder="1">
      <alignment/>
      <protection/>
    </xf>
    <xf numFmtId="3" fontId="13" fillId="0" borderId="11" xfId="55" applyNumberFormat="1" applyFont="1" applyBorder="1" applyProtection="1">
      <alignment/>
      <protection locked="0"/>
    </xf>
    <xf numFmtId="3" fontId="13" fillId="0" borderId="11" xfId="55" applyNumberFormat="1" applyFont="1" applyFill="1" applyBorder="1" applyProtection="1">
      <alignment/>
      <protection locked="0"/>
    </xf>
    <xf numFmtId="3" fontId="13" fillId="0" borderId="11" xfId="55" applyNumberFormat="1" applyFont="1" applyFill="1" applyBorder="1">
      <alignment/>
      <protection/>
    </xf>
    <xf numFmtId="3" fontId="13" fillId="0" borderId="12" xfId="55" applyNumberFormat="1" applyFont="1" applyBorder="1">
      <alignment/>
      <protection/>
    </xf>
    <xf numFmtId="3" fontId="13" fillId="0" borderId="12" xfId="55" applyNumberFormat="1" applyFont="1" applyBorder="1" applyProtection="1">
      <alignment/>
      <protection locked="0"/>
    </xf>
    <xf numFmtId="3" fontId="13" fillId="0" borderId="0" xfId="55" applyNumberFormat="1" applyFont="1" applyBorder="1">
      <alignment/>
      <protection/>
    </xf>
    <xf numFmtId="3" fontId="13" fillId="0" borderId="24" xfId="55" applyNumberFormat="1" applyFont="1" applyBorder="1" applyProtection="1">
      <alignment/>
      <protection locked="0"/>
    </xf>
    <xf numFmtId="0" fontId="21" fillId="0" borderId="0" xfId="55" applyNumberFormat="1" applyFont="1" applyAlignment="1">
      <alignment/>
      <protection/>
    </xf>
    <xf numFmtId="167" fontId="13" fillId="0" borderId="11" xfId="55" applyNumberFormat="1" applyFont="1" applyBorder="1" applyProtection="1">
      <alignment/>
      <protection locked="0"/>
    </xf>
    <xf numFmtId="167" fontId="13" fillId="0" borderId="11" xfId="55" applyNumberFormat="1" applyFont="1" applyFill="1" applyBorder="1" applyProtection="1">
      <alignment/>
      <protection locked="0"/>
    </xf>
    <xf numFmtId="167" fontId="13" fillId="0" borderId="12" xfId="55" applyNumberFormat="1" applyFont="1" applyBorder="1" applyProtection="1">
      <alignment/>
      <protection locked="0"/>
    </xf>
    <xf numFmtId="167" fontId="13" fillId="0" borderId="13" xfId="55" applyNumberFormat="1" applyFont="1" applyBorder="1">
      <alignment/>
      <protection/>
    </xf>
    <xf numFmtId="167" fontId="13" fillId="0" borderId="10" xfId="55" applyNumberFormat="1" applyFont="1" applyBorder="1">
      <alignment/>
      <protection/>
    </xf>
    <xf numFmtId="166" fontId="13" fillId="0" borderId="10" xfId="55" applyNumberFormat="1" applyFont="1" applyBorder="1">
      <alignment/>
      <protection/>
    </xf>
    <xf numFmtId="167" fontId="13" fillId="0" borderId="15" xfId="55" applyNumberFormat="1" applyFont="1" applyBorder="1" applyProtection="1">
      <alignment/>
      <protection locked="0"/>
    </xf>
    <xf numFmtId="164" fontId="10" fillId="0" borderId="10" xfId="0" applyFont="1" applyFill="1" applyBorder="1" applyAlignment="1" applyProtection="1">
      <alignment horizontal="left"/>
      <protection/>
    </xf>
    <xf numFmtId="167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7" fontId="10" fillId="0" borderId="10" xfId="0" applyNumberFormat="1" applyFont="1" applyFill="1" applyBorder="1" applyAlignment="1" applyProtection="1">
      <alignment/>
      <protection/>
    </xf>
    <xf numFmtId="39" fontId="10" fillId="0" borderId="10" xfId="0" applyNumberFormat="1" applyFont="1" applyFill="1" applyBorder="1" applyAlignment="1" applyProtection="1">
      <alignment/>
      <protection/>
    </xf>
    <xf numFmtId="164" fontId="10" fillId="0" borderId="10" xfId="0" applyFont="1" applyFill="1" applyBorder="1" applyAlignment="1">
      <alignment horizontal="center"/>
    </xf>
    <xf numFmtId="164" fontId="10" fillId="0" borderId="11" xfId="0" applyFont="1" applyFill="1" applyBorder="1" applyAlignment="1" applyProtection="1">
      <alignment horizontal="left"/>
      <protection/>
    </xf>
    <xf numFmtId="167" fontId="13" fillId="0" borderId="11" xfId="0" applyNumberFormat="1" applyFont="1" applyBorder="1" applyAlignment="1">
      <alignment/>
    </xf>
    <xf numFmtId="37" fontId="10" fillId="0" borderId="11" xfId="0" applyNumberFormat="1" applyFont="1" applyFill="1" applyBorder="1" applyAlignment="1" applyProtection="1">
      <alignment/>
      <protection/>
    </xf>
    <xf numFmtId="39" fontId="10" fillId="0" borderId="11" xfId="0" applyNumberFormat="1" applyFont="1" applyFill="1" applyBorder="1" applyAlignment="1" applyProtection="1">
      <alignment/>
      <protection/>
    </xf>
    <xf numFmtId="164" fontId="10" fillId="0" borderId="11" xfId="0" applyFont="1" applyFill="1" applyBorder="1" applyAlignment="1">
      <alignment horizontal="center"/>
    </xf>
    <xf numFmtId="164" fontId="10" fillId="0" borderId="12" xfId="0" applyFont="1" applyFill="1" applyBorder="1" applyAlignment="1" applyProtection="1">
      <alignment horizontal="left"/>
      <protection/>
    </xf>
    <xf numFmtId="167" fontId="13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7" fontId="10" fillId="0" borderId="12" xfId="0" applyNumberFormat="1" applyFont="1" applyFill="1" applyBorder="1" applyAlignment="1" applyProtection="1">
      <alignment/>
      <protection/>
    </xf>
    <xf numFmtId="39" fontId="10" fillId="0" borderId="12" xfId="0" applyNumberFormat="1" applyFont="1" applyFill="1" applyBorder="1" applyAlignment="1" applyProtection="1">
      <alignment/>
      <protection/>
    </xf>
    <xf numFmtId="164" fontId="10" fillId="0" borderId="12" xfId="0" applyFont="1" applyFill="1" applyBorder="1" applyAlignment="1">
      <alignment horizontal="center"/>
    </xf>
    <xf numFmtId="164" fontId="10" fillId="0" borderId="12" xfId="0" applyFont="1" applyFill="1" applyBorder="1" applyAlignment="1" applyProtection="1">
      <alignment/>
      <protection/>
    </xf>
    <xf numFmtId="167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164" fontId="10" fillId="0" borderId="20" xfId="0" applyFont="1" applyFill="1" applyBorder="1" applyAlignment="1" applyProtection="1">
      <alignment/>
      <protection/>
    </xf>
    <xf numFmtId="3" fontId="13" fillId="0" borderId="13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1" xfId="0" applyNumberFormat="1" applyFont="1" applyFill="1" applyBorder="1" applyAlignment="1" quotePrefix="1">
      <alignment horizontal="right"/>
    </xf>
    <xf numFmtId="164" fontId="10" fillId="0" borderId="15" xfId="0" applyFont="1" applyFill="1" applyBorder="1" applyAlignment="1" applyProtection="1">
      <alignment horizontal="center" vertical="center" wrapText="1"/>
      <protection/>
    </xf>
    <xf numFmtId="164" fontId="10" fillId="0" borderId="12" xfId="0" applyFont="1" applyFill="1" applyBorder="1" applyAlignment="1" applyProtection="1">
      <alignment horizontal="center" vertical="center" wrapText="1"/>
      <protection/>
    </xf>
    <xf numFmtId="39" fontId="10" fillId="0" borderId="12" xfId="0" applyNumberFormat="1" applyFont="1" applyFill="1" applyBorder="1" applyAlignment="1" applyProtection="1">
      <alignment horizontal="center" vertical="center" wrapText="1"/>
      <protection/>
    </xf>
    <xf numFmtId="165" fontId="10" fillId="0" borderId="12" xfId="0" applyNumberFormat="1" applyFont="1" applyFill="1" applyBorder="1" applyAlignment="1" applyProtection="1">
      <alignment horizontal="right"/>
      <protection/>
    </xf>
    <xf numFmtId="39" fontId="10" fillId="0" borderId="20" xfId="0" applyNumberFormat="1" applyFont="1" applyFill="1" applyBorder="1" applyAlignment="1" applyProtection="1">
      <alignment/>
      <protection/>
    </xf>
    <xf numFmtId="0" fontId="23" fillId="0" borderId="0" xfId="55" applyNumberFormat="1" applyFont="1" applyAlignment="1">
      <alignment/>
      <protection/>
    </xf>
    <xf numFmtId="0" fontId="23" fillId="0" borderId="0" xfId="55" applyNumberFormat="1" applyFont="1" applyFill="1" applyAlignment="1">
      <alignment/>
      <protection/>
    </xf>
    <xf numFmtId="0" fontId="21" fillId="0" borderId="0" xfId="55" applyNumberFormat="1" applyFont="1" applyFill="1" applyAlignment="1">
      <alignment/>
      <protection/>
    </xf>
    <xf numFmtId="164" fontId="10" fillId="33" borderId="11" xfId="0" applyFont="1" applyFill="1" applyBorder="1" applyAlignment="1">
      <alignment horizontal="center"/>
    </xf>
    <xf numFmtId="164" fontId="10" fillId="33" borderId="11" xfId="0" applyFont="1" applyFill="1" applyBorder="1" applyAlignment="1" applyProtection="1">
      <alignment horizontal="left"/>
      <protection/>
    </xf>
    <xf numFmtId="167" fontId="13" fillId="33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7" fontId="10" fillId="33" borderId="11" xfId="0" applyNumberFormat="1" applyFont="1" applyFill="1" applyBorder="1" applyAlignment="1" applyProtection="1">
      <alignment/>
      <protection/>
    </xf>
    <xf numFmtId="39" fontId="10" fillId="33" borderId="11" xfId="0" applyNumberFormat="1" applyFont="1" applyFill="1" applyBorder="1" applyAlignment="1" applyProtection="1">
      <alignment/>
      <protection/>
    </xf>
    <xf numFmtId="3" fontId="13" fillId="33" borderId="14" xfId="0" applyNumberFormat="1" applyFont="1" applyFill="1" applyBorder="1" applyAlignment="1">
      <alignment/>
    </xf>
    <xf numFmtId="164" fontId="20" fillId="33" borderId="0" xfId="0" applyFont="1" applyFill="1" applyAlignment="1">
      <alignment/>
    </xf>
    <xf numFmtId="14" fontId="13" fillId="0" borderId="14" xfId="55" applyNumberFormat="1" applyFont="1" applyBorder="1" applyAlignment="1">
      <alignment horizontal="left"/>
      <protection/>
    </xf>
    <xf numFmtId="39" fontId="4" fillId="0" borderId="0" xfId="0" applyNumberFormat="1" applyFont="1" applyFill="1" applyBorder="1" applyAlignment="1" applyProtection="1">
      <alignment/>
      <protection/>
    </xf>
    <xf numFmtId="164" fontId="10" fillId="0" borderId="23" xfId="0" applyFont="1" applyFill="1" applyBorder="1" applyAlignment="1" applyProtection="1">
      <alignment/>
      <protection/>
    </xf>
    <xf numFmtId="164" fontId="20" fillId="33" borderId="25" xfId="0" applyFont="1" applyFill="1" applyBorder="1" applyAlignment="1">
      <alignment/>
    </xf>
    <xf numFmtId="164" fontId="4" fillId="0" borderId="25" xfId="0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9" fontId="4" fillId="0" borderId="25" xfId="0" applyNumberFormat="1" applyFont="1" applyFill="1" applyBorder="1" applyAlignment="1" applyProtection="1">
      <alignment/>
      <protection/>
    </xf>
    <xf numFmtId="14" fontId="13" fillId="0" borderId="12" xfId="55" applyNumberFormat="1" applyFont="1" applyBorder="1" applyAlignment="1" applyProtection="1">
      <alignment horizontal="center"/>
      <protection locked="0"/>
    </xf>
    <xf numFmtId="164" fontId="13" fillId="0" borderId="12" xfId="55" applyNumberFormat="1" applyFont="1" applyBorder="1" applyAlignment="1" applyProtection="1">
      <alignment horizontal="center"/>
      <protection locked="0"/>
    </xf>
    <xf numFmtId="0" fontId="9" fillId="0" borderId="0" xfId="55" applyNumberFormat="1" applyFont="1" applyAlignment="1">
      <alignment/>
      <protection/>
    </xf>
    <xf numFmtId="0" fontId="9" fillId="0" borderId="0" xfId="55" applyNumberFormat="1" applyFont="1" applyAlignment="1" applyProtection="1">
      <alignment/>
      <protection locked="0"/>
    </xf>
    <xf numFmtId="0" fontId="9" fillId="34" borderId="0" xfId="55" applyNumberFormat="1" applyFont="1" applyFill="1" applyAlignment="1">
      <alignment/>
      <protection/>
    </xf>
    <xf numFmtId="0" fontId="9" fillId="0" borderId="0" xfId="55" applyNumberFormat="1" applyFont="1" applyFill="1" applyAlignment="1">
      <alignment/>
      <protection/>
    </xf>
    <xf numFmtId="0" fontId="13" fillId="34" borderId="0" xfId="55" applyNumberFormat="1" applyFont="1" applyFill="1" applyAlignment="1">
      <alignment/>
      <protection/>
    </xf>
    <xf numFmtId="0" fontId="13" fillId="35" borderId="0" xfId="55" applyNumberFormat="1" applyFont="1" applyFill="1" applyAlignment="1">
      <alignment/>
      <protection/>
    </xf>
    <xf numFmtId="0" fontId="9" fillId="0" borderId="0" xfId="55" applyNumberFormat="1" applyFont="1" applyProtection="1">
      <alignment/>
      <protection locked="0"/>
    </xf>
    <xf numFmtId="0" fontId="9" fillId="34" borderId="0" xfId="55" applyNumberFormat="1" applyFont="1" applyFill="1" applyAlignment="1">
      <alignment horizontal="center"/>
      <protection/>
    </xf>
    <xf numFmtId="0" fontId="13" fillId="0" borderId="15" xfId="55" applyNumberFormat="1" applyFont="1" applyBorder="1" applyAlignment="1">
      <alignment horizontal="right"/>
      <protection/>
    </xf>
    <xf numFmtId="0" fontId="19" fillId="0" borderId="0" xfId="55" applyNumberFormat="1" applyFont="1" applyFill="1" applyAlignment="1">
      <alignment/>
      <protection/>
    </xf>
    <xf numFmtId="0" fontId="19" fillId="0" borderId="0" xfId="55" applyNumberFormat="1" applyFont="1" applyAlignment="1">
      <alignment/>
      <protection/>
    </xf>
    <xf numFmtId="0" fontId="15" fillId="0" borderId="0" xfId="55" applyNumberFormat="1" applyFont="1" applyAlignment="1">
      <alignment/>
      <protection/>
    </xf>
    <xf numFmtId="0" fontId="2" fillId="0" borderId="0" xfId="55" applyNumberFormat="1" applyFont="1" applyFill="1" applyAlignment="1">
      <alignment/>
      <protection/>
    </xf>
    <xf numFmtId="16" fontId="9" fillId="0" borderId="0" xfId="55" applyNumberFormat="1" applyFont="1" applyAlignment="1">
      <alignment/>
      <protection/>
    </xf>
    <xf numFmtId="16" fontId="9" fillId="0" borderId="0" xfId="55" applyNumberFormat="1" applyFont="1" applyProtection="1">
      <alignment/>
      <protection locked="0"/>
    </xf>
    <xf numFmtId="16" fontId="9" fillId="0" borderId="0" xfId="55" applyNumberFormat="1" applyFont="1" applyFill="1" applyProtection="1">
      <alignment/>
      <protection locked="0"/>
    </xf>
    <xf numFmtId="16" fontId="9" fillId="0" borderId="0" xfId="55" applyNumberFormat="1" applyFont="1" applyAlignment="1" quotePrefix="1">
      <alignment/>
      <protection/>
    </xf>
    <xf numFmtId="16" fontId="9" fillId="0" borderId="0" xfId="55" applyNumberFormat="1" applyFont="1" applyProtection="1">
      <alignment/>
      <protection locked="0"/>
    </xf>
    <xf numFmtId="16" fontId="9" fillId="0" borderId="0" xfId="55" applyNumberFormat="1" applyFont="1" applyFill="1" applyAlignment="1">
      <alignment/>
      <protection/>
    </xf>
    <xf numFmtId="167" fontId="9" fillId="0" borderId="0" xfId="55" applyNumberFormat="1" applyFont="1" applyAlignment="1">
      <alignment/>
      <protection/>
    </xf>
    <xf numFmtId="0" fontId="9" fillId="0" borderId="0" xfId="55" applyNumberFormat="1" applyFont="1" applyFill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wh &amp; Revenue 20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105</xdr:row>
      <xdr:rowOff>0</xdr:rowOff>
    </xdr:from>
    <xdr:to>
      <xdr:col>9</xdr:col>
      <xdr:colOff>171450</xdr:colOff>
      <xdr:row>105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21612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9"/>
  <sheetViews>
    <sheetView tabSelected="1" showOutlineSymbols="0" zoomScale="90" zoomScaleNormal="90" zoomScalePageLayoutView="0" workbookViewId="0" topLeftCell="A1">
      <selection activeCell="B5" sqref="B5"/>
    </sheetView>
  </sheetViews>
  <sheetFormatPr defaultColWidth="11.125" defaultRowHeight="12.75"/>
  <cols>
    <col min="1" max="1" width="5.625" style="42" customWidth="1"/>
    <col min="2" max="2" width="27.625" style="42" customWidth="1"/>
    <col min="3" max="3" width="17.25390625" style="42" customWidth="1"/>
    <col min="4" max="4" width="21.375" style="42" customWidth="1"/>
    <col min="5" max="5" width="18.875" style="42" customWidth="1"/>
    <col min="6" max="6" width="20.25390625" style="42" customWidth="1"/>
    <col min="7" max="7" width="18.875" style="42" customWidth="1"/>
    <col min="8" max="8" width="21.375" style="42" customWidth="1"/>
    <col min="9" max="9" width="22.75390625" style="42" customWidth="1"/>
    <col min="10" max="10" width="20.625" style="42" customWidth="1"/>
    <col min="11" max="11" width="21.375" style="42" customWidth="1"/>
    <col min="12" max="12" width="18.875" style="42" customWidth="1"/>
    <col min="13" max="13" width="21.375" style="42" customWidth="1"/>
    <col min="14" max="14" width="18.875" style="42" customWidth="1"/>
    <col min="15" max="16" width="11.125" style="42" customWidth="1"/>
    <col min="17" max="17" width="11.625" style="42" bestFit="1" customWidth="1"/>
    <col min="18" max="16384" width="11.125" style="42" customWidth="1"/>
  </cols>
  <sheetData>
    <row r="1" spans="2:4" ht="15.75">
      <c r="B1" s="202" t="s">
        <v>92</v>
      </c>
      <c r="C1" s="200"/>
      <c r="D1" s="205"/>
    </row>
    <row r="2" spans="2:3" ht="15.75">
      <c r="B2" s="203" t="s">
        <v>87</v>
      </c>
      <c r="C2" s="201"/>
    </row>
    <row r="3" spans="2:3" ht="15">
      <c r="B3" s="118" t="s">
        <v>93</v>
      </c>
      <c r="C3" s="69" t="s">
        <v>95</v>
      </c>
    </row>
    <row r="4" spans="2:3" ht="15">
      <c r="B4" s="118" t="s">
        <v>94</v>
      </c>
      <c r="C4" s="68"/>
    </row>
    <row r="5" ht="15">
      <c r="B5" s="50"/>
    </row>
    <row r="6" spans="2:3" ht="15.75">
      <c r="B6" s="41" t="s">
        <v>89</v>
      </c>
      <c r="C6" s="41"/>
    </row>
    <row r="7" spans="2:3" ht="15.75">
      <c r="B7" s="41" t="s">
        <v>43</v>
      </c>
      <c r="C7" s="41"/>
    </row>
    <row r="8" spans="2:5" ht="15.75">
      <c r="B8" s="97">
        <f ca="1">NOW()</f>
        <v>41849.52375891204</v>
      </c>
      <c r="D8" s="44"/>
      <c r="E8" s="45"/>
    </row>
    <row r="9" ht="18">
      <c r="G9" s="58" t="s">
        <v>91</v>
      </c>
    </row>
    <row r="10" ht="15.75" thickBot="1"/>
    <row r="11" spans="2:14" ht="15.75">
      <c r="B11" s="70"/>
      <c r="C11" s="56"/>
      <c r="D11" s="56"/>
      <c r="E11" s="56"/>
      <c r="F11" s="56"/>
      <c r="G11" s="56"/>
      <c r="H11" s="56"/>
      <c r="I11" s="53"/>
      <c r="J11" s="52" t="s">
        <v>44</v>
      </c>
      <c r="K11" s="52" t="s">
        <v>45</v>
      </c>
      <c r="L11" s="53"/>
      <c r="M11" s="53"/>
      <c r="N11" s="56"/>
    </row>
    <row r="12" spans="2:14" ht="15.75">
      <c r="B12" s="71"/>
      <c r="C12" s="57"/>
      <c r="D12" s="55" t="s">
        <v>70</v>
      </c>
      <c r="E12" s="57"/>
      <c r="F12" s="55" t="s">
        <v>70</v>
      </c>
      <c r="G12" s="57"/>
      <c r="H12" s="55" t="s">
        <v>71</v>
      </c>
      <c r="I12" s="54" t="s">
        <v>46</v>
      </c>
      <c r="J12" s="54" t="s">
        <v>77</v>
      </c>
      <c r="K12" s="54" t="s">
        <v>47</v>
      </c>
      <c r="L12" s="55"/>
      <c r="M12" s="54" t="s">
        <v>48</v>
      </c>
      <c r="N12" s="57"/>
    </row>
    <row r="13" spans="2:15" ht="15.75">
      <c r="B13" s="77" t="s">
        <v>73</v>
      </c>
      <c r="C13" s="54" t="s">
        <v>37</v>
      </c>
      <c r="D13" s="55" t="s">
        <v>37</v>
      </c>
      <c r="E13" s="54" t="s">
        <v>39</v>
      </c>
      <c r="F13" s="55" t="s">
        <v>39</v>
      </c>
      <c r="G13" s="54" t="s">
        <v>40</v>
      </c>
      <c r="H13" s="55" t="s">
        <v>40</v>
      </c>
      <c r="I13" s="54" t="s">
        <v>49</v>
      </c>
      <c r="J13" s="54" t="s">
        <v>50</v>
      </c>
      <c r="K13" s="54" t="s">
        <v>51</v>
      </c>
      <c r="L13" s="54" t="s">
        <v>24</v>
      </c>
      <c r="M13" s="54" t="s">
        <v>52</v>
      </c>
      <c r="N13" s="57" t="s">
        <v>53</v>
      </c>
      <c r="O13" s="42" t="s">
        <v>81</v>
      </c>
    </row>
    <row r="14" spans="2:15" ht="16.5" thickBot="1">
      <c r="B14" s="73" t="s">
        <v>72</v>
      </c>
      <c r="C14" s="196" t="str">
        <f>B3</f>
        <v>kWh 2013</v>
      </c>
      <c r="D14" s="197" t="str">
        <f>C3</f>
        <v>Customers 2013</v>
      </c>
      <c r="E14" s="196" t="str">
        <f>B3</f>
        <v>kWh 2013</v>
      </c>
      <c r="F14" s="197" t="str">
        <f>C3</f>
        <v>Customers 2013</v>
      </c>
      <c r="G14" s="196" t="str">
        <f>B3</f>
        <v>kWh 2013</v>
      </c>
      <c r="H14" s="197" t="str">
        <f>C3</f>
        <v>Customers 2013</v>
      </c>
      <c r="I14" s="196" t="str">
        <f>B3</f>
        <v>kWh 2013</v>
      </c>
      <c r="J14" s="196" t="str">
        <f>B3</f>
        <v>kWh 2013</v>
      </c>
      <c r="K14" s="196" t="str">
        <f>B3</f>
        <v>kWh 2013</v>
      </c>
      <c r="L14" s="197" t="str">
        <f>C3</f>
        <v>Customers 2013</v>
      </c>
      <c r="M14" s="196" t="str">
        <f>B3</f>
        <v>kWh 2013</v>
      </c>
      <c r="N14" s="76" t="s">
        <v>2</v>
      </c>
      <c r="O14" s="125" t="s">
        <v>80</v>
      </c>
    </row>
    <row r="15" spans="2:14" ht="15">
      <c r="B15" s="78"/>
      <c r="C15" s="64"/>
      <c r="D15" s="64"/>
      <c r="E15" s="79"/>
      <c r="F15" s="64"/>
      <c r="G15" s="64"/>
      <c r="H15" s="64"/>
      <c r="I15" s="64"/>
      <c r="J15" s="64"/>
      <c r="K15" s="64"/>
      <c r="L15" s="64"/>
      <c r="M15" s="64"/>
      <c r="N15" s="74"/>
    </row>
    <row r="16" spans="2:15" ht="15.75">
      <c r="B16" s="126" t="s">
        <v>54</v>
      </c>
      <c r="C16" s="130">
        <v>10436557</v>
      </c>
      <c r="D16" s="130">
        <v>1953</v>
      </c>
      <c r="E16" s="130">
        <v>2817949</v>
      </c>
      <c r="F16" s="130">
        <v>185</v>
      </c>
      <c r="G16" s="130">
        <v>0</v>
      </c>
      <c r="H16" s="130">
        <v>0</v>
      </c>
      <c r="I16" s="130">
        <v>67060</v>
      </c>
      <c r="J16" s="130">
        <f>600126+203919</f>
        <v>804045</v>
      </c>
      <c r="K16" s="131">
        <f>C16+E16+G16++I16+J16</f>
        <v>14125611</v>
      </c>
      <c r="L16" s="130">
        <v>2167</v>
      </c>
      <c r="M16" s="130">
        <v>0</v>
      </c>
      <c r="N16" s="130">
        <f>K16+M16</f>
        <v>14125611</v>
      </c>
      <c r="O16" s="211"/>
    </row>
    <row r="17" spans="2:15" ht="15.75">
      <c r="B17" s="126" t="s">
        <v>55</v>
      </c>
      <c r="C17" s="130">
        <v>85660305</v>
      </c>
      <c r="D17" s="130">
        <v>16631</v>
      </c>
      <c r="E17" s="130">
        <v>210311150</v>
      </c>
      <c r="F17" s="130">
        <v>3778</v>
      </c>
      <c r="G17" s="130">
        <v>41782894</v>
      </c>
      <c r="H17" s="130">
        <v>2</v>
      </c>
      <c r="I17" s="130">
        <v>4607172</v>
      </c>
      <c r="J17" s="130">
        <v>0</v>
      </c>
      <c r="K17" s="131">
        <f aca="true" t="shared" si="0" ref="K17:K33">C17+E17+G17++I17+J17</f>
        <v>342361521</v>
      </c>
      <c r="L17" s="130">
        <v>20412</v>
      </c>
      <c r="M17" s="130">
        <v>0</v>
      </c>
      <c r="N17" s="130">
        <f aca="true" t="shared" si="1" ref="N17:N33">K17+M17</f>
        <v>342361521</v>
      </c>
      <c r="O17" s="211"/>
    </row>
    <row r="18" spans="2:14" ht="15.75">
      <c r="B18" s="127" t="s">
        <v>74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f t="shared" si="0"/>
        <v>0</v>
      </c>
      <c r="L18" s="130">
        <v>0</v>
      </c>
      <c r="M18" s="130">
        <v>0</v>
      </c>
      <c r="N18" s="130">
        <f t="shared" si="1"/>
        <v>0</v>
      </c>
    </row>
    <row r="19" spans="2:15" ht="15.75">
      <c r="B19" s="126" t="s">
        <v>56</v>
      </c>
      <c r="C19" s="130">
        <f>4020334+9719456</f>
        <v>13739790</v>
      </c>
      <c r="D19" s="130">
        <f>579+913</f>
        <v>1492</v>
      </c>
      <c r="E19" s="130">
        <v>1674806</v>
      </c>
      <c r="F19" s="130">
        <v>133</v>
      </c>
      <c r="G19" s="130">
        <v>11080801</v>
      </c>
      <c r="H19" s="130">
        <v>24</v>
      </c>
      <c r="I19" s="130">
        <v>171890</v>
      </c>
      <c r="J19" s="130">
        <v>1121613</v>
      </c>
      <c r="K19" s="131">
        <f t="shared" si="0"/>
        <v>27788900</v>
      </c>
      <c r="L19" s="130">
        <v>1694</v>
      </c>
      <c r="M19" s="130">
        <v>0</v>
      </c>
      <c r="N19" s="130">
        <f t="shared" si="1"/>
        <v>27788900</v>
      </c>
      <c r="O19" s="211"/>
    </row>
    <row r="20" spans="2:15" ht="15.75">
      <c r="B20" s="127" t="s">
        <v>75</v>
      </c>
      <c r="C20" s="130">
        <v>1583593000</v>
      </c>
      <c r="D20" s="130">
        <v>220367</v>
      </c>
      <c r="E20" s="130">
        <v>1571957000</v>
      </c>
      <c r="F20" s="130">
        <v>38212</v>
      </c>
      <c r="G20" s="130">
        <v>1184281000</v>
      </c>
      <c r="H20" s="130">
        <v>67</v>
      </c>
      <c r="I20" s="130">
        <v>8438000</v>
      </c>
      <c r="J20" s="130">
        <v>53000</v>
      </c>
      <c r="K20" s="131">
        <f t="shared" si="0"/>
        <v>4348322000</v>
      </c>
      <c r="L20" s="130">
        <v>258872</v>
      </c>
      <c r="M20" s="130">
        <v>505173000</v>
      </c>
      <c r="N20" s="130">
        <f t="shared" si="1"/>
        <v>4853495000</v>
      </c>
      <c r="O20" s="211"/>
    </row>
    <row r="21" spans="2:15" ht="15.75">
      <c r="B21" s="126" t="s">
        <v>57</v>
      </c>
      <c r="C21" s="130">
        <v>23441694</v>
      </c>
      <c r="D21" s="130">
        <v>4008</v>
      </c>
      <c r="E21" s="130">
        <v>4613503</v>
      </c>
      <c r="F21" s="130">
        <v>416</v>
      </c>
      <c r="G21" s="130">
        <v>4171699</v>
      </c>
      <c r="H21" s="130">
        <v>25</v>
      </c>
      <c r="I21" s="130">
        <v>149218</v>
      </c>
      <c r="J21" s="130">
        <v>61199</v>
      </c>
      <c r="K21" s="131">
        <f t="shared" si="0"/>
        <v>32437313</v>
      </c>
      <c r="L21" s="130">
        <v>4467</v>
      </c>
      <c r="M21" s="130">
        <v>0</v>
      </c>
      <c r="N21" s="130">
        <f t="shared" si="1"/>
        <v>32437313</v>
      </c>
      <c r="O21" s="211"/>
    </row>
    <row r="22" spans="2:18" ht="15.75">
      <c r="B22" s="126" t="s">
        <v>58</v>
      </c>
      <c r="C22" s="130">
        <v>8150349</v>
      </c>
      <c r="D22" s="130">
        <v>1172</v>
      </c>
      <c r="E22" s="130">
        <v>2431235</v>
      </c>
      <c r="F22" s="130">
        <v>126</v>
      </c>
      <c r="G22" s="130">
        <v>0</v>
      </c>
      <c r="H22" s="130">
        <v>0</v>
      </c>
      <c r="I22" s="130">
        <v>22944</v>
      </c>
      <c r="J22" s="130">
        <f>460687+25244</f>
        <v>485931</v>
      </c>
      <c r="K22" s="132">
        <f t="shared" si="0"/>
        <v>11090459</v>
      </c>
      <c r="L22" s="130">
        <v>1374</v>
      </c>
      <c r="M22" s="130">
        <v>0</v>
      </c>
      <c r="N22" s="130">
        <f t="shared" si="1"/>
        <v>11090459</v>
      </c>
      <c r="O22" s="213"/>
      <c r="P22" s="50"/>
      <c r="Q22" s="50"/>
      <c r="R22" s="50"/>
    </row>
    <row r="23" spans="2:15" ht="15.75">
      <c r="B23" s="126" t="s">
        <v>59</v>
      </c>
      <c r="C23" s="130">
        <v>3507259</v>
      </c>
      <c r="D23" s="130">
        <v>649</v>
      </c>
      <c r="E23" s="130">
        <v>569997</v>
      </c>
      <c r="F23" s="130">
        <v>47</v>
      </c>
      <c r="G23" s="130">
        <v>773319</v>
      </c>
      <c r="H23" s="130">
        <v>5</v>
      </c>
      <c r="I23" s="130">
        <v>17274</v>
      </c>
      <c r="J23" s="130">
        <v>0</v>
      </c>
      <c r="K23" s="132">
        <f t="shared" si="0"/>
        <v>4867849</v>
      </c>
      <c r="L23" s="130">
        <v>702</v>
      </c>
      <c r="M23" s="130">
        <v>0</v>
      </c>
      <c r="N23" s="130">
        <f t="shared" si="1"/>
        <v>4867849</v>
      </c>
      <c r="O23" s="213"/>
    </row>
    <row r="24" spans="2:15" ht="15.75">
      <c r="B24" s="126" t="s">
        <v>60</v>
      </c>
      <c r="C24" s="130">
        <v>5119730</v>
      </c>
      <c r="D24" s="130">
        <v>766</v>
      </c>
      <c r="E24" s="130">
        <v>1062354</v>
      </c>
      <c r="F24" s="41">
        <v>98</v>
      </c>
      <c r="G24" s="130">
        <f>2188301+4077900</f>
        <v>6266201</v>
      </c>
      <c r="H24" s="130">
        <v>13</v>
      </c>
      <c r="I24" s="130">
        <v>69110</v>
      </c>
      <c r="J24" s="130">
        <v>845117</v>
      </c>
      <c r="K24" s="132">
        <f t="shared" si="0"/>
        <v>13362512</v>
      </c>
      <c r="L24" s="130">
        <v>937</v>
      </c>
      <c r="M24" s="130">
        <v>0</v>
      </c>
      <c r="N24" s="130">
        <f t="shared" si="1"/>
        <v>13362512</v>
      </c>
      <c r="O24" s="211"/>
    </row>
    <row r="25" spans="2:15" ht="15.75">
      <c r="B25" s="126" t="s">
        <v>61</v>
      </c>
      <c r="C25" s="130">
        <v>16666431</v>
      </c>
      <c r="D25" s="130">
        <v>2996</v>
      </c>
      <c r="E25" s="130">
        <v>20491384</v>
      </c>
      <c r="F25" s="130">
        <v>685</v>
      </c>
      <c r="G25" s="130">
        <v>11531436</v>
      </c>
      <c r="H25" s="130">
        <v>4</v>
      </c>
      <c r="I25" s="130">
        <v>347378</v>
      </c>
      <c r="J25" s="130">
        <v>57594</v>
      </c>
      <c r="K25" s="131">
        <f t="shared" si="0"/>
        <v>49094223</v>
      </c>
      <c r="L25" s="130">
        <v>3689</v>
      </c>
      <c r="M25" s="130">
        <v>0</v>
      </c>
      <c r="N25" s="130">
        <f t="shared" si="1"/>
        <v>49094223</v>
      </c>
      <c r="O25" s="211"/>
    </row>
    <row r="26" spans="2:15" ht="15.75">
      <c r="B26" s="126" t="s">
        <v>62</v>
      </c>
      <c r="C26" s="133">
        <f>31622167+714927</f>
        <v>32337094</v>
      </c>
      <c r="D26" s="133">
        <f>4778+12</f>
        <v>4790</v>
      </c>
      <c r="E26" s="133">
        <v>10364477</v>
      </c>
      <c r="F26" s="133">
        <v>812</v>
      </c>
      <c r="G26" s="133">
        <f>14923613+6764331</f>
        <v>21687944</v>
      </c>
      <c r="H26" s="133">
        <v>40</v>
      </c>
      <c r="I26" s="133">
        <v>485659</v>
      </c>
      <c r="J26" s="133">
        <v>0</v>
      </c>
      <c r="K26" s="132">
        <f t="shared" si="0"/>
        <v>64875174</v>
      </c>
      <c r="L26" s="133">
        <v>5642</v>
      </c>
      <c r="M26" s="133">
        <v>0</v>
      </c>
      <c r="N26" s="133">
        <f t="shared" si="1"/>
        <v>64875174</v>
      </c>
      <c r="O26" s="214"/>
    </row>
    <row r="27" spans="2:15" ht="15.75">
      <c r="B27" s="126" t="s">
        <v>63</v>
      </c>
      <c r="C27" s="130">
        <v>20906666</v>
      </c>
      <c r="D27" s="130">
        <v>3308</v>
      </c>
      <c r="E27" s="130">
        <v>23642348</v>
      </c>
      <c r="F27" s="130">
        <v>586</v>
      </c>
      <c r="G27" s="130">
        <v>0</v>
      </c>
      <c r="H27" s="130">
        <v>0</v>
      </c>
      <c r="I27" s="130">
        <v>115315</v>
      </c>
      <c r="J27" s="130">
        <v>0</v>
      </c>
      <c r="K27" s="131">
        <f t="shared" si="0"/>
        <v>44664329</v>
      </c>
      <c r="L27" s="130">
        <v>3896</v>
      </c>
      <c r="M27" s="130">
        <v>0</v>
      </c>
      <c r="N27" s="130">
        <f t="shared" si="1"/>
        <v>44664329</v>
      </c>
      <c r="O27" s="214"/>
    </row>
    <row r="28" spans="2:15" ht="15.75">
      <c r="B28" s="126" t="s">
        <v>64</v>
      </c>
      <c r="C28" s="130">
        <v>10653940</v>
      </c>
      <c r="D28" s="130">
        <v>1625</v>
      </c>
      <c r="E28" s="130">
        <v>2262253</v>
      </c>
      <c r="F28" s="130">
        <v>170</v>
      </c>
      <c r="G28" s="130">
        <f>5877770+8341225</f>
        <v>14218995</v>
      </c>
      <c r="H28" s="130">
        <f>17+1</f>
        <v>18</v>
      </c>
      <c r="I28" s="130">
        <v>167603</v>
      </c>
      <c r="J28" s="130">
        <f>1988222+42575</f>
        <v>2030797</v>
      </c>
      <c r="K28" s="131">
        <f t="shared" si="0"/>
        <v>29333588</v>
      </c>
      <c r="L28" s="130">
        <v>2231</v>
      </c>
      <c r="M28" s="130">
        <v>0</v>
      </c>
      <c r="N28" s="130">
        <f t="shared" si="1"/>
        <v>29333588</v>
      </c>
      <c r="O28" s="211"/>
    </row>
    <row r="29" spans="2:15" ht="15.75">
      <c r="B29" s="126" t="s">
        <v>65</v>
      </c>
      <c r="C29" s="130">
        <v>4283340</v>
      </c>
      <c r="D29" s="130">
        <v>582</v>
      </c>
      <c r="E29" s="130">
        <v>1721802</v>
      </c>
      <c r="F29" s="130">
        <v>65</v>
      </c>
      <c r="G29" s="130">
        <v>6640800</v>
      </c>
      <c r="H29" s="130">
        <v>1</v>
      </c>
      <c r="I29" s="130">
        <v>159696</v>
      </c>
      <c r="J29" s="130">
        <v>382327</v>
      </c>
      <c r="K29" s="131">
        <f t="shared" si="0"/>
        <v>13187965</v>
      </c>
      <c r="L29" s="130">
        <v>669</v>
      </c>
      <c r="M29" s="130">
        <v>0</v>
      </c>
      <c r="N29" s="130">
        <f t="shared" si="1"/>
        <v>13187965</v>
      </c>
      <c r="O29" s="211"/>
    </row>
    <row r="30" spans="2:17" ht="15.75">
      <c r="B30" s="126" t="s">
        <v>66</v>
      </c>
      <c r="C30" s="133">
        <v>22574660</v>
      </c>
      <c r="D30" s="133">
        <v>3262</v>
      </c>
      <c r="E30" s="133">
        <v>39794391</v>
      </c>
      <c r="F30" s="133">
        <v>746</v>
      </c>
      <c r="G30" s="133">
        <v>11465880</v>
      </c>
      <c r="H30" s="133">
        <v>1</v>
      </c>
      <c r="I30" s="133">
        <v>18615</v>
      </c>
      <c r="J30" s="133">
        <v>0</v>
      </c>
      <c r="K30" s="132">
        <f t="shared" si="0"/>
        <v>73853546</v>
      </c>
      <c r="L30" s="133">
        <v>4013</v>
      </c>
      <c r="M30" s="133">
        <v>0</v>
      </c>
      <c r="N30" s="133">
        <f t="shared" si="1"/>
        <v>73853546</v>
      </c>
      <c r="O30" s="216"/>
      <c r="P30" s="50"/>
      <c r="Q30" s="50"/>
    </row>
    <row r="31" spans="2:29" ht="15.75">
      <c r="B31" s="126" t="s">
        <v>67</v>
      </c>
      <c r="C31" s="130">
        <f>24276736+2141236</f>
        <v>26417972</v>
      </c>
      <c r="D31" s="130">
        <f>3150+58</f>
        <v>3208</v>
      </c>
      <c r="E31" s="130">
        <v>25874589</v>
      </c>
      <c r="F31" s="130">
        <v>439</v>
      </c>
      <c r="G31" s="130">
        <v>0</v>
      </c>
      <c r="H31" s="130">
        <v>0</v>
      </c>
      <c r="I31" s="130">
        <v>248774</v>
      </c>
      <c r="J31" s="130">
        <v>900123</v>
      </c>
      <c r="K31" s="131">
        <f t="shared" si="0"/>
        <v>53441458</v>
      </c>
      <c r="L31" s="130">
        <v>3649</v>
      </c>
      <c r="M31" s="130">
        <v>2400660</v>
      </c>
      <c r="N31" s="130">
        <f t="shared" si="1"/>
        <v>55842118</v>
      </c>
      <c r="O31" s="216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</row>
    <row r="32" spans="2:29" ht="15.75">
      <c r="B32" s="127" t="s">
        <v>82</v>
      </c>
      <c r="C32" s="130">
        <v>222441481</v>
      </c>
      <c r="D32" s="130">
        <v>34061</v>
      </c>
      <c r="E32" s="130">
        <v>102912570</v>
      </c>
      <c r="F32" s="130">
        <v>3659</v>
      </c>
      <c r="G32" s="130">
        <v>100726826</v>
      </c>
      <c r="H32" s="130">
        <v>13</v>
      </c>
      <c r="I32" s="130">
        <v>1127620</v>
      </c>
      <c r="J32" s="130">
        <f>15681372+242172</f>
        <v>15923544</v>
      </c>
      <c r="K32" s="131">
        <f t="shared" si="0"/>
        <v>443132041</v>
      </c>
      <c r="L32" s="130">
        <v>38258</v>
      </c>
      <c r="M32" s="133">
        <v>16826781</v>
      </c>
      <c r="N32" s="130">
        <f t="shared" si="1"/>
        <v>459958822</v>
      </c>
      <c r="O32" s="216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spans="2:15" ht="16.5" thickBot="1">
      <c r="B33" s="128" t="s">
        <v>23</v>
      </c>
      <c r="C33" s="134">
        <v>61805301</v>
      </c>
      <c r="D33" s="134">
        <v>10294</v>
      </c>
      <c r="E33" s="134">
        <v>4436175</v>
      </c>
      <c r="F33" s="134">
        <v>451</v>
      </c>
      <c r="G33" s="134">
        <v>3204666</v>
      </c>
      <c r="H33" s="134">
        <v>11</v>
      </c>
      <c r="I33" s="134">
        <v>37250</v>
      </c>
      <c r="J33" s="134">
        <v>0</v>
      </c>
      <c r="K33" s="135">
        <f t="shared" si="0"/>
        <v>69483392</v>
      </c>
      <c r="L33" s="134">
        <v>10756</v>
      </c>
      <c r="M33" s="134">
        <v>0</v>
      </c>
      <c r="N33" s="134">
        <f t="shared" si="1"/>
        <v>69483392</v>
      </c>
      <c r="O33" s="211"/>
    </row>
    <row r="34" spans="2:14" ht="15.75">
      <c r="B34" s="71"/>
      <c r="C34" s="130"/>
      <c r="D34" s="130"/>
      <c r="E34" s="136"/>
      <c r="F34" s="130"/>
      <c r="G34" s="130"/>
      <c r="H34" s="130"/>
      <c r="I34" s="130"/>
      <c r="J34" s="130"/>
      <c r="K34" s="130"/>
      <c r="L34" s="130"/>
      <c r="M34" s="130"/>
      <c r="N34" s="61"/>
    </row>
    <row r="35" spans="2:14" ht="16.5" thickBot="1">
      <c r="B35" s="206" t="s">
        <v>42</v>
      </c>
      <c r="C35" s="135">
        <f aca="true" t="shared" si="2" ref="C35:N35">SUM(C16:C33)</f>
        <v>2151735569</v>
      </c>
      <c r="D35" s="135">
        <f t="shared" si="2"/>
        <v>311164</v>
      </c>
      <c r="E35" s="137">
        <f t="shared" si="2"/>
        <v>2026937983</v>
      </c>
      <c r="F35" s="135">
        <f t="shared" si="2"/>
        <v>50608</v>
      </c>
      <c r="G35" s="135">
        <f t="shared" si="2"/>
        <v>1417832461</v>
      </c>
      <c r="H35" s="135">
        <f t="shared" si="2"/>
        <v>224</v>
      </c>
      <c r="I35" s="135">
        <f t="shared" si="2"/>
        <v>16250578</v>
      </c>
      <c r="J35" s="135">
        <f t="shared" si="2"/>
        <v>22665290</v>
      </c>
      <c r="K35" s="135">
        <f t="shared" si="2"/>
        <v>5635421881</v>
      </c>
      <c r="L35" s="135">
        <f t="shared" si="2"/>
        <v>363428</v>
      </c>
      <c r="M35" s="135">
        <f t="shared" si="2"/>
        <v>524400441</v>
      </c>
      <c r="N35" s="135">
        <f t="shared" si="2"/>
        <v>6159822322</v>
      </c>
    </row>
    <row r="36" spans="3:13" ht="15"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8" spans="2:5" ht="15.75">
      <c r="B38" s="178" t="s">
        <v>100</v>
      </c>
      <c r="C38" s="138"/>
      <c r="D38" s="138"/>
      <c r="E38" s="41"/>
    </row>
    <row r="39" spans="2:5" ht="15.75">
      <c r="B39" s="180" t="s">
        <v>88</v>
      </c>
      <c r="C39" s="138"/>
      <c r="D39" s="138"/>
      <c r="E39" s="117"/>
    </row>
    <row r="40" spans="2:5" ht="15.75">
      <c r="B40" s="180"/>
      <c r="C40" s="138"/>
      <c r="D40" s="138"/>
      <c r="E40" s="41"/>
    </row>
    <row r="41" spans="2:5" ht="15.75">
      <c r="B41" s="179"/>
      <c r="C41" s="180"/>
      <c r="D41" s="138"/>
      <c r="E41" s="41"/>
    </row>
    <row r="42" spans="2:5" ht="15.75">
      <c r="B42" s="180"/>
      <c r="C42" s="180"/>
      <c r="D42" s="138"/>
      <c r="E42" s="41"/>
    </row>
    <row r="43" spans="2:5" ht="15.75">
      <c r="B43" s="180"/>
      <c r="C43" s="180"/>
      <c r="D43" s="138"/>
      <c r="E43" s="41"/>
    </row>
    <row r="44" ht="15">
      <c r="B44" s="199" t="s">
        <v>101</v>
      </c>
    </row>
    <row r="45" ht="15">
      <c r="B45" s="198" t="s">
        <v>96</v>
      </c>
    </row>
    <row r="46" ht="15">
      <c r="B46" s="199" t="s">
        <v>97</v>
      </c>
    </row>
    <row r="47" ht="15">
      <c r="H47" s="66"/>
    </row>
    <row r="49" spans="2:3" ht="15.75">
      <c r="B49" s="41" t="s">
        <v>89</v>
      </c>
      <c r="C49" s="41"/>
    </row>
    <row r="50" spans="2:3" ht="15.75">
      <c r="B50" s="41" t="s">
        <v>43</v>
      </c>
      <c r="C50" s="41"/>
    </row>
    <row r="51" ht="15.75">
      <c r="B51" s="97">
        <f ca="1">NOW()</f>
        <v>41849.52375891204</v>
      </c>
    </row>
    <row r="52" spans="2:13" ht="18">
      <c r="B52" s="50"/>
      <c r="G52" s="58" t="s">
        <v>98</v>
      </c>
      <c r="M52" s="46"/>
    </row>
    <row r="53" ht="15.75" thickBot="1"/>
    <row r="54" spans="2:12" ht="15.75">
      <c r="B54" s="74"/>
      <c r="C54" s="60"/>
      <c r="D54" s="114"/>
      <c r="E54" s="60"/>
      <c r="F54" s="60"/>
      <c r="G54" s="52" t="s">
        <v>44</v>
      </c>
      <c r="H54" s="60"/>
      <c r="I54" s="60"/>
      <c r="J54" s="60"/>
      <c r="K54" s="60"/>
      <c r="L54" s="74"/>
    </row>
    <row r="55" spans="2:12" ht="15.75">
      <c r="B55" s="59"/>
      <c r="C55" s="61"/>
      <c r="D55" s="115"/>
      <c r="E55" s="61"/>
      <c r="F55" s="54" t="s">
        <v>46</v>
      </c>
      <c r="G55" s="54" t="s">
        <v>76</v>
      </c>
      <c r="H55" s="61"/>
      <c r="I55" s="61"/>
      <c r="J55" s="62"/>
      <c r="K55" s="61"/>
      <c r="L55" s="59"/>
    </row>
    <row r="56" spans="2:12" ht="15.75">
      <c r="B56" s="55" t="s">
        <v>73</v>
      </c>
      <c r="C56" s="54" t="s">
        <v>37</v>
      </c>
      <c r="D56" s="116" t="s">
        <v>39</v>
      </c>
      <c r="E56" s="54" t="s">
        <v>40</v>
      </c>
      <c r="F56" s="54" t="s">
        <v>49</v>
      </c>
      <c r="G56" s="54" t="s">
        <v>50</v>
      </c>
      <c r="H56" s="54" t="s">
        <v>68</v>
      </c>
      <c r="I56" s="54" t="s">
        <v>85</v>
      </c>
      <c r="J56" s="54" t="s">
        <v>69</v>
      </c>
      <c r="K56" s="54" t="s">
        <v>83</v>
      </c>
      <c r="L56" s="55" t="s">
        <v>86</v>
      </c>
    </row>
    <row r="57" spans="2:14" ht="16.5" thickBot="1">
      <c r="B57" s="67" t="s">
        <v>72</v>
      </c>
      <c r="C57" s="196" t="str">
        <f>$B$4</f>
        <v>Revenue 2013</v>
      </c>
      <c r="D57" s="196" t="str">
        <f aca="true" t="shared" si="3" ref="D57:L57">$B$4</f>
        <v>Revenue 2013</v>
      </c>
      <c r="E57" s="196" t="str">
        <f t="shared" si="3"/>
        <v>Revenue 2013</v>
      </c>
      <c r="F57" s="196" t="str">
        <f t="shared" si="3"/>
        <v>Revenue 2013</v>
      </c>
      <c r="G57" s="196" t="str">
        <f t="shared" si="3"/>
        <v>Revenue 2013</v>
      </c>
      <c r="H57" s="196" t="str">
        <f t="shared" si="3"/>
        <v>Revenue 2013</v>
      </c>
      <c r="I57" s="196" t="str">
        <f t="shared" si="3"/>
        <v>Revenue 2013</v>
      </c>
      <c r="J57" s="196" t="str">
        <f t="shared" si="3"/>
        <v>Revenue 2013</v>
      </c>
      <c r="K57" s="196" t="str">
        <f t="shared" si="3"/>
        <v>Revenue 2013</v>
      </c>
      <c r="L57" s="196" t="str">
        <f t="shared" si="3"/>
        <v>Revenue 2013</v>
      </c>
      <c r="M57" s="125" t="s">
        <v>80</v>
      </c>
      <c r="N57" s="51"/>
    </row>
    <row r="58" spans="2:14" ht="15">
      <c r="B58" s="63"/>
      <c r="C58" s="65"/>
      <c r="D58" s="72"/>
      <c r="E58" s="65"/>
      <c r="F58" s="65"/>
      <c r="G58" s="65"/>
      <c r="H58" s="65"/>
      <c r="I58" s="65"/>
      <c r="J58" s="65"/>
      <c r="K58" s="65"/>
      <c r="L58" s="75"/>
      <c r="M58" s="51"/>
      <c r="N58" s="51"/>
    </row>
    <row r="59" spans="2:14" ht="15.75">
      <c r="B59" s="127" t="s">
        <v>54</v>
      </c>
      <c r="C59" s="139">
        <v>1821146</v>
      </c>
      <c r="D59" s="139">
        <v>493116</v>
      </c>
      <c r="E59" s="139">
        <v>0</v>
      </c>
      <c r="F59" s="139">
        <v>16502</v>
      </c>
      <c r="G59" s="139">
        <f>103973+44826</f>
        <v>148799</v>
      </c>
      <c r="H59" s="139">
        <f aca="true" t="shared" si="4" ref="H59:H76">SUM(C59:G59)</f>
        <v>2479563</v>
      </c>
      <c r="I59" s="139">
        <v>0</v>
      </c>
      <c r="J59" s="139">
        <f aca="true" t="shared" si="5" ref="J59:J76">H59+I59</f>
        <v>2479563</v>
      </c>
      <c r="K59" s="139">
        <v>5139</v>
      </c>
      <c r="L59" s="139">
        <f aca="true" t="shared" si="6" ref="L59:L76">J59+K59</f>
        <v>2484702</v>
      </c>
      <c r="M59" s="213"/>
      <c r="N59" s="46"/>
    </row>
    <row r="60" spans="2:14" ht="15.75">
      <c r="B60" s="127" t="s">
        <v>55</v>
      </c>
      <c r="C60" s="139">
        <v>13533368</v>
      </c>
      <c r="D60" s="139">
        <v>29685128</v>
      </c>
      <c r="E60" s="139">
        <v>4773685</v>
      </c>
      <c r="F60" s="139">
        <v>871318</v>
      </c>
      <c r="G60" s="139">
        <v>0</v>
      </c>
      <c r="H60" s="139">
        <f t="shared" si="4"/>
        <v>48863499</v>
      </c>
      <c r="I60" s="139">
        <v>14511222</v>
      </c>
      <c r="J60" s="139">
        <f t="shared" si="5"/>
        <v>63374721</v>
      </c>
      <c r="K60" s="139">
        <v>0</v>
      </c>
      <c r="L60" s="139">
        <f t="shared" si="6"/>
        <v>63374721</v>
      </c>
      <c r="M60" s="212"/>
      <c r="N60" s="46"/>
    </row>
    <row r="61" spans="2:14" ht="15.75">
      <c r="B61" s="127" t="s">
        <v>74</v>
      </c>
      <c r="C61" s="139">
        <v>0</v>
      </c>
      <c r="D61" s="139">
        <v>0</v>
      </c>
      <c r="E61" s="139">
        <v>0</v>
      </c>
      <c r="F61" s="139">
        <v>0</v>
      </c>
      <c r="G61" s="139">
        <v>0</v>
      </c>
      <c r="H61" s="139">
        <f t="shared" si="4"/>
        <v>0</v>
      </c>
      <c r="I61" s="139">
        <v>0</v>
      </c>
      <c r="J61" s="139">
        <f t="shared" si="5"/>
        <v>0</v>
      </c>
      <c r="K61" s="139">
        <v>0</v>
      </c>
      <c r="L61" s="140">
        <f t="shared" si="6"/>
        <v>0</v>
      </c>
      <c r="M61" s="46"/>
      <c r="N61" s="46"/>
    </row>
    <row r="62" spans="2:14" ht="15.75">
      <c r="B62" s="127" t="s">
        <v>56</v>
      </c>
      <c r="C62" s="139">
        <f>645245+1558797</f>
        <v>2204042</v>
      </c>
      <c r="D62" s="139">
        <v>272834</v>
      </c>
      <c r="E62" s="139">
        <v>1619456</v>
      </c>
      <c r="F62" s="139">
        <v>30153</v>
      </c>
      <c r="G62" s="139">
        <v>176028</v>
      </c>
      <c r="H62" s="139">
        <f t="shared" si="4"/>
        <v>4302513</v>
      </c>
      <c r="I62" s="139">
        <v>5405</v>
      </c>
      <c r="J62" s="139">
        <f t="shared" si="5"/>
        <v>4307918</v>
      </c>
      <c r="K62" s="139">
        <v>0</v>
      </c>
      <c r="L62" s="139">
        <f t="shared" si="6"/>
        <v>4307918</v>
      </c>
      <c r="M62" s="212"/>
      <c r="N62" s="204" t="s">
        <v>99</v>
      </c>
    </row>
    <row r="63" spans="2:14" ht="15.75">
      <c r="B63" s="127" t="s">
        <v>75</v>
      </c>
      <c r="C63" s="139">
        <v>266556777</v>
      </c>
      <c r="D63" s="139">
        <v>224360266</v>
      </c>
      <c r="E63" s="139">
        <v>115960210</v>
      </c>
      <c r="F63" s="139">
        <v>2772512</v>
      </c>
      <c r="G63" s="139">
        <v>2802</v>
      </c>
      <c r="H63" s="139">
        <f t="shared" si="4"/>
        <v>609652567</v>
      </c>
      <c r="I63" s="139">
        <v>25817346</v>
      </c>
      <c r="J63" s="139">
        <f t="shared" si="5"/>
        <v>635469913</v>
      </c>
      <c r="K63" s="139">
        <v>32057643</v>
      </c>
      <c r="L63" s="140">
        <f t="shared" si="6"/>
        <v>667527556</v>
      </c>
      <c r="M63" s="215"/>
      <c r="N63" s="46"/>
    </row>
    <row r="64" spans="2:14" ht="15.75">
      <c r="B64" s="127" t="s">
        <v>57</v>
      </c>
      <c r="C64" s="139">
        <v>4268660</v>
      </c>
      <c r="D64" s="139">
        <v>873916</v>
      </c>
      <c r="E64" s="139">
        <v>726496</v>
      </c>
      <c r="F64" s="139">
        <v>57712</v>
      </c>
      <c r="G64" s="139">
        <v>0</v>
      </c>
      <c r="H64" s="139">
        <f t="shared" si="4"/>
        <v>5926784</v>
      </c>
      <c r="I64" s="139">
        <v>34603</v>
      </c>
      <c r="J64" s="139">
        <f t="shared" si="5"/>
        <v>5961387</v>
      </c>
      <c r="K64" s="139">
        <v>0</v>
      </c>
      <c r="L64" s="139">
        <f t="shared" si="6"/>
        <v>5961387</v>
      </c>
      <c r="M64" s="212"/>
      <c r="N64" s="46"/>
    </row>
    <row r="65" spans="2:14" ht="15.75">
      <c r="B65" s="127" t="s">
        <v>58</v>
      </c>
      <c r="C65" s="139">
        <v>1475172</v>
      </c>
      <c r="D65" s="139">
        <v>478236</v>
      </c>
      <c r="E65" s="139">
        <v>0</v>
      </c>
      <c r="F65" s="139">
        <v>5387</v>
      </c>
      <c r="G65" s="139">
        <f>86765+5561</f>
        <v>92326</v>
      </c>
      <c r="H65" s="139">
        <f t="shared" si="4"/>
        <v>2051121</v>
      </c>
      <c r="I65" s="139">
        <v>28600</v>
      </c>
      <c r="J65" s="139">
        <f t="shared" si="5"/>
        <v>2079721</v>
      </c>
      <c r="K65" s="139">
        <v>0</v>
      </c>
      <c r="L65" s="139">
        <f t="shared" si="6"/>
        <v>2079721</v>
      </c>
      <c r="M65" s="212"/>
      <c r="N65" s="49"/>
    </row>
    <row r="66" spans="2:14" ht="15.75">
      <c r="B66" s="127" t="s">
        <v>59</v>
      </c>
      <c r="C66" s="139">
        <v>594049</v>
      </c>
      <c r="D66" s="139">
        <v>97808</v>
      </c>
      <c r="E66" s="139">
        <v>133390</v>
      </c>
      <c r="F66" s="139">
        <v>3339</v>
      </c>
      <c r="G66" s="139">
        <v>0</v>
      </c>
      <c r="H66" s="139">
        <f t="shared" si="4"/>
        <v>828586</v>
      </c>
      <c r="I66" s="139">
        <v>40526</v>
      </c>
      <c r="J66" s="139">
        <f t="shared" si="5"/>
        <v>869112</v>
      </c>
      <c r="K66" s="139">
        <v>0</v>
      </c>
      <c r="L66" s="139">
        <f t="shared" si="6"/>
        <v>869112</v>
      </c>
      <c r="M66" s="215"/>
      <c r="N66" s="46"/>
    </row>
    <row r="67" spans="2:14" ht="15.75">
      <c r="B67" s="127" t="s">
        <v>60</v>
      </c>
      <c r="C67" s="139">
        <v>891858</v>
      </c>
      <c r="D67" s="139">
        <v>210986</v>
      </c>
      <c r="E67" s="139">
        <f>418115+673902</f>
        <v>1092017</v>
      </c>
      <c r="F67" s="139">
        <v>16372</v>
      </c>
      <c r="G67" s="139">
        <v>154764</v>
      </c>
      <c r="H67" s="139">
        <f t="shared" si="4"/>
        <v>2365997</v>
      </c>
      <c r="I67" s="139">
        <v>7380</v>
      </c>
      <c r="J67" s="139">
        <f t="shared" si="5"/>
        <v>2373377</v>
      </c>
      <c r="K67" s="139">
        <v>0</v>
      </c>
      <c r="L67" s="139">
        <f t="shared" si="6"/>
        <v>2373377</v>
      </c>
      <c r="M67" s="212"/>
      <c r="N67" s="204" t="s">
        <v>102</v>
      </c>
    </row>
    <row r="68" spans="2:14" ht="15.75">
      <c r="B68" s="127" t="s">
        <v>61</v>
      </c>
      <c r="C68" s="139">
        <v>2269200</v>
      </c>
      <c r="D68" s="139">
        <v>3026337</v>
      </c>
      <c r="E68" s="139">
        <v>2262215</v>
      </c>
      <c r="F68" s="139">
        <v>99065</v>
      </c>
      <c r="G68" s="139">
        <v>0</v>
      </c>
      <c r="H68" s="139">
        <f t="shared" si="4"/>
        <v>7656817</v>
      </c>
      <c r="I68" s="139">
        <v>160761</v>
      </c>
      <c r="J68" s="139">
        <f t="shared" si="5"/>
        <v>7817578</v>
      </c>
      <c r="K68" s="139">
        <v>0</v>
      </c>
      <c r="L68" s="139">
        <f t="shared" si="6"/>
        <v>7817578</v>
      </c>
      <c r="M68" s="212"/>
      <c r="N68" s="46"/>
    </row>
    <row r="69" spans="2:14" ht="15.75">
      <c r="B69" s="127" t="s">
        <v>62</v>
      </c>
      <c r="C69" s="139">
        <f>4781010+102861</f>
        <v>4883871</v>
      </c>
      <c r="D69" s="139">
        <v>1713204</v>
      </c>
      <c r="E69" s="139">
        <f>2194704+951752</f>
        <v>3146456</v>
      </c>
      <c r="F69" s="139">
        <v>104788</v>
      </c>
      <c r="G69" s="139">
        <v>0</v>
      </c>
      <c r="H69" s="139">
        <f t="shared" si="4"/>
        <v>9848319</v>
      </c>
      <c r="I69" s="139">
        <v>300712</v>
      </c>
      <c r="J69" s="139">
        <f t="shared" si="5"/>
        <v>10149031</v>
      </c>
      <c r="K69" s="139">
        <v>0</v>
      </c>
      <c r="L69" s="139">
        <f t="shared" si="6"/>
        <v>10149031</v>
      </c>
      <c r="M69" s="215"/>
      <c r="N69" s="46"/>
    </row>
    <row r="70" spans="2:14" ht="15.75">
      <c r="B70" s="127" t="s">
        <v>63</v>
      </c>
      <c r="C70" s="139">
        <v>3302601</v>
      </c>
      <c r="D70" s="139">
        <v>3702851</v>
      </c>
      <c r="E70" s="139">
        <v>0</v>
      </c>
      <c r="F70" s="139">
        <v>36401</v>
      </c>
      <c r="G70" s="139">
        <v>0</v>
      </c>
      <c r="H70" s="139">
        <f>SUM(C70:G70)</f>
        <v>7041853</v>
      </c>
      <c r="I70" s="139">
        <v>112514</v>
      </c>
      <c r="J70" s="139">
        <f t="shared" si="5"/>
        <v>7154367</v>
      </c>
      <c r="K70" s="139">
        <v>0</v>
      </c>
      <c r="L70" s="139">
        <f t="shared" si="6"/>
        <v>7154367</v>
      </c>
      <c r="M70" s="212"/>
      <c r="N70" s="46"/>
    </row>
    <row r="71" spans="2:14" ht="15.75">
      <c r="B71" s="127" t="s">
        <v>64</v>
      </c>
      <c r="C71" s="139">
        <v>1478908</v>
      </c>
      <c r="D71" s="139">
        <v>333987</v>
      </c>
      <c r="E71" s="139">
        <f>805247+1039812</f>
        <v>1845059</v>
      </c>
      <c r="F71" s="139">
        <v>40866</v>
      </c>
      <c r="G71" s="139">
        <f>282575+10716</f>
        <v>293291</v>
      </c>
      <c r="H71" s="139">
        <f t="shared" si="4"/>
        <v>3992111</v>
      </c>
      <c r="I71" s="139">
        <v>21431</v>
      </c>
      <c r="J71" s="139">
        <f t="shared" si="5"/>
        <v>4013542</v>
      </c>
      <c r="K71" s="139">
        <v>0</v>
      </c>
      <c r="L71" s="139">
        <f t="shared" si="6"/>
        <v>4013542</v>
      </c>
      <c r="M71" s="212"/>
      <c r="N71" s="46"/>
    </row>
    <row r="72" spans="2:14" ht="15.75">
      <c r="B72" s="127" t="s">
        <v>65</v>
      </c>
      <c r="C72" s="139">
        <v>552135</v>
      </c>
      <c r="D72" s="139">
        <v>242236</v>
      </c>
      <c r="E72" s="139">
        <v>1017133</v>
      </c>
      <c r="F72" s="139">
        <v>23489</v>
      </c>
      <c r="G72" s="139">
        <v>55203</v>
      </c>
      <c r="H72" s="139">
        <f t="shared" si="4"/>
        <v>1890196</v>
      </c>
      <c r="I72" s="139">
        <v>19104</v>
      </c>
      <c r="J72" s="139">
        <f t="shared" si="5"/>
        <v>1909300</v>
      </c>
      <c r="K72" s="139">
        <v>0</v>
      </c>
      <c r="L72" s="139">
        <f t="shared" si="6"/>
        <v>1909300</v>
      </c>
      <c r="M72" s="212"/>
      <c r="N72" s="46"/>
    </row>
    <row r="73" spans="2:14" ht="15.75">
      <c r="B73" s="127" t="s">
        <v>66</v>
      </c>
      <c r="C73" s="139">
        <v>4061175</v>
      </c>
      <c r="D73" s="139">
        <v>5744352</v>
      </c>
      <c r="E73" s="139">
        <v>1396836</v>
      </c>
      <c r="F73" s="139">
        <v>20833</v>
      </c>
      <c r="G73" s="139">
        <v>0</v>
      </c>
      <c r="H73" s="139">
        <f t="shared" si="4"/>
        <v>11223196</v>
      </c>
      <c r="I73" s="139">
        <v>56252</v>
      </c>
      <c r="J73" s="139">
        <f t="shared" si="5"/>
        <v>11279448</v>
      </c>
      <c r="K73" s="139">
        <v>0</v>
      </c>
      <c r="L73" s="139">
        <f t="shared" si="6"/>
        <v>11279448</v>
      </c>
      <c r="M73" s="212"/>
      <c r="N73" s="46"/>
    </row>
    <row r="74" spans="2:16" ht="15.75">
      <c r="B74" s="127" t="s">
        <v>67</v>
      </c>
      <c r="C74" s="139">
        <f>2847422+253601</f>
        <v>3101023</v>
      </c>
      <c r="D74" s="139">
        <v>3294183</v>
      </c>
      <c r="E74" s="139">
        <v>0</v>
      </c>
      <c r="F74" s="139">
        <v>87647</v>
      </c>
      <c r="G74" s="139">
        <v>105906</v>
      </c>
      <c r="H74" s="139">
        <f t="shared" si="4"/>
        <v>6588759</v>
      </c>
      <c r="I74" s="139">
        <v>33558</v>
      </c>
      <c r="J74" s="139">
        <f t="shared" si="5"/>
        <v>6622317</v>
      </c>
      <c r="K74" s="139">
        <v>42599</v>
      </c>
      <c r="L74" s="139">
        <f t="shared" si="6"/>
        <v>6664916</v>
      </c>
      <c r="M74" s="213"/>
      <c r="N74" s="218" t="s">
        <v>102</v>
      </c>
      <c r="O74" s="50"/>
      <c r="P74" s="50"/>
    </row>
    <row r="75" spans="2:14" ht="15.75">
      <c r="B75" s="127" t="s">
        <v>22</v>
      </c>
      <c r="C75" s="139">
        <v>41655921</v>
      </c>
      <c r="D75" s="139">
        <v>16339304</v>
      </c>
      <c r="E75" s="139">
        <v>10408610</v>
      </c>
      <c r="F75" s="139">
        <v>366814</v>
      </c>
      <c r="G75" s="139">
        <v>2471649</v>
      </c>
      <c r="H75" s="139">
        <f t="shared" si="4"/>
        <v>71242298</v>
      </c>
      <c r="I75" s="139">
        <v>2606243</v>
      </c>
      <c r="J75" s="139">
        <f t="shared" si="5"/>
        <v>73848541</v>
      </c>
      <c r="K75" s="139">
        <v>672857</v>
      </c>
      <c r="L75" s="139">
        <f t="shared" si="6"/>
        <v>74521398</v>
      </c>
      <c r="M75" s="213"/>
      <c r="N75" s="46"/>
    </row>
    <row r="76" spans="2:13" ht="16.5" thickBot="1">
      <c r="B76" s="129" t="s">
        <v>23</v>
      </c>
      <c r="C76" s="139">
        <v>12028488</v>
      </c>
      <c r="D76" s="139">
        <v>862042</v>
      </c>
      <c r="E76" s="139">
        <v>451670</v>
      </c>
      <c r="F76" s="139">
        <v>11531</v>
      </c>
      <c r="G76" s="139">
        <v>0</v>
      </c>
      <c r="H76" s="141">
        <f t="shared" si="4"/>
        <v>13353731</v>
      </c>
      <c r="I76" s="139">
        <v>2714445</v>
      </c>
      <c r="J76" s="141">
        <f t="shared" si="5"/>
        <v>16068176</v>
      </c>
      <c r="K76" s="139">
        <v>0</v>
      </c>
      <c r="L76" s="141">
        <f t="shared" si="6"/>
        <v>16068176</v>
      </c>
      <c r="M76" s="211"/>
    </row>
    <row r="77" spans="2:12" ht="15.75">
      <c r="B77" s="71"/>
      <c r="C77" s="142"/>
      <c r="D77" s="143"/>
      <c r="E77" s="143"/>
      <c r="F77" s="143"/>
      <c r="G77" s="143"/>
      <c r="H77" s="143"/>
      <c r="I77" s="143"/>
      <c r="J77" s="143"/>
      <c r="K77" s="143"/>
      <c r="L77" s="144"/>
    </row>
    <row r="78" spans="2:12" ht="16.5" thickBot="1">
      <c r="B78" s="206" t="s">
        <v>42</v>
      </c>
      <c r="C78" s="145">
        <f aca="true" t="shared" si="7" ref="C78:L78">SUM(C59:C76)</f>
        <v>364678394</v>
      </c>
      <c r="D78" s="141">
        <f t="shared" si="7"/>
        <v>291730786</v>
      </c>
      <c r="E78" s="141">
        <f t="shared" si="7"/>
        <v>144833233</v>
      </c>
      <c r="F78" s="141">
        <f t="shared" si="7"/>
        <v>4564729</v>
      </c>
      <c r="G78" s="141">
        <f t="shared" si="7"/>
        <v>3500768</v>
      </c>
      <c r="H78" s="141">
        <f t="shared" si="7"/>
        <v>809307910</v>
      </c>
      <c r="I78" s="141">
        <f t="shared" si="7"/>
        <v>46470102</v>
      </c>
      <c r="J78" s="141">
        <f t="shared" si="7"/>
        <v>855778012</v>
      </c>
      <c r="K78" s="141">
        <f t="shared" si="7"/>
        <v>32778238</v>
      </c>
      <c r="L78" s="141">
        <f t="shared" si="7"/>
        <v>888556250</v>
      </c>
    </row>
    <row r="80" spans="2:6" ht="15.75">
      <c r="B80" s="179" t="s">
        <v>100</v>
      </c>
      <c r="C80" s="180"/>
      <c r="D80" s="138"/>
      <c r="E80" s="41"/>
      <c r="F80" s="50"/>
    </row>
    <row r="81" spans="2:6" ht="15.75">
      <c r="B81" s="180" t="s">
        <v>88</v>
      </c>
      <c r="C81" s="180"/>
      <c r="D81" s="138"/>
      <c r="E81" s="41"/>
      <c r="F81" s="50"/>
    </row>
    <row r="82" spans="2:6" ht="15.75">
      <c r="B82" s="179"/>
      <c r="C82" s="180"/>
      <c r="D82" s="138"/>
      <c r="E82" s="41"/>
      <c r="F82" s="50"/>
    </row>
    <row r="83" spans="2:6" ht="15.75">
      <c r="B83" s="179"/>
      <c r="C83" s="180"/>
      <c r="D83" s="138"/>
      <c r="E83" s="41"/>
      <c r="F83" s="50"/>
    </row>
    <row r="84" spans="2:6" ht="15.75">
      <c r="B84" s="179"/>
      <c r="C84" s="180"/>
      <c r="D84" s="138"/>
      <c r="E84" s="41"/>
      <c r="F84" s="50"/>
    </row>
    <row r="85" spans="2:6" ht="15.75">
      <c r="B85" s="179"/>
      <c r="C85" s="180"/>
      <c r="D85" s="138"/>
      <c r="E85" s="41"/>
      <c r="F85" s="50"/>
    </row>
    <row r="86" spans="2:6" ht="15.75">
      <c r="B86" s="179"/>
      <c r="C86" s="180"/>
      <c r="D86" s="138"/>
      <c r="E86" s="41"/>
      <c r="F86" s="50"/>
    </row>
    <row r="87" ht="15">
      <c r="B87" s="47" t="str">
        <f>B46</f>
        <v>Prepared by: Tod Ziegler, Utiltities Financial Analyst, Vermont Public Service Department</v>
      </c>
    </row>
    <row r="88" ht="15">
      <c r="B88" s="47" t="str">
        <f>B44</f>
        <v>FILE:kWh Revenue &amp; Ranking 2013.xls</v>
      </c>
    </row>
    <row r="89" ht="15">
      <c r="B89" s="42" t="str">
        <f>B45</f>
        <v>Sources:   2013 Annual Reports sent to the DPS from the responding utilities</v>
      </c>
    </row>
    <row r="90" ht="15">
      <c r="B90" s="47"/>
    </row>
    <row r="99" ht="15">
      <c r="H99" s="217"/>
    </row>
  </sheetData>
  <sheetProtection/>
  <printOptions gridLines="1"/>
  <pageMargins left="0.5" right="0.5" top="0.5" bottom="0.5" header="0" footer="0"/>
  <pageSetup fitToHeight="1" fitToWidth="1" horizontalDpi="600" verticalDpi="600" orientation="landscape" paperSize="5" r:id="rId1"/>
  <rowBreaks count="1" manualBreakCount="1">
    <brk id="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C132"/>
  <sheetViews>
    <sheetView defaultGridColor="0" zoomScaleSheetLayoutView="100" zoomScalePageLayoutView="0" colorId="22" workbookViewId="0" topLeftCell="A46">
      <selection activeCell="G46" sqref="G46"/>
    </sheetView>
  </sheetViews>
  <sheetFormatPr defaultColWidth="8.75390625" defaultRowHeight="12.75"/>
  <cols>
    <col min="1" max="1" width="24.25390625" style="0" customWidth="1"/>
    <col min="2" max="2" width="18.625" style="0" customWidth="1"/>
    <col min="3" max="3" width="20.75390625" style="0" customWidth="1"/>
    <col min="4" max="4" width="14.75390625" style="0" customWidth="1"/>
    <col min="5" max="5" width="17.625" style="0" customWidth="1"/>
    <col min="6" max="6" width="15.625" style="0" customWidth="1"/>
    <col min="7" max="7" width="17.125" style="0" customWidth="1"/>
    <col min="8" max="8" width="16.625" style="0" customWidth="1"/>
    <col min="9" max="9" width="18.875" style="0" customWidth="1"/>
    <col min="10" max="10" width="16.25390625" style="0" customWidth="1"/>
    <col min="11" max="11" width="11.75390625" style="0" customWidth="1"/>
    <col min="12" max="12" width="16.625" style="0" customWidth="1"/>
    <col min="13" max="249" width="11.75390625" style="0" customWidth="1"/>
  </cols>
  <sheetData>
    <row r="1" spans="1:7" ht="15.75">
      <c r="A1" s="97">
        <f ca="1">NOW()</f>
        <v>41849.52375891204</v>
      </c>
      <c r="G1" s="96" t="s">
        <v>79</v>
      </c>
    </row>
    <row r="2" spans="1:55" ht="19.5" customHeight="1">
      <c r="A2" s="43"/>
      <c r="B2" s="38"/>
      <c r="C2" s="39" t="str">
        <f>'KWH &amp; Rev 2013'!B6</f>
        <v>VERMONT PUBLIC SERVICE DEPARTMENT</v>
      </c>
      <c r="D2" s="36"/>
      <c r="E2" s="37"/>
      <c r="F2" s="35"/>
      <c r="G2" s="1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9.5" customHeight="1">
      <c r="A3" s="12" t="s">
        <v>41</v>
      </c>
      <c r="B3" s="12"/>
      <c r="C3" s="12"/>
      <c r="D3" s="12"/>
      <c r="E3" s="13"/>
      <c r="F3" s="14"/>
      <c r="G3" s="1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9.5" customHeight="1">
      <c r="A4" s="12" t="s">
        <v>37</v>
      </c>
      <c r="B4" s="12"/>
      <c r="C4" s="12"/>
      <c r="D4" s="12"/>
      <c r="E4" s="13"/>
      <c r="F4" s="14"/>
      <c r="G4" s="1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" customHeight="1" thickBot="1">
      <c r="A5" s="80">
        <v>2013</v>
      </c>
      <c r="B5" s="81"/>
      <c r="C5" s="81"/>
      <c r="D5" s="81"/>
      <c r="E5" s="81"/>
      <c r="F5" s="81"/>
      <c r="G5" s="16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30" customHeight="1" thickBot="1">
      <c r="A6" s="82" t="s">
        <v>0</v>
      </c>
      <c r="B6" s="88" t="s">
        <v>1</v>
      </c>
      <c r="C6" s="82" t="s">
        <v>2</v>
      </c>
      <c r="D6" s="89" t="s">
        <v>3</v>
      </c>
      <c r="E6" s="83" t="s">
        <v>4</v>
      </c>
      <c r="F6" s="84" t="s">
        <v>5</v>
      </c>
      <c r="G6" s="82" t="s">
        <v>6</v>
      </c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5" customHeight="1">
      <c r="A7" s="146" t="s">
        <v>7</v>
      </c>
      <c r="B7" s="147">
        <f>'KWH &amp; Rev 2013'!C59</f>
        <v>1821146</v>
      </c>
      <c r="C7" s="148">
        <f>'KWH &amp; Rev 2013'!C16</f>
        <v>10436557</v>
      </c>
      <c r="D7" s="149">
        <f>'KWH &amp; Rev 2013'!D16</f>
        <v>1953</v>
      </c>
      <c r="E7" s="150">
        <f aca="true" t="shared" si="0" ref="E7:E25">C7/D7</f>
        <v>5343.859190988223</v>
      </c>
      <c r="F7" s="151">
        <f aca="true" t="shared" si="1" ref="F7:F25">(B7/C7)*100</f>
        <v>17.449681920963016</v>
      </c>
      <c r="G7" s="152">
        <f aca="true" t="shared" si="2" ref="G7:G24">RANK(F7,$F$7:$F$24,1)</f>
        <v>13</v>
      </c>
      <c r="H7" s="3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5" customHeight="1">
      <c r="A8" s="153" t="s">
        <v>8</v>
      </c>
      <c r="B8" s="154">
        <f>'KWH &amp; Rev 2013'!C60</f>
        <v>13533368</v>
      </c>
      <c r="C8" s="148">
        <f>'KWH &amp; Rev 2013'!C17</f>
        <v>85660305</v>
      </c>
      <c r="D8" s="148">
        <f>'KWH &amp; Rev 2013'!D17</f>
        <v>16631</v>
      </c>
      <c r="E8" s="155">
        <f t="shared" si="0"/>
        <v>5150.640671036017</v>
      </c>
      <c r="F8" s="156">
        <f t="shared" si="1"/>
        <v>15.798879072401153</v>
      </c>
      <c r="G8" s="157">
        <f t="shared" si="2"/>
        <v>8</v>
      </c>
      <c r="H8" s="3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5" customHeight="1">
      <c r="A9" s="127" t="s">
        <v>74</v>
      </c>
      <c r="B9" s="154">
        <f>'KWH &amp; Rev 2013'!C61</f>
        <v>0</v>
      </c>
      <c r="C9" s="148">
        <f>'KWH &amp; Rev 2013'!C18</f>
        <v>0</v>
      </c>
      <c r="D9" s="148">
        <f>'KWH &amp; Rev 2013'!D18</f>
        <v>0</v>
      </c>
      <c r="E9" s="155">
        <v>0</v>
      </c>
      <c r="F9" s="156">
        <v>0</v>
      </c>
      <c r="G9" s="157">
        <f t="shared" si="2"/>
        <v>1</v>
      </c>
      <c r="H9" s="3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5" customHeight="1">
      <c r="A10" s="153" t="s">
        <v>9</v>
      </c>
      <c r="B10" s="154">
        <f>'KWH &amp; Rev 2013'!C62</f>
        <v>2204042</v>
      </c>
      <c r="C10" s="148">
        <f>'KWH &amp; Rev 2013'!C19</f>
        <v>13739790</v>
      </c>
      <c r="D10" s="148">
        <f>'KWH &amp; Rev 2013'!D19</f>
        <v>1492</v>
      </c>
      <c r="E10" s="155">
        <f t="shared" si="0"/>
        <v>9208.9745308311</v>
      </c>
      <c r="F10" s="156">
        <f t="shared" si="1"/>
        <v>16.04130776380134</v>
      </c>
      <c r="G10" s="157">
        <f t="shared" si="2"/>
        <v>9</v>
      </c>
      <c r="H10" s="3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5" customHeight="1">
      <c r="A11" s="153" t="s">
        <v>10</v>
      </c>
      <c r="B11" s="154">
        <f>'KWH &amp; Rev 2013'!C63</f>
        <v>266556777</v>
      </c>
      <c r="C11" s="148">
        <f>'KWH &amp; Rev 2013'!C20</f>
        <v>1583593000</v>
      </c>
      <c r="D11" s="148">
        <f>'KWH &amp; Rev 2013'!D20</f>
        <v>220367</v>
      </c>
      <c r="E11" s="155">
        <f t="shared" si="0"/>
        <v>7186.162174917297</v>
      </c>
      <c r="F11" s="156">
        <f t="shared" si="1"/>
        <v>16.832404348844683</v>
      </c>
      <c r="G11" s="157">
        <f t="shared" si="2"/>
        <v>10</v>
      </c>
      <c r="H11" s="3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5" customHeight="1">
      <c r="A12" s="153" t="s">
        <v>11</v>
      </c>
      <c r="B12" s="154">
        <f>'KWH &amp; Rev 2013'!C64</f>
        <v>4268660</v>
      </c>
      <c r="C12" s="148">
        <f>'KWH &amp; Rev 2013'!C21</f>
        <v>23441694</v>
      </c>
      <c r="D12" s="148">
        <f>'KWH &amp; Rev 2013'!D21</f>
        <v>4008</v>
      </c>
      <c r="E12" s="155">
        <f t="shared" si="0"/>
        <v>5848.726047904192</v>
      </c>
      <c r="F12" s="156">
        <f t="shared" si="1"/>
        <v>18.20969081841952</v>
      </c>
      <c r="G12" s="157">
        <f t="shared" si="2"/>
        <v>16</v>
      </c>
      <c r="H12" s="3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5" customHeight="1">
      <c r="A13" s="153" t="s">
        <v>12</v>
      </c>
      <c r="B13" s="154">
        <f>'KWH &amp; Rev 2013'!C65</f>
        <v>1475172</v>
      </c>
      <c r="C13" s="148">
        <f>'KWH &amp; Rev 2013'!C22</f>
        <v>8150349</v>
      </c>
      <c r="D13" s="148">
        <f>'KWH &amp; Rev 2013'!D22</f>
        <v>1172</v>
      </c>
      <c r="E13" s="155">
        <f t="shared" si="0"/>
        <v>6954.2226962457335</v>
      </c>
      <c r="F13" s="156">
        <f t="shared" si="1"/>
        <v>18.099494880525974</v>
      </c>
      <c r="G13" s="157">
        <f t="shared" si="2"/>
        <v>15</v>
      </c>
      <c r="H13" s="3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5" customHeight="1">
      <c r="A14" s="153" t="s">
        <v>13</v>
      </c>
      <c r="B14" s="154">
        <f>'KWH &amp; Rev 2013'!C66</f>
        <v>594049</v>
      </c>
      <c r="C14" s="148">
        <f>'KWH &amp; Rev 2013'!C23</f>
        <v>3507259</v>
      </c>
      <c r="D14" s="148">
        <f>'KWH &amp; Rev 2013'!D23</f>
        <v>649</v>
      </c>
      <c r="E14" s="155">
        <f t="shared" si="0"/>
        <v>5404.097072419107</v>
      </c>
      <c r="F14" s="156">
        <f t="shared" si="1"/>
        <v>16.937699782080536</v>
      </c>
      <c r="G14" s="157">
        <f t="shared" si="2"/>
        <v>11</v>
      </c>
      <c r="H14" s="3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5" customHeight="1">
      <c r="A15" s="153" t="s">
        <v>14</v>
      </c>
      <c r="B15" s="154">
        <f>'KWH &amp; Rev 2013'!C67</f>
        <v>891858</v>
      </c>
      <c r="C15" s="148">
        <f>'KWH &amp; Rev 2013'!C24</f>
        <v>5119730</v>
      </c>
      <c r="D15" s="148">
        <f>'KWH &amp; Rev 2013'!D24</f>
        <v>766</v>
      </c>
      <c r="E15" s="155">
        <f t="shared" si="0"/>
        <v>6683.7206266318535</v>
      </c>
      <c r="F15" s="156">
        <f t="shared" si="1"/>
        <v>17.420020196377546</v>
      </c>
      <c r="G15" s="157">
        <f t="shared" si="2"/>
        <v>12</v>
      </c>
      <c r="H15" s="3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5" customHeight="1">
      <c r="A16" s="182" t="s">
        <v>15</v>
      </c>
      <c r="B16" s="183">
        <f>'KWH &amp; Rev 2013'!C68</f>
        <v>2269200</v>
      </c>
      <c r="C16" s="184">
        <f>'KWH &amp; Rev 2013'!C25</f>
        <v>16666431</v>
      </c>
      <c r="D16" s="184">
        <f>'KWH &amp; Rev 2013'!D25</f>
        <v>2996</v>
      </c>
      <c r="E16" s="185">
        <f t="shared" si="0"/>
        <v>5562.894192256342</v>
      </c>
      <c r="F16" s="186">
        <f t="shared" si="1"/>
        <v>13.615392521650257</v>
      </c>
      <c r="G16" s="181">
        <f t="shared" si="2"/>
        <v>4</v>
      </c>
      <c r="H16" s="3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5" customHeight="1">
      <c r="A17" s="182" t="s">
        <v>16</v>
      </c>
      <c r="B17" s="183">
        <f>'KWH &amp; Rev 2013'!C69</f>
        <v>4883871</v>
      </c>
      <c r="C17" s="184">
        <f>'KWH &amp; Rev 2013'!C26</f>
        <v>32337094</v>
      </c>
      <c r="D17" s="184">
        <f>'KWH &amp; Rev 2013'!D26</f>
        <v>4790</v>
      </c>
      <c r="E17" s="185">
        <f t="shared" si="0"/>
        <v>6750.959081419624</v>
      </c>
      <c r="F17" s="186">
        <f t="shared" si="1"/>
        <v>15.102999051182522</v>
      </c>
      <c r="G17" s="181">
        <f t="shared" si="2"/>
        <v>6</v>
      </c>
      <c r="H17" s="3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5" customHeight="1">
      <c r="A18" s="153" t="s">
        <v>17</v>
      </c>
      <c r="B18" s="154">
        <f>'KWH &amp; Rev 2013'!C70</f>
        <v>3302601</v>
      </c>
      <c r="C18" s="148">
        <f>'KWH &amp; Rev 2013'!C27</f>
        <v>20906666</v>
      </c>
      <c r="D18" s="148">
        <f>'KWH &amp; Rev 2013'!D27</f>
        <v>3308</v>
      </c>
      <c r="E18" s="155">
        <f t="shared" si="0"/>
        <v>6320.032043530834</v>
      </c>
      <c r="F18" s="156">
        <f t="shared" si="1"/>
        <v>15.796880286890316</v>
      </c>
      <c r="G18" s="157">
        <f t="shared" si="2"/>
        <v>7</v>
      </c>
      <c r="H18" s="32"/>
      <c r="I18" s="1"/>
      <c r="J18" s="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5" customHeight="1">
      <c r="A19" s="182" t="s">
        <v>18</v>
      </c>
      <c r="B19" s="183">
        <f>'KWH &amp; Rev 2013'!C71</f>
        <v>1478908</v>
      </c>
      <c r="C19" s="184">
        <f>'KWH &amp; Rev 2013'!C28</f>
        <v>10653940</v>
      </c>
      <c r="D19" s="184">
        <f>'KWH &amp; Rev 2013'!D28</f>
        <v>1625</v>
      </c>
      <c r="E19" s="185">
        <f t="shared" si="0"/>
        <v>6556.2707692307695</v>
      </c>
      <c r="F19" s="186">
        <f t="shared" si="1"/>
        <v>13.881324655479569</v>
      </c>
      <c r="G19" s="181">
        <f t="shared" si="2"/>
        <v>5</v>
      </c>
      <c r="H19" s="32"/>
      <c r="I19" s="1"/>
      <c r="J19" s="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5" customHeight="1">
      <c r="A20" s="182" t="s">
        <v>19</v>
      </c>
      <c r="B20" s="183">
        <f>'KWH &amp; Rev 2013'!C72</f>
        <v>552135</v>
      </c>
      <c r="C20" s="184">
        <f>'KWH &amp; Rev 2013'!C29</f>
        <v>4283340</v>
      </c>
      <c r="D20" s="184">
        <f>'KWH &amp; Rev 2013'!D29</f>
        <v>582</v>
      </c>
      <c r="E20" s="185">
        <f t="shared" si="0"/>
        <v>7359.690721649485</v>
      </c>
      <c r="F20" s="186">
        <f t="shared" si="1"/>
        <v>12.89029122133662</v>
      </c>
      <c r="G20" s="181">
        <f t="shared" si="2"/>
        <v>3</v>
      </c>
      <c r="H20" s="32"/>
      <c r="I20" s="1"/>
      <c r="J20" s="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" customHeight="1">
      <c r="A21" s="153" t="s">
        <v>20</v>
      </c>
      <c r="B21" s="154">
        <f>'KWH &amp; Rev 2013'!C73</f>
        <v>4061175</v>
      </c>
      <c r="C21" s="148">
        <f>'KWH &amp; Rev 2013'!C30</f>
        <v>22574660</v>
      </c>
      <c r="D21" s="148">
        <f>'KWH &amp; Rev 2013'!D30</f>
        <v>3262</v>
      </c>
      <c r="E21" s="155">
        <f t="shared" si="0"/>
        <v>6920.496627835683</v>
      </c>
      <c r="F21" s="156">
        <f t="shared" si="1"/>
        <v>17.989971941991595</v>
      </c>
      <c r="G21" s="157">
        <f t="shared" si="2"/>
        <v>14</v>
      </c>
      <c r="H21" s="32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5" customHeight="1">
      <c r="A22" s="182" t="s">
        <v>21</v>
      </c>
      <c r="B22" s="183">
        <f>'KWH &amp; Rev 2013'!C74</f>
        <v>3101023</v>
      </c>
      <c r="C22" s="184">
        <f>'KWH &amp; Rev 2013'!C31</f>
        <v>26417972</v>
      </c>
      <c r="D22" s="184">
        <f>'KWH &amp; Rev 2013'!D31</f>
        <v>3208</v>
      </c>
      <c r="E22" s="185">
        <f t="shared" si="0"/>
        <v>8235.02867830424</v>
      </c>
      <c r="F22" s="186">
        <f t="shared" si="1"/>
        <v>11.738308300122355</v>
      </c>
      <c r="G22" s="181">
        <f t="shared" si="2"/>
        <v>2</v>
      </c>
      <c r="H22" s="32"/>
      <c r="I22" s="4"/>
      <c r="J22" s="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5" customHeight="1">
      <c r="A23" s="153" t="s">
        <v>22</v>
      </c>
      <c r="B23" s="154">
        <f>'KWH &amp; Rev 2013'!C75</f>
        <v>41655921</v>
      </c>
      <c r="C23" s="148">
        <f>'KWH &amp; Rev 2013'!C32</f>
        <v>222441481</v>
      </c>
      <c r="D23" s="148">
        <f>'KWH &amp; Rev 2013'!D32</f>
        <v>34061</v>
      </c>
      <c r="E23" s="155">
        <f t="shared" si="0"/>
        <v>6530.679692316726</v>
      </c>
      <c r="F23" s="156">
        <f t="shared" si="1"/>
        <v>18.726687492248804</v>
      </c>
      <c r="G23" s="157">
        <f t="shared" si="2"/>
        <v>17</v>
      </c>
      <c r="H23" s="32"/>
      <c r="I23" s="4"/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" customHeight="1" thickBot="1">
      <c r="A24" s="158" t="s">
        <v>23</v>
      </c>
      <c r="B24" s="159">
        <f>'KWH &amp; Rev 2013'!C76</f>
        <v>12028488</v>
      </c>
      <c r="C24" s="160">
        <f>'KWH &amp; Rev 2013'!C33</f>
        <v>61805301</v>
      </c>
      <c r="D24" s="160">
        <f>'KWH &amp; Rev 2013'!D33</f>
        <v>10294</v>
      </c>
      <c r="E24" s="161">
        <f t="shared" si="0"/>
        <v>6004.01214299592</v>
      </c>
      <c r="F24" s="162">
        <f t="shared" si="1"/>
        <v>19.461903437700272</v>
      </c>
      <c r="G24" s="163">
        <f t="shared" si="2"/>
        <v>18</v>
      </c>
      <c r="H24" s="32"/>
      <c r="I24" s="4"/>
      <c r="J24" s="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" customHeight="1" thickBot="1">
      <c r="A25" s="164" t="s">
        <v>24</v>
      </c>
      <c r="B25" s="165">
        <f>SUM(B7:B24)</f>
        <v>364678394</v>
      </c>
      <c r="C25" s="166">
        <f>SUM(C7:C24)</f>
        <v>2151735569</v>
      </c>
      <c r="D25" s="166">
        <f>SUM(D7:D24)</f>
        <v>311164</v>
      </c>
      <c r="E25" s="161">
        <f t="shared" si="0"/>
        <v>6915.117330410973</v>
      </c>
      <c r="F25" s="162">
        <f t="shared" si="1"/>
        <v>16.94810455587166</v>
      </c>
      <c r="G25" s="167"/>
      <c r="H25" s="3"/>
      <c r="I25" s="5"/>
      <c r="J25" s="6">
        <f>I25/276447</f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5" customHeight="1">
      <c r="A26" s="123" t="str">
        <f>'KWH &amp; Rev 2013'!B89</f>
        <v>Sources:   2013 Annual Reports sent to the DPS from the responding utilities</v>
      </c>
      <c r="B26" s="124"/>
      <c r="C26" s="124"/>
      <c r="D26" s="124"/>
      <c r="E26" s="19"/>
      <c r="F26" s="19"/>
      <c r="G26" s="1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9.5" customHeight="1" thickBot="1">
      <c r="A27" s="188" t="s">
        <v>84</v>
      </c>
      <c r="B27" s="40"/>
      <c r="C27" s="40"/>
      <c r="D27" s="40"/>
      <c r="E27" s="40"/>
      <c r="F27" s="19"/>
      <c r="G27" s="1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9.5" customHeight="1">
      <c r="A28" s="98" t="s">
        <v>41</v>
      </c>
      <c r="B28" s="99"/>
      <c r="C28" s="99"/>
      <c r="D28" s="99"/>
      <c r="E28" s="100"/>
      <c r="F28" s="101"/>
      <c r="G28" s="10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9.5" customHeight="1">
      <c r="A29" s="103" t="s">
        <v>39</v>
      </c>
      <c r="B29" s="90"/>
      <c r="C29" s="90"/>
      <c r="D29" s="90"/>
      <c r="E29" s="104"/>
      <c r="F29" s="105"/>
      <c r="G29" s="10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" customHeight="1" thickBot="1">
      <c r="A30" s="107">
        <f>A5</f>
        <v>2013</v>
      </c>
      <c r="B30" s="108"/>
      <c r="C30" s="108"/>
      <c r="D30" s="108"/>
      <c r="E30" s="108"/>
      <c r="F30" s="108"/>
      <c r="G30" s="10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30" customHeight="1" thickBot="1">
      <c r="A31" s="86" t="s">
        <v>0</v>
      </c>
      <c r="B31" s="86" t="s">
        <v>25</v>
      </c>
      <c r="C31" s="86" t="s">
        <v>2</v>
      </c>
      <c r="D31" s="86" t="s">
        <v>26</v>
      </c>
      <c r="E31" s="87" t="s">
        <v>27</v>
      </c>
      <c r="F31" s="94" t="s">
        <v>28</v>
      </c>
      <c r="G31" s="86" t="s">
        <v>6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" customHeight="1">
      <c r="A32" s="146" t="s">
        <v>7</v>
      </c>
      <c r="B32" s="147">
        <f>'KWH &amp; Rev 2013'!D59</f>
        <v>493116</v>
      </c>
      <c r="C32" s="168">
        <f>'KWH &amp; Rev 2013'!E16</f>
        <v>2817949</v>
      </c>
      <c r="D32" s="148">
        <f>'KWH &amp; Rev 2013'!F16</f>
        <v>185</v>
      </c>
      <c r="E32" s="155">
        <f aca="true" t="shared" si="3" ref="E32:E50">C32/D32</f>
        <v>15232.156756756756</v>
      </c>
      <c r="F32" s="151">
        <f aca="true" t="shared" si="4" ref="F32:F50">(B32/C32)*100</f>
        <v>17.499110168423915</v>
      </c>
      <c r="G32" s="152">
        <f aca="true" t="shared" si="5" ref="G32:G49">RANK(F32,$F$32:$F$49,1)</f>
        <v>14</v>
      </c>
      <c r="H32" s="32"/>
      <c r="I32" s="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" customHeight="1">
      <c r="A33" s="182" t="s">
        <v>8</v>
      </c>
      <c r="B33" s="183">
        <f>'KWH &amp; Rev 2013'!D60</f>
        <v>29685128</v>
      </c>
      <c r="C33" s="187">
        <f>'KWH &amp; Rev 2013'!E17</f>
        <v>210311150</v>
      </c>
      <c r="D33" s="184">
        <f>'KWH &amp; Rev 2013'!F17</f>
        <v>3778</v>
      </c>
      <c r="E33" s="185">
        <f t="shared" si="3"/>
        <v>55667.323980942296</v>
      </c>
      <c r="F33" s="186">
        <f t="shared" si="4"/>
        <v>14.114861717983093</v>
      </c>
      <c r="G33" s="181">
        <f t="shared" si="5"/>
        <v>4</v>
      </c>
      <c r="H33" s="32"/>
      <c r="I33" s="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" customHeight="1">
      <c r="A34" s="127" t="s">
        <v>74</v>
      </c>
      <c r="B34" s="183">
        <f>'KWH &amp; Rev 2013'!D61</f>
        <v>0</v>
      </c>
      <c r="C34" s="187">
        <f>'KWH &amp; Rev 2013'!E18</f>
        <v>0</v>
      </c>
      <c r="D34" s="184">
        <f>'KWH &amp; Rev 2013'!F18</f>
        <v>0</v>
      </c>
      <c r="E34" s="185">
        <v>0</v>
      </c>
      <c r="F34" s="186">
        <v>0</v>
      </c>
      <c r="G34" s="181">
        <f t="shared" si="5"/>
        <v>1</v>
      </c>
      <c r="H34" s="32"/>
      <c r="I34" s="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" customHeight="1">
      <c r="A35" s="153" t="s">
        <v>9</v>
      </c>
      <c r="B35" s="154">
        <f>'KWH &amp; Rev 2013'!D62</f>
        <v>272834</v>
      </c>
      <c r="C35" s="169">
        <f>'KWH &amp; Rev 2013'!E19</f>
        <v>1674806</v>
      </c>
      <c r="D35" s="148">
        <f>'KWH &amp; Rev 2013'!F19</f>
        <v>133</v>
      </c>
      <c r="E35" s="155">
        <f t="shared" si="3"/>
        <v>12592.526315789473</v>
      </c>
      <c r="F35" s="156">
        <f t="shared" si="4"/>
        <v>16.29048379334681</v>
      </c>
      <c r="G35" s="157">
        <f t="shared" si="5"/>
        <v>11</v>
      </c>
      <c r="H35" s="32"/>
      <c r="I35" s="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" customHeight="1">
      <c r="A36" s="182" t="s">
        <v>10</v>
      </c>
      <c r="B36" s="183">
        <f>'KWH &amp; Rev 2013'!D63</f>
        <v>224360266</v>
      </c>
      <c r="C36" s="187">
        <f>'KWH &amp; Rev 2013'!E20</f>
        <v>1571957000</v>
      </c>
      <c r="D36" s="184">
        <f>'KWH &amp; Rev 2013'!F20</f>
        <v>38212</v>
      </c>
      <c r="E36" s="185">
        <f t="shared" si="3"/>
        <v>41137.7839422171</v>
      </c>
      <c r="F36" s="186">
        <f t="shared" si="4"/>
        <v>14.272671962401006</v>
      </c>
      <c r="G36" s="181">
        <f t="shared" si="5"/>
        <v>5</v>
      </c>
      <c r="H36" s="32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5" customHeight="1">
      <c r="A37" s="153" t="s">
        <v>11</v>
      </c>
      <c r="B37" s="154">
        <f>'KWH &amp; Rev 2013'!D64</f>
        <v>873916</v>
      </c>
      <c r="C37" s="169">
        <f>'KWH &amp; Rev 2013'!E21</f>
        <v>4613503</v>
      </c>
      <c r="D37" s="148">
        <f>'KWH &amp; Rev 2013'!F21</f>
        <v>416</v>
      </c>
      <c r="E37" s="155">
        <f t="shared" si="3"/>
        <v>11090.151442307691</v>
      </c>
      <c r="F37" s="156">
        <f t="shared" si="4"/>
        <v>18.942569236434874</v>
      </c>
      <c r="G37" s="157">
        <f t="shared" si="5"/>
        <v>15</v>
      </c>
      <c r="H37" s="32"/>
      <c r="I37" s="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" customHeight="1">
      <c r="A38" s="153" t="s">
        <v>12</v>
      </c>
      <c r="B38" s="154">
        <f>'KWH &amp; Rev 2013'!D65</f>
        <v>478236</v>
      </c>
      <c r="C38" s="169">
        <f>'KWH &amp; Rev 2013'!E22</f>
        <v>2431235</v>
      </c>
      <c r="D38" s="148">
        <f>'KWH &amp; Rev 2013'!F22</f>
        <v>126</v>
      </c>
      <c r="E38" s="155">
        <f t="shared" si="3"/>
        <v>19295.515873015873</v>
      </c>
      <c r="F38" s="156">
        <f t="shared" si="4"/>
        <v>19.6704966817276</v>
      </c>
      <c r="G38" s="157">
        <f t="shared" si="5"/>
        <v>17</v>
      </c>
      <c r="H38" s="32"/>
      <c r="I38" s="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" customHeight="1">
      <c r="A39" s="153" t="s">
        <v>13</v>
      </c>
      <c r="B39" s="154">
        <f>'KWH &amp; Rev 2013'!D66</f>
        <v>97808</v>
      </c>
      <c r="C39" s="169">
        <f>'KWH &amp; Rev 2013'!E23</f>
        <v>569997</v>
      </c>
      <c r="D39" s="148">
        <f>'KWH &amp; Rev 2013'!F23</f>
        <v>47</v>
      </c>
      <c r="E39" s="155">
        <f t="shared" si="3"/>
        <v>12127.595744680852</v>
      </c>
      <c r="F39" s="156">
        <f t="shared" si="4"/>
        <v>17.15938855818539</v>
      </c>
      <c r="G39" s="157">
        <f t="shared" si="5"/>
        <v>13</v>
      </c>
      <c r="H39" s="32"/>
      <c r="I39" s="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" customHeight="1">
      <c r="A40" s="153" t="s">
        <v>14</v>
      </c>
      <c r="B40" s="154">
        <f>'KWH &amp; Rev 2013'!D67</f>
        <v>210986</v>
      </c>
      <c r="C40" s="169">
        <f>'KWH &amp; Rev 2013'!E24</f>
        <v>1062354</v>
      </c>
      <c r="D40" s="148">
        <f>'KWH &amp; Rev 2013'!F24</f>
        <v>98</v>
      </c>
      <c r="E40" s="155">
        <f t="shared" si="3"/>
        <v>10840.34693877551</v>
      </c>
      <c r="F40" s="156">
        <f t="shared" si="4"/>
        <v>19.86023491227971</v>
      </c>
      <c r="G40" s="157">
        <f t="shared" si="5"/>
        <v>18</v>
      </c>
      <c r="H40" s="32"/>
      <c r="I40" s="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" customHeight="1">
      <c r="A41" s="153" t="s">
        <v>15</v>
      </c>
      <c r="B41" s="154">
        <f>'KWH &amp; Rev 2013'!D68</f>
        <v>3026337</v>
      </c>
      <c r="C41" s="169">
        <f>'KWH &amp; Rev 2013'!E25</f>
        <v>20491384</v>
      </c>
      <c r="D41" s="148">
        <f>'KWH &amp; Rev 2013'!F25</f>
        <v>685</v>
      </c>
      <c r="E41" s="155">
        <f t="shared" si="3"/>
        <v>29914.42919708029</v>
      </c>
      <c r="F41" s="156">
        <f t="shared" si="4"/>
        <v>14.768826742010202</v>
      </c>
      <c r="G41" s="157">
        <f t="shared" si="5"/>
        <v>8</v>
      </c>
      <c r="H41" s="32"/>
      <c r="I41" s="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" customHeight="1">
      <c r="A42" s="153" t="s">
        <v>16</v>
      </c>
      <c r="B42" s="154">
        <f>'KWH &amp; Rev 2013'!D69</f>
        <v>1713204</v>
      </c>
      <c r="C42" s="169">
        <f>'KWH &amp; Rev 2013'!E26</f>
        <v>10364477</v>
      </c>
      <c r="D42" s="148">
        <f>'KWH &amp; Rev 2013'!F26</f>
        <v>812</v>
      </c>
      <c r="E42" s="155">
        <f t="shared" si="3"/>
        <v>12764.134236453201</v>
      </c>
      <c r="F42" s="156">
        <f t="shared" si="4"/>
        <v>16.529575008946424</v>
      </c>
      <c r="G42" s="157">
        <f t="shared" si="5"/>
        <v>12</v>
      </c>
      <c r="H42" s="32"/>
      <c r="I42" s="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5" customHeight="1">
      <c r="A43" s="153" t="s">
        <v>17</v>
      </c>
      <c r="B43" s="154">
        <f>'KWH &amp; Rev 2013'!D70</f>
        <v>3702851</v>
      </c>
      <c r="C43" s="169">
        <f>'KWH &amp; Rev 2013'!E27</f>
        <v>23642348</v>
      </c>
      <c r="D43" s="148">
        <f>'KWH &amp; Rev 2013'!F27</f>
        <v>586</v>
      </c>
      <c r="E43" s="155">
        <f t="shared" si="3"/>
        <v>40345.30375426621</v>
      </c>
      <c r="F43" s="156">
        <f t="shared" si="4"/>
        <v>15.661942713980862</v>
      </c>
      <c r="G43" s="157">
        <f t="shared" si="5"/>
        <v>9</v>
      </c>
      <c r="H43" s="32"/>
      <c r="I43" s="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5" customHeight="1">
      <c r="A44" s="153" t="s">
        <v>18</v>
      </c>
      <c r="B44" s="154">
        <f>'KWH &amp; Rev 2013'!D71</f>
        <v>333987</v>
      </c>
      <c r="C44" s="169">
        <f>'KWH &amp; Rev 2013'!E28</f>
        <v>2262253</v>
      </c>
      <c r="D44" s="148">
        <f>'KWH &amp; Rev 2013'!F28</f>
        <v>170</v>
      </c>
      <c r="E44" s="155">
        <f t="shared" si="3"/>
        <v>13307.370588235293</v>
      </c>
      <c r="F44" s="156">
        <f t="shared" si="4"/>
        <v>14.763468100163863</v>
      </c>
      <c r="G44" s="157">
        <f t="shared" si="5"/>
        <v>7</v>
      </c>
      <c r="H44" s="32"/>
      <c r="I44" s="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>
      <c r="A45" s="182" t="s">
        <v>19</v>
      </c>
      <c r="B45" s="183">
        <f>'KWH &amp; Rev 2013'!D72</f>
        <v>242236</v>
      </c>
      <c r="C45" s="187">
        <f>'KWH &amp; Rev 2013'!E29</f>
        <v>1721802</v>
      </c>
      <c r="D45" s="184">
        <f>'KWH &amp; Rev 2013'!F29</f>
        <v>65</v>
      </c>
      <c r="E45" s="185">
        <f t="shared" si="3"/>
        <v>26489.26153846154</v>
      </c>
      <c r="F45" s="186">
        <f t="shared" si="4"/>
        <v>14.068748903764778</v>
      </c>
      <c r="G45" s="181">
        <f t="shared" si="5"/>
        <v>3</v>
      </c>
      <c r="H45" s="32"/>
      <c r="I45" s="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>
      <c r="A46" s="153" t="s">
        <v>20</v>
      </c>
      <c r="B46" s="154">
        <f>'KWH &amp; Rev 2013'!D73</f>
        <v>5744352</v>
      </c>
      <c r="C46" s="169">
        <f>'KWH &amp; Rev 2013'!E30</f>
        <v>39794391</v>
      </c>
      <c r="D46" s="148">
        <f>'KWH &amp; Rev 2013'!F30</f>
        <v>746</v>
      </c>
      <c r="E46" s="155">
        <f t="shared" si="3"/>
        <v>53343.68766756032</v>
      </c>
      <c r="F46" s="156">
        <f t="shared" si="4"/>
        <v>14.435079556814928</v>
      </c>
      <c r="G46" s="157">
        <f t="shared" si="5"/>
        <v>6</v>
      </c>
      <c r="H46" s="32"/>
      <c r="I46" s="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>
      <c r="A47" s="182" t="s">
        <v>21</v>
      </c>
      <c r="B47" s="183">
        <f>'KWH &amp; Rev 2013'!D74</f>
        <v>3294183</v>
      </c>
      <c r="C47" s="187">
        <f>'KWH &amp; Rev 2013'!E31</f>
        <v>25874589</v>
      </c>
      <c r="D47" s="184">
        <f>'KWH &amp; Rev 2013'!F31</f>
        <v>439</v>
      </c>
      <c r="E47" s="185">
        <f t="shared" si="3"/>
        <v>58939.83826879271</v>
      </c>
      <c r="F47" s="186">
        <f t="shared" si="4"/>
        <v>12.731344254395694</v>
      </c>
      <c r="G47" s="181">
        <f t="shared" si="5"/>
        <v>2</v>
      </c>
      <c r="H47" s="32"/>
      <c r="I47" s="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>
      <c r="A48" s="153" t="s">
        <v>22</v>
      </c>
      <c r="B48" s="154">
        <f>'KWH &amp; Rev 2013'!D75</f>
        <v>16339304</v>
      </c>
      <c r="C48" s="169">
        <f>'KWH &amp; Rev 2013'!E32</f>
        <v>102912570</v>
      </c>
      <c r="D48" s="148">
        <f>'KWH &amp; Rev 2013'!F32</f>
        <v>3659</v>
      </c>
      <c r="E48" s="155">
        <f t="shared" si="3"/>
        <v>28125.87318939601</v>
      </c>
      <c r="F48" s="156">
        <f t="shared" si="4"/>
        <v>15.876878791385737</v>
      </c>
      <c r="G48" s="157">
        <f t="shared" si="5"/>
        <v>10</v>
      </c>
      <c r="H48" s="32"/>
      <c r="I48" s="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thickBot="1">
      <c r="A49" s="158" t="s">
        <v>23</v>
      </c>
      <c r="B49" s="159">
        <f>'KWH &amp; Rev 2013'!D76</f>
        <v>862042</v>
      </c>
      <c r="C49" s="170">
        <f>'KWH &amp; Rev 2013'!E33</f>
        <v>4436175</v>
      </c>
      <c r="D49" s="160">
        <f>'KWH &amp; Rev 2013'!F33</f>
        <v>451</v>
      </c>
      <c r="E49" s="161">
        <f t="shared" si="3"/>
        <v>9836.308203991131</v>
      </c>
      <c r="F49" s="162">
        <f t="shared" si="4"/>
        <v>19.432100852648958</v>
      </c>
      <c r="G49" s="163">
        <f t="shared" si="5"/>
        <v>16</v>
      </c>
      <c r="H49" s="3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thickBot="1">
      <c r="A50" s="164" t="s">
        <v>24</v>
      </c>
      <c r="B50" s="165">
        <f>SUM(B32:B49)</f>
        <v>291730786</v>
      </c>
      <c r="C50" s="171">
        <f>SUM(C32:C49)</f>
        <v>2026937983</v>
      </c>
      <c r="D50" s="166">
        <f>SUM(D32:D49)</f>
        <v>50608</v>
      </c>
      <c r="E50" s="161">
        <f t="shared" si="3"/>
        <v>40051.73061571293</v>
      </c>
      <c r="F50" s="162">
        <f t="shared" si="4"/>
        <v>14.392684356736925</v>
      </c>
      <c r="G50" s="16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>
      <c r="A51" s="192" t="s">
        <v>84</v>
      </c>
      <c r="B51" s="193"/>
      <c r="C51" s="193" t="s">
        <v>29</v>
      </c>
      <c r="D51" s="193"/>
      <c r="E51" s="194"/>
      <c r="F51" s="195"/>
      <c r="G51" s="19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9.5" customHeight="1">
      <c r="A52" s="189">
        <f ca="1">NOW()</f>
        <v>41849.52375891204</v>
      </c>
      <c r="C52" s="40"/>
      <c r="D52" s="40"/>
      <c r="E52" s="40"/>
      <c r="F52" s="190"/>
      <c r="G52" s="191" t="s">
        <v>78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9.5" customHeight="1">
      <c r="A53" s="103" t="s">
        <v>38</v>
      </c>
      <c r="B53" s="85"/>
      <c r="C53" s="85"/>
      <c r="D53" s="85"/>
      <c r="E53" s="85"/>
      <c r="F53" s="85"/>
      <c r="G53" s="111"/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9.5" customHeight="1">
      <c r="A54" s="103" t="s">
        <v>40</v>
      </c>
      <c r="B54" s="85"/>
      <c r="C54" s="85"/>
      <c r="D54" s="85"/>
      <c r="E54" s="85"/>
      <c r="F54" s="85"/>
      <c r="G54" s="111"/>
      <c r="H54" s="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6.5" thickBot="1">
      <c r="A55" s="107">
        <f>A5</f>
        <v>2013</v>
      </c>
      <c r="B55" s="108"/>
      <c r="C55" s="108"/>
      <c r="D55" s="108"/>
      <c r="E55" s="108"/>
      <c r="F55" s="108"/>
      <c r="G55" s="110"/>
      <c r="H55" s="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30" customHeight="1">
      <c r="A56" s="91" t="s">
        <v>0</v>
      </c>
      <c r="B56" s="91" t="s">
        <v>30</v>
      </c>
      <c r="C56" s="91" t="s">
        <v>2</v>
      </c>
      <c r="D56" s="91" t="s">
        <v>31</v>
      </c>
      <c r="E56" s="92" t="s">
        <v>32</v>
      </c>
      <c r="F56" s="93" t="s">
        <v>33</v>
      </c>
      <c r="G56" s="91" t="s">
        <v>6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5" customHeight="1">
      <c r="A57" s="153" t="s">
        <v>7</v>
      </c>
      <c r="B57" s="154">
        <f>'KWH &amp; Rev 2013'!E59</f>
        <v>0</v>
      </c>
      <c r="C57" s="148">
        <f>'KWH &amp; Rev 2013'!G16</f>
        <v>0</v>
      </c>
      <c r="D57" s="148">
        <f>'KWH &amp; Rev 2013'!H16</f>
        <v>0</v>
      </c>
      <c r="E57" s="172" t="s">
        <v>36</v>
      </c>
      <c r="F57" s="172"/>
      <c r="G57" s="157" t="str">
        <f aca="true" t="shared" si="6" ref="G57:G74">IF(D57&gt;0,RANK(F57,$F$57:$F$74,-1),"No Ind. Sales")</f>
        <v>No Ind. Sales</v>
      </c>
      <c r="H57" s="3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5" customHeight="1">
      <c r="A58" s="182" t="s">
        <v>8</v>
      </c>
      <c r="B58" s="183">
        <f>'KWH &amp; Rev 2013'!E60</f>
        <v>4773685</v>
      </c>
      <c r="C58" s="184">
        <f>'KWH &amp; Rev 2013'!G17</f>
        <v>41782894</v>
      </c>
      <c r="D58" s="184">
        <f>'KWH &amp; Rev 2013'!H17</f>
        <v>2</v>
      </c>
      <c r="E58" s="185">
        <f aca="true" t="shared" si="7" ref="E58:E70">C58/D58</f>
        <v>20891447</v>
      </c>
      <c r="F58" s="186">
        <f aca="true" t="shared" si="8" ref="F58:F70">(B58/C58)*100</f>
        <v>11.424974536230065</v>
      </c>
      <c r="G58" s="181">
        <f t="shared" si="6"/>
        <v>4</v>
      </c>
      <c r="H58" s="3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5" customHeight="1">
      <c r="A59" s="127" t="s">
        <v>74</v>
      </c>
      <c r="B59" s="183">
        <f>'KWH &amp; Rev 2013'!E61</f>
        <v>0</v>
      </c>
      <c r="C59" s="184">
        <f>'KWH &amp; Rev 2013'!G18</f>
        <v>0</v>
      </c>
      <c r="D59" s="184">
        <f>'KWH &amp; Rev 2013'!H18</f>
        <v>0</v>
      </c>
      <c r="E59" s="185">
        <v>0</v>
      </c>
      <c r="F59" s="186">
        <v>0</v>
      </c>
      <c r="G59" s="181" t="str">
        <f t="shared" si="6"/>
        <v>No Ind. Sales</v>
      </c>
      <c r="H59" s="3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5" customHeight="1">
      <c r="A60" s="153" t="s">
        <v>9</v>
      </c>
      <c r="B60" s="154">
        <f>'KWH &amp; Rev 2013'!E62</f>
        <v>1619456</v>
      </c>
      <c r="C60" s="148">
        <f>'KWH &amp; Rev 2013'!G19</f>
        <v>11080801</v>
      </c>
      <c r="D60" s="148">
        <f>'KWH &amp; Rev 2013'!H19</f>
        <v>24</v>
      </c>
      <c r="E60" s="155">
        <f t="shared" si="7"/>
        <v>461700.0416666667</v>
      </c>
      <c r="F60" s="156">
        <f t="shared" si="8"/>
        <v>14.614972329166456</v>
      </c>
      <c r="G60" s="157">
        <f t="shared" si="6"/>
        <v>9</v>
      </c>
      <c r="H60" s="3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5" customHeight="1">
      <c r="A61" s="182" t="s">
        <v>10</v>
      </c>
      <c r="B61" s="183">
        <f>'KWH &amp; Rev 2013'!E63</f>
        <v>115960210</v>
      </c>
      <c r="C61" s="184">
        <f>'KWH &amp; Rev 2013'!G20</f>
        <v>1184281000</v>
      </c>
      <c r="D61" s="184">
        <f>'KWH &amp; Rev 2013'!H20</f>
        <v>67</v>
      </c>
      <c r="E61" s="185">
        <f t="shared" si="7"/>
        <v>17675835.820895523</v>
      </c>
      <c r="F61" s="186">
        <f t="shared" si="8"/>
        <v>9.791612801353732</v>
      </c>
      <c r="G61" s="181">
        <f t="shared" si="6"/>
        <v>2</v>
      </c>
      <c r="H61" s="3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5" customHeight="1">
      <c r="A62" s="153" t="s">
        <v>11</v>
      </c>
      <c r="B62" s="154">
        <f>'KWH &amp; Rev 2013'!E64</f>
        <v>726496</v>
      </c>
      <c r="C62" s="148">
        <f>'KWH &amp; Rev 2013'!G21</f>
        <v>4171699</v>
      </c>
      <c r="D62" s="148">
        <f>'KWH &amp; Rev 2013'!H21</f>
        <v>25</v>
      </c>
      <c r="E62" s="155">
        <f t="shared" si="7"/>
        <v>166867.96</v>
      </c>
      <c r="F62" s="156">
        <f t="shared" si="8"/>
        <v>17.41487101538246</v>
      </c>
      <c r="G62" s="157">
        <f t="shared" si="6"/>
        <v>12</v>
      </c>
      <c r="H62" s="3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5" customHeight="1">
      <c r="A63" s="153" t="s">
        <v>12</v>
      </c>
      <c r="B63" s="154">
        <f>'KWH &amp; Rev 2013'!E65</f>
        <v>0</v>
      </c>
      <c r="C63" s="148">
        <f>'KWH &amp; Rev 2013'!G22</f>
        <v>0</v>
      </c>
      <c r="D63" s="148">
        <f>'KWH &amp; Rev 2013'!H22</f>
        <v>0</v>
      </c>
      <c r="E63" s="172" t="s">
        <v>36</v>
      </c>
      <c r="F63" s="172"/>
      <c r="G63" s="157" t="str">
        <f t="shared" si="6"/>
        <v>No Ind. Sales</v>
      </c>
      <c r="H63" s="3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5" customHeight="1">
      <c r="A64" s="153" t="s">
        <v>13</v>
      </c>
      <c r="B64" s="154">
        <f>'KWH &amp; Rev 2013'!E66</f>
        <v>133390</v>
      </c>
      <c r="C64" s="148">
        <f>'KWH &amp; Rev 2013'!G23</f>
        <v>773319</v>
      </c>
      <c r="D64" s="148">
        <f>'KWH &amp; Rev 2013'!H23</f>
        <v>5</v>
      </c>
      <c r="E64" s="155">
        <f t="shared" si="7"/>
        <v>154663.8</v>
      </c>
      <c r="F64" s="156">
        <f t="shared" si="8"/>
        <v>17.249026598337814</v>
      </c>
      <c r="G64" s="157">
        <f t="shared" si="6"/>
        <v>11</v>
      </c>
      <c r="H64" s="3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5" customHeight="1">
      <c r="A65" s="153" t="s">
        <v>14</v>
      </c>
      <c r="B65" s="154">
        <f>'KWH &amp; Rev 2013'!E67</f>
        <v>1092017</v>
      </c>
      <c r="C65" s="148">
        <f>'KWH &amp; Rev 2013'!G24</f>
        <v>6266201</v>
      </c>
      <c r="D65" s="148">
        <f>'KWH &amp; Rev 2013'!H24</f>
        <v>13</v>
      </c>
      <c r="E65" s="155">
        <f t="shared" si="7"/>
        <v>482015.46153846156</v>
      </c>
      <c r="F65" s="156">
        <f t="shared" si="8"/>
        <v>17.427098173199358</v>
      </c>
      <c r="G65" s="157">
        <f t="shared" si="6"/>
        <v>13</v>
      </c>
      <c r="H65" s="3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5" customHeight="1">
      <c r="A66" s="153" t="s">
        <v>15</v>
      </c>
      <c r="B66" s="154">
        <f>'KWH &amp; Rev 2013'!E68</f>
        <v>2262215</v>
      </c>
      <c r="C66" s="148">
        <f>'KWH &amp; Rev 2013'!G25</f>
        <v>11531436</v>
      </c>
      <c r="D66" s="148">
        <f>'KWH &amp; Rev 2013'!H25</f>
        <v>4</v>
      </c>
      <c r="E66" s="155">
        <f t="shared" si="7"/>
        <v>2882859</v>
      </c>
      <c r="F66" s="156">
        <f t="shared" si="8"/>
        <v>19.61780822440501</v>
      </c>
      <c r="G66" s="157">
        <f t="shared" si="6"/>
        <v>14</v>
      </c>
      <c r="H66" s="3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5" customHeight="1">
      <c r="A67" s="153" t="s">
        <v>16</v>
      </c>
      <c r="B67" s="154">
        <f>'KWH &amp; Rev 2013'!E69</f>
        <v>3146456</v>
      </c>
      <c r="C67" s="148">
        <f>'KWH &amp; Rev 2013'!G26</f>
        <v>21687944</v>
      </c>
      <c r="D67" s="148">
        <f>'KWH &amp; Rev 2013'!H26</f>
        <v>40</v>
      </c>
      <c r="E67" s="155">
        <f t="shared" si="7"/>
        <v>542198.6</v>
      </c>
      <c r="F67" s="156">
        <f t="shared" si="8"/>
        <v>14.507857452970185</v>
      </c>
      <c r="G67" s="157">
        <f t="shared" si="6"/>
        <v>8</v>
      </c>
      <c r="H67" s="3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5" customHeight="1">
      <c r="A68" s="153" t="s">
        <v>17</v>
      </c>
      <c r="B68" s="154">
        <f>'KWH &amp; Rev 2013'!E70</f>
        <v>0</v>
      </c>
      <c r="C68" s="148">
        <f>'KWH &amp; Rev 2013'!G27</f>
        <v>0</v>
      </c>
      <c r="D68" s="148">
        <f>'KWH &amp; Rev 2013'!H27</f>
        <v>0</v>
      </c>
      <c r="E68" s="172" t="s">
        <v>36</v>
      </c>
      <c r="F68" s="172"/>
      <c r="G68" s="157" t="str">
        <f t="shared" si="6"/>
        <v>No Ind. Sales</v>
      </c>
      <c r="H68" s="3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5" customHeight="1">
      <c r="A69" s="153" t="s">
        <v>18</v>
      </c>
      <c r="B69" s="154">
        <f>'KWH &amp; Rev 2013'!E71</f>
        <v>1845059</v>
      </c>
      <c r="C69" s="148">
        <f>'KWH &amp; Rev 2013'!G28</f>
        <v>14218995</v>
      </c>
      <c r="D69" s="148">
        <f>'KWH &amp; Rev 2013'!H28</f>
        <v>18</v>
      </c>
      <c r="E69" s="155">
        <f t="shared" si="7"/>
        <v>789944.1666666666</v>
      </c>
      <c r="F69" s="156">
        <f t="shared" si="8"/>
        <v>12.976015534149917</v>
      </c>
      <c r="G69" s="157">
        <f t="shared" si="6"/>
        <v>6</v>
      </c>
      <c r="H69" s="3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5" customHeight="1">
      <c r="A70" s="153" t="s">
        <v>19</v>
      </c>
      <c r="B70" s="154">
        <f>'KWH &amp; Rev 2013'!E72</f>
        <v>1017133</v>
      </c>
      <c r="C70" s="148">
        <f>'KWH &amp; Rev 2013'!G29</f>
        <v>6640800</v>
      </c>
      <c r="D70" s="148">
        <f>'KWH &amp; Rev 2013'!H29</f>
        <v>1</v>
      </c>
      <c r="E70" s="155">
        <f t="shared" si="7"/>
        <v>6640800</v>
      </c>
      <c r="F70" s="156">
        <f t="shared" si="8"/>
        <v>15.316422720154199</v>
      </c>
      <c r="G70" s="157">
        <f t="shared" si="6"/>
        <v>10</v>
      </c>
      <c r="H70" s="3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5" customHeight="1">
      <c r="A71" s="182" t="s">
        <v>20</v>
      </c>
      <c r="B71" s="183">
        <f>'KWH &amp; Rev 2013'!E73</f>
        <v>1396836</v>
      </c>
      <c r="C71" s="184">
        <f>'KWH &amp; Rev 2013'!G30</f>
        <v>11465880</v>
      </c>
      <c r="D71" s="184">
        <f>'KWH &amp; Rev 2013'!H30</f>
        <v>1</v>
      </c>
      <c r="E71" s="185">
        <f>C71/D71</f>
        <v>11465880</v>
      </c>
      <c r="F71" s="186">
        <f>(B71/C71)*100</f>
        <v>12.182545081581178</v>
      </c>
      <c r="G71" s="181">
        <f t="shared" si="6"/>
        <v>5</v>
      </c>
      <c r="H71" s="3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5" customHeight="1">
      <c r="A72" s="153" t="s">
        <v>21</v>
      </c>
      <c r="B72" s="154">
        <f>'KWH &amp; Rev 2013'!E74</f>
        <v>0</v>
      </c>
      <c r="C72" s="148">
        <f>'KWH &amp; Rev 2013'!G31</f>
        <v>0</v>
      </c>
      <c r="D72" s="148">
        <f>'KWH &amp; Rev 2013'!H31</f>
        <v>0</v>
      </c>
      <c r="E72" s="172" t="s">
        <v>36</v>
      </c>
      <c r="F72" s="156"/>
      <c r="G72" s="157" t="str">
        <f t="shared" si="6"/>
        <v>No Ind. Sales</v>
      </c>
      <c r="H72" s="3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5" customHeight="1">
      <c r="A73" s="182" t="s">
        <v>22</v>
      </c>
      <c r="B73" s="183">
        <f>'KWH &amp; Rev 2013'!E75</f>
        <v>10408610</v>
      </c>
      <c r="C73" s="184">
        <f>'KWH &amp; Rev 2013'!G32</f>
        <v>100726826</v>
      </c>
      <c r="D73" s="184">
        <f>'KWH &amp; Rev 2013'!H32</f>
        <v>13</v>
      </c>
      <c r="E73" s="185">
        <f>C73/D73</f>
        <v>7748217.384615385</v>
      </c>
      <c r="F73" s="186">
        <f>(B73/C73)*100</f>
        <v>10.333503410501589</v>
      </c>
      <c r="G73" s="181">
        <f t="shared" si="6"/>
        <v>3</v>
      </c>
      <c r="H73" s="3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5" customHeight="1" thickBot="1">
      <c r="A74" s="158" t="s">
        <v>23</v>
      </c>
      <c r="B74" s="159">
        <f>'KWH &amp; Rev 2013'!E76</f>
        <v>451670</v>
      </c>
      <c r="C74" s="160">
        <f>'KWH &amp; Rev 2013'!G33</f>
        <v>3204666</v>
      </c>
      <c r="D74" s="160">
        <f>'KWH &amp; Rev 2013'!H33</f>
        <v>11</v>
      </c>
      <c r="E74" s="161">
        <f>C74/D74</f>
        <v>291333.2727272727</v>
      </c>
      <c r="F74" s="162">
        <f>(B74/C74)*100</f>
        <v>14.094136487234552</v>
      </c>
      <c r="G74" s="163">
        <f t="shared" si="6"/>
        <v>7</v>
      </c>
      <c r="H74" s="3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5" customHeight="1" thickBot="1">
      <c r="A75" s="164" t="s">
        <v>24</v>
      </c>
      <c r="B75" s="165">
        <f>SUM(B57:B74)</f>
        <v>144833233</v>
      </c>
      <c r="C75" s="166">
        <f>SUM(C57:C74)</f>
        <v>1417832461</v>
      </c>
      <c r="D75" s="166">
        <f>SUM(D57:D74)</f>
        <v>224</v>
      </c>
      <c r="E75" s="161">
        <f>C75/D75</f>
        <v>6329609.200892857</v>
      </c>
      <c r="F75" s="162">
        <f>(B75/C75)*100</f>
        <v>10.215116170908432</v>
      </c>
      <c r="G75" s="16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5" customHeight="1">
      <c r="A76" s="123" t="str">
        <f>'KWH &amp; Rev 2013'!B89</f>
        <v>Sources:   2013 Annual Reports sent to the DPS from the responding utilities</v>
      </c>
      <c r="B76" s="19"/>
      <c r="C76" s="25"/>
      <c r="D76" s="25"/>
      <c r="E76" s="17"/>
      <c r="F76" s="18"/>
      <c r="G76" s="19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8">
      <c r="A77" s="188" t="s">
        <v>84</v>
      </c>
      <c r="B77" s="40"/>
      <c r="C77" s="40"/>
      <c r="D77" s="40"/>
      <c r="E77" s="40"/>
      <c r="F77" s="26"/>
      <c r="G77" s="26"/>
      <c r="H77" s="9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9.5" customHeight="1">
      <c r="A78" s="90" t="s">
        <v>41</v>
      </c>
      <c r="B78" s="90"/>
      <c r="C78" s="90"/>
      <c r="D78" s="90"/>
      <c r="E78" s="104"/>
      <c r="F78" s="105"/>
      <c r="G78" s="2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5" customHeight="1">
      <c r="A79" s="90" t="s">
        <v>42</v>
      </c>
      <c r="B79" s="90"/>
      <c r="C79" s="90"/>
      <c r="D79" s="90"/>
      <c r="E79" s="104"/>
      <c r="F79" s="105"/>
      <c r="G79" s="20"/>
      <c r="H79" s="3"/>
      <c r="I79" s="3"/>
      <c r="J79" s="8"/>
      <c r="K79" s="8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5" customHeight="1" thickBot="1">
      <c r="A80" s="113">
        <f>A5</f>
        <v>2013</v>
      </c>
      <c r="B80" s="108"/>
      <c r="C80" s="108"/>
      <c r="D80" s="108"/>
      <c r="E80" s="108"/>
      <c r="F80" s="108"/>
      <c r="G80" s="2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30" customHeight="1" thickBot="1">
      <c r="A81" s="173" t="s">
        <v>0</v>
      </c>
      <c r="B81" s="174" t="s">
        <v>34</v>
      </c>
      <c r="C81" s="174" t="s">
        <v>2</v>
      </c>
      <c r="D81" s="174" t="s">
        <v>35</v>
      </c>
      <c r="E81" s="175" t="s">
        <v>5</v>
      </c>
      <c r="F81" s="174" t="s">
        <v>6</v>
      </c>
      <c r="G81" s="19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5.75">
      <c r="A82" s="146" t="s">
        <v>7</v>
      </c>
      <c r="B82" s="147">
        <f>'KWH &amp; Rev 2013'!H59</f>
        <v>2479563</v>
      </c>
      <c r="C82" s="149">
        <f>'KWH &amp; Rev 2013'!K16</f>
        <v>14125611</v>
      </c>
      <c r="D82" s="149">
        <f>'KWH &amp; Rev 2013'!L16</f>
        <v>2167</v>
      </c>
      <c r="E82" s="151">
        <f aca="true" t="shared" si="9" ref="E82:E100">B82/C82*100</f>
        <v>17.553669005892914</v>
      </c>
      <c r="F82" s="152">
        <f aca="true" t="shared" si="10" ref="F82:F99">RANK(E82,$E$82:$E$99,1)</f>
        <v>14</v>
      </c>
      <c r="G82" s="3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5.75">
      <c r="A83" s="182" t="s">
        <v>8</v>
      </c>
      <c r="B83" s="183">
        <f>'KWH &amp; Rev 2013'!H60</f>
        <v>48863499</v>
      </c>
      <c r="C83" s="184">
        <f>'KWH &amp; Rev 2013'!K17</f>
        <v>342361521</v>
      </c>
      <c r="D83" s="184">
        <f>'KWH &amp; Rev 2013'!L17</f>
        <v>20412</v>
      </c>
      <c r="E83" s="186">
        <f t="shared" si="9"/>
        <v>14.272485662896678</v>
      </c>
      <c r="F83" s="181">
        <f t="shared" si="10"/>
        <v>5</v>
      </c>
      <c r="G83" s="3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5.75">
      <c r="A84" s="127" t="s">
        <v>74</v>
      </c>
      <c r="B84" s="183">
        <f>'KWH &amp; Rev 2013'!H61</f>
        <v>0</v>
      </c>
      <c r="C84" s="184">
        <f>'KWH &amp; Rev 2013'!K18</f>
        <v>0</v>
      </c>
      <c r="D84" s="184">
        <f>'KWH &amp; Rev 2013'!L18</f>
        <v>0</v>
      </c>
      <c r="E84" s="186">
        <v>0</v>
      </c>
      <c r="F84" s="181">
        <f t="shared" si="10"/>
        <v>1</v>
      </c>
      <c r="G84" s="34"/>
      <c r="H84" s="10"/>
      <c r="I84" s="10"/>
      <c r="J84" s="11"/>
      <c r="K84" s="10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ht="15.75">
      <c r="A85" s="153" t="s">
        <v>9</v>
      </c>
      <c r="B85" s="154">
        <f>'KWH &amp; Rev 2013'!H62</f>
        <v>4302513</v>
      </c>
      <c r="C85" s="148">
        <f>'KWH &amp; Rev 2013'!K19</f>
        <v>27788900</v>
      </c>
      <c r="D85" s="148">
        <f>'KWH &amp; Rev 2013'!L19</f>
        <v>1694</v>
      </c>
      <c r="E85" s="156">
        <f t="shared" si="9"/>
        <v>15.482847467873864</v>
      </c>
      <c r="F85" s="157">
        <f t="shared" si="10"/>
        <v>9</v>
      </c>
      <c r="G85" s="3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ht="15.75">
      <c r="A86" s="182" t="s">
        <v>10</v>
      </c>
      <c r="B86" s="183">
        <f>'KWH &amp; Rev 2013'!H63</f>
        <v>609652567</v>
      </c>
      <c r="C86" s="184">
        <f>'KWH &amp; Rev 2013'!K20</f>
        <v>4348322000</v>
      </c>
      <c r="D86" s="184">
        <f>'KWH &amp; Rev 2013'!L20</f>
        <v>258872</v>
      </c>
      <c r="E86" s="186">
        <f t="shared" si="9"/>
        <v>14.02040987304988</v>
      </c>
      <c r="F86" s="181">
        <f t="shared" si="10"/>
        <v>4</v>
      </c>
      <c r="G86" s="3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ht="15.75">
      <c r="A87" s="153" t="s">
        <v>11</v>
      </c>
      <c r="B87" s="154">
        <f>'KWH &amp; Rev 2013'!H64</f>
        <v>5926784</v>
      </c>
      <c r="C87" s="148">
        <f>'KWH &amp; Rev 2013'!K21</f>
        <v>32437313</v>
      </c>
      <c r="D87" s="148">
        <f>'KWH &amp; Rev 2013'!L21</f>
        <v>4467</v>
      </c>
      <c r="E87" s="156">
        <f t="shared" si="9"/>
        <v>18.27150109505063</v>
      </c>
      <c r="F87" s="157">
        <f t="shared" si="10"/>
        <v>16</v>
      </c>
      <c r="G87" s="3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ht="15.75">
      <c r="A88" s="153" t="s">
        <v>12</v>
      </c>
      <c r="B88" s="154">
        <f>'KWH &amp; Rev 2013'!H65</f>
        <v>2051121</v>
      </c>
      <c r="C88" s="148">
        <f>'KWH &amp; Rev 2013'!K22</f>
        <v>11090459</v>
      </c>
      <c r="D88" s="148">
        <f>'KWH &amp; Rev 2013'!L22</f>
        <v>1374</v>
      </c>
      <c r="E88" s="156">
        <f t="shared" si="9"/>
        <v>18.494464476177225</v>
      </c>
      <c r="F88" s="157">
        <f t="shared" si="10"/>
        <v>17</v>
      </c>
      <c r="G88" s="3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ht="15.75">
      <c r="A89" s="153" t="s">
        <v>13</v>
      </c>
      <c r="B89" s="154">
        <f>'KWH &amp; Rev 2013'!H66</f>
        <v>828586</v>
      </c>
      <c r="C89" s="148">
        <f>'KWH &amp; Rev 2013'!K23</f>
        <v>4867849</v>
      </c>
      <c r="D89" s="148">
        <f>'KWH &amp; Rev 2013'!L23</f>
        <v>702</v>
      </c>
      <c r="E89" s="156">
        <f t="shared" si="9"/>
        <v>17.0216044088467</v>
      </c>
      <c r="F89" s="157">
        <f t="shared" si="10"/>
        <v>13</v>
      </c>
      <c r="G89" s="3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ht="15.75">
      <c r="A90" s="153" t="s">
        <v>14</v>
      </c>
      <c r="B90" s="154">
        <f>'KWH &amp; Rev 2013'!H67</f>
        <v>2365997</v>
      </c>
      <c r="C90" s="148">
        <f>'KWH &amp; Rev 2013'!K24</f>
        <v>13362512</v>
      </c>
      <c r="D90" s="148">
        <f>'KWH &amp; Rev 2013'!L24</f>
        <v>937</v>
      </c>
      <c r="E90" s="156">
        <f t="shared" si="9"/>
        <v>17.706229188044883</v>
      </c>
      <c r="F90" s="157">
        <f t="shared" si="10"/>
        <v>15</v>
      </c>
      <c r="G90" s="3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5.75">
      <c r="A91" s="153" t="s">
        <v>15</v>
      </c>
      <c r="B91" s="154">
        <f>'KWH &amp; Rev 2013'!H68</f>
        <v>7656817</v>
      </c>
      <c r="C91" s="148">
        <f>'KWH &amp; Rev 2013'!K25</f>
        <v>49094223</v>
      </c>
      <c r="D91" s="148">
        <f>'KWH &amp; Rev 2013'!L25</f>
        <v>3689</v>
      </c>
      <c r="E91" s="156">
        <f t="shared" si="9"/>
        <v>15.596166986897828</v>
      </c>
      <c r="F91" s="157">
        <f t="shared" si="10"/>
        <v>10</v>
      </c>
      <c r="G91" s="3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5.75">
      <c r="A92" s="153" t="s">
        <v>16</v>
      </c>
      <c r="B92" s="154">
        <f>'KWH &amp; Rev 2013'!H69</f>
        <v>9848319</v>
      </c>
      <c r="C92" s="148">
        <f>'KWH &amp; Rev 2013'!K26</f>
        <v>64875174</v>
      </c>
      <c r="D92" s="148">
        <f>'KWH &amp; Rev 2013'!L26</f>
        <v>5642</v>
      </c>
      <c r="E92" s="156">
        <f t="shared" si="9"/>
        <v>15.18041246409605</v>
      </c>
      <c r="F92" s="157">
        <f t="shared" si="10"/>
        <v>7</v>
      </c>
      <c r="G92" s="3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5.75">
      <c r="A93" s="153" t="s">
        <v>17</v>
      </c>
      <c r="B93" s="154">
        <f>'KWH &amp; Rev 2013'!H70</f>
        <v>7041853</v>
      </c>
      <c r="C93" s="148">
        <f>'KWH &amp; Rev 2013'!K27</f>
        <v>44664329</v>
      </c>
      <c r="D93" s="148">
        <f>'KWH &amp; Rev 2013'!L27</f>
        <v>3896</v>
      </c>
      <c r="E93" s="156">
        <f t="shared" si="9"/>
        <v>15.766167672640957</v>
      </c>
      <c r="F93" s="157">
        <f t="shared" si="10"/>
        <v>11</v>
      </c>
      <c r="G93" s="3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5.75">
      <c r="A94" s="182" t="s">
        <v>18</v>
      </c>
      <c r="B94" s="183">
        <f>'KWH &amp; Rev 2013'!H71</f>
        <v>3992111</v>
      </c>
      <c r="C94" s="184">
        <f>'KWH &amp; Rev 2013'!K28</f>
        <v>29333588</v>
      </c>
      <c r="D94" s="184">
        <f>'KWH &amp; Rev 2013'!L28</f>
        <v>2231</v>
      </c>
      <c r="E94" s="186">
        <f t="shared" si="9"/>
        <v>13.609351164269437</v>
      </c>
      <c r="F94" s="181">
        <f t="shared" si="10"/>
        <v>3</v>
      </c>
      <c r="G94" s="3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5.75">
      <c r="A95" s="153" t="s">
        <v>19</v>
      </c>
      <c r="B95" s="154">
        <f>'KWH &amp; Rev 2013'!H72</f>
        <v>1890196</v>
      </c>
      <c r="C95" s="148">
        <f>'KWH &amp; Rev 2013'!K29</f>
        <v>13187965</v>
      </c>
      <c r="D95" s="148">
        <f>'KWH &amp; Rev 2013'!L29</f>
        <v>669</v>
      </c>
      <c r="E95" s="156">
        <f t="shared" si="9"/>
        <v>14.332734428700714</v>
      </c>
      <c r="F95" s="157">
        <f t="shared" si="10"/>
        <v>6</v>
      </c>
      <c r="G95" s="3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5.75">
      <c r="A96" s="153" t="s">
        <v>20</v>
      </c>
      <c r="B96" s="154">
        <f>'KWH &amp; Rev 2013'!H73</f>
        <v>11223196</v>
      </c>
      <c r="C96" s="148">
        <f>'KWH &amp; Rev 2013'!K30</f>
        <v>73853546</v>
      </c>
      <c r="D96" s="148">
        <f>'KWH &amp; Rev 2013'!L30</f>
        <v>4013</v>
      </c>
      <c r="E96" s="156">
        <f t="shared" si="9"/>
        <v>15.196556709680534</v>
      </c>
      <c r="F96" s="157">
        <f t="shared" si="10"/>
        <v>8</v>
      </c>
      <c r="G96" s="3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5.75">
      <c r="A97" s="182" t="s">
        <v>21</v>
      </c>
      <c r="B97" s="183">
        <f>'KWH &amp; Rev 2013'!H74</f>
        <v>6588759</v>
      </c>
      <c r="C97" s="184">
        <f>'KWH &amp; Rev 2013'!K31</f>
        <v>53441458</v>
      </c>
      <c r="D97" s="184">
        <f>'KWH &amp; Rev 2013'!L31</f>
        <v>3649</v>
      </c>
      <c r="E97" s="186">
        <f t="shared" si="9"/>
        <v>12.328928226471666</v>
      </c>
      <c r="F97" s="181">
        <f t="shared" si="10"/>
        <v>2</v>
      </c>
      <c r="G97" s="3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5.75">
      <c r="A98" s="153" t="s">
        <v>22</v>
      </c>
      <c r="B98" s="154">
        <f>'KWH &amp; Rev 2013'!H75</f>
        <v>71242298</v>
      </c>
      <c r="C98" s="148">
        <f>'KWH &amp; Rev 2013'!K32</f>
        <v>443132041</v>
      </c>
      <c r="D98" s="148">
        <f>'KWH &amp; Rev 2013'!L32</f>
        <v>38258</v>
      </c>
      <c r="E98" s="156">
        <f t="shared" si="9"/>
        <v>16.076990921087557</v>
      </c>
      <c r="F98" s="157">
        <f t="shared" si="10"/>
        <v>12</v>
      </c>
      <c r="G98" s="3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6.5" thickBot="1">
      <c r="A99" s="158" t="s">
        <v>23</v>
      </c>
      <c r="B99" s="159">
        <f>'KWH &amp; Rev 2013'!H76</f>
        <v>13353731</v>
      </c>
      <c r="C99" s="160">
        <f>'KWH &amp; Rev 2013'!K33</f>
        <v>69483392</v>
      </c>
      <c r="D99" s="160">
        <f>'KWH &amp; Rev 2013'!L33</f>
        <v>10756</v>
      </c>
      <c r="E99" s="162">
        <f t="shared" si="9"/>
        <v>19.218593991496558</v>
      </c>
      <c r="F99" s="163">
        <f t="shared" si="10"/>
        <v>18</v>
      </c>
      <c r="G99" s="3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6.5" thickBot="1">
      <c r="A100" s="164" t="s">
        <v>24</v>
      </c>
      <c r="B100" s="165">
        <f>SUM(B82:B99)</f>
        <v>809307910</v>
      </c>
      <c r="C100" s="166">
        <f>SUM(C82:C99)</f>
        <v>5635421881</v>
      </c>
      <c r="D100" s="166">
        <f>SUM(D82:D99)</f>
        <v>363428</v>
      </c>
      <c r="E100" s="176">
        <f t="shared" si="9"/>
        <v>14.361088257271506</v>
      </c>
      <c r="F100" s="177"/>
      <c r="G100" s="1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5.75" thickBot="1">
      <c r="A101" s="119" t="str">
        <f>'KWH &amp; Rev 2013'!B89</f>
        <v>Sources:   2013 Annual Reports sent to the DPS from the responding utilities</v>
      </c>
      <c r="B101" s="120"/>
      <c r="C101" s="121"/>
      <c r="D101" s="122"/>
      <c r="E101" s="112"/>
      <c r="F101" s="95"/>
      <c r="G101" s="1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5">
      <c r="A102" s="188" t="s">
        <v>84</v>
      </c>
      <c r="B102" s="25"/>
      <c r="C102" s="25"/>
      <c r="D102" s="25"/>
      <c r="E102" s="17"/>
      <c r="F102" s="18"/>
      <c r="G102" s="1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5">
      <c r="A103" s="207" t="s">
        <v>90</v>
      </c>
      <c r="B103" s="207"/>
      <c r="C103" s="208"/>
      <c r="D103" s="209"/>
      <c r="E103" s="210"/>
      <c r="F103" s="18"/>
      <c r="G103" s="1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5">
      <c r="A104" s="22"/>
      <c r="B104" s="22"/>
      <c r="C104" s="22"/>
      <c r="D104" s="22"/>
      <c r="E104" s="23"/>
      <c r="F104" s="24"/>
      <c r="G104" s="2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5">
      <c r="A105" s="22"/>
      <c r="B105" s="27"/>
      <c r="C105" s="28"/>
      <c r="D105" s="23"/>
      <c r="E105" s="24"/>
      <c r="F105" s="22"/>
      <c r="G105" s="2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7" ht="12.75">
      <c r="A106" s="29"/>
      <c r="B106" s="29"/>
      <c r="C106" s="29"/>
      <c r="D106" s="29"/>
      <c r="E106" s="29"/>
      <c r="F106" s="29"/>
      <c r="G106" s="29"/>
    </row>
    <row r="107" spans="1:7" ht="12.75">
      <c r="A107" s="29"/>
      <c r="B107" s="29"/>
      <c r="C107" s="29"/>
      <c r="D107" s="29"/>
      <c r="E107" s="29"/>
      <c r="F107" s="29"/>
      <c r="G107" s="29"/>
    </row>
    <row r="108" spans="1:7" ht="12.75">
      <c r="A108" s="29"/>
      <c r="B108" s="29"/>
      <c r="C108" s="29"/>
      <c r="D108" s="29"/>
      <c r="E108" s="29"/>
      <c r="F108" s="29"/>
      <c r="G108" s="29"/>
    </row>
    <row r="109" spans="1:7" ht="12.75">
      <c r="A109" s="29"/>
      <c r="B109" s="29"/>
      <c r="C109" s="29"/>
      <c r="D109" s="29"/>
      <c r="E109" s="29"/>
      <c r="F109" s="29"/>
      <c r="G109" s="29"/>
    </row>
    <row r="110" spans="1:7" ht="12.75">
      <c r="A110" s="29"/>
      <c r="B110" s="29"/>
      <c r="C110" s="29"/>
      <c r="D110" s="29"/>
      <c r="E110" s="29"/>
      <c r="F110" s="29"/>
      <c r="G110" s="29"/>
    </row>
    <row r="111" spans="1:7" ht="12.75">
      <c r="A111" s="29"/>
      <c r="B111" s="29"/>
      <c r="C111" s="29"/>
      <c r="D111" s="29"/>
      <c r="E111" s="29"/>
      <c r="F111" s="29"/>
      <c r="G111" s="29"/>
    </row>
    <row r="112" spans="1:7" ht="12.75">
      <c r="A112" s="29"/>
      <c r="B112" s="29"/>
      <c r="C112" s="29"/>
      <c r="D112" s="29"/>
      <c r="E112" s="29"/>
      <c r="F112" s="29"/>
      <c r="G112" s="29"/>
    </row>
    <row r="113" spans="1:7" ht="12.75">
      <c r="A113" s="29"/>
      <c r="B113" s="29"/>
      <c r="C113" s="29"/>
      <c r="D113" s="29"/>
      <c r="E113" s="29"/>
      <c r="F113" s="29"/>
      <c r="G113" s="29"/>
    </row>
    <row r="114" spans="1:7" ht="12.75">
      <c r="A114" s="29"/>
      <c r="B114" s="29"/>
      <c r="C114" s="29"/>
      <c r="D114" s="29"/>
      <c r="E114" s="29"/>
      <c r="F114" s="29"/>
      <c r="G114" s="29"/>
    </row>
    <row r="115" spans="1:7" ht="12.75">
      <c r="A115" s="29"/>
      <c r="B115" s="29"/>
      <c r="C115" s="29"/>
      <c r="D115" s="29"/>
      <c r="E115" s="29"/>
      <c r="F115" s="29"/>
      <c r="G115" s="29"/>
    </row>
    <row r="116" spans="1:7" ht="12.75">
      <c r="A116" s="29"/>
      <c r="B116" s="29"/>
      <c r="C116" s="29"/>
      <c r="D116" s="29"/>
      <c r="E116" s="29"/>
      <c r="F116" s="29"/>
      <c r="G116" s="29"/>
    </row>
    <row r="117" spans="1:7" ht="12.75">
      <c r="A117" s="29"/>
      <c r="B117" s="29"/>
      <c r="C117" s="29"/>
      <c r="D117" s="29"/>
      <c r="E117" s="29"/>
      <c r="F117" s="29"/>
      <c r="G117" s="29"/>
    </row>
    <row r="118" spans="1:7" ht="12.75">
      <c r="A118" s="29"/>
      <c r="B118" s="29"/>
      <c r="C118" s="29"/>
      <c r="D118" s="29"/>
      <c r="E118" s="29"/>
      <c r="F118" s="29"/>
      <c r="G118" s="29"/>
    </row>
    <row r="119" spans="1:7" ht="12.75">
      <c r="A119" s="29"/>
      <c r="B119" s="29"/>
      <c r="C119" s="29"/>
      <c r="D119" s="29"/>
      <c r="E119" s="29"/>
      <c r="F119" s="29"/>
      <c r="G119" s="29"/>
    </row>
    <row r="120" spans="1:7" ht="12.75">
      <c r="A120" s="30"/>
      <c r="B120" s="30"/>
      <c r="C120" s="30"/>
      <c r="D120" s="30"/>
      <c r="E120" s="30"/>
      <c r="F120" s="30"/>
      <c r="G120" s="30"/>
    </row>
    <row r="121" spans="1:7" ht="12.75">
      <c r="A121" s="30"/>
      <c r="B121" s="30"/>
      <c r="C121" s="30"/>
      <c r="D121" s="30"/>
      <c r="E121" s="30"/>
      <c r="F121" s="30"/>
      <c r="G121" s="30"/>
    </row>
    <row r="122" spans="1:7" ht="12.75">
      <c r="A122" s="30"/>
      <c r="B122" s="30"/>
      <c r="C122" s="30"/>
      <c r="D122" s="30"/>
      <c r="E122" s="30"/>
      <c r="F122" s="30"/>
      <c r="G122" s="30"/>
    </row>
    <row r="123" spans="1:7" ht="12.75">
      <c r="A123" s="30"/>
      <c r="B123" s="30"/>
      <c r="C123" s="30"/>
      <c r="D123" s="30"/>
      <c r="E123" s="30"/>
      <c r="F123" s="30"/>
      <c r="G123" s="30"/>
    </row>
    <row r="124" spans="1:7" ht="12.75">
      <c r="A124" s="30"/>
      <c r="B124" s="30"/>
      <c r="C124" s="30"/>
      <c r="D124" s="30"/>
      <c r="E124" s="30"/>
      <c r="F124" s="30"/>
      <c r="G124" s="30"/>
    </row>
    <row r="125" spans="1:7" ht="12.75">
      <c r="A125" s="30"/>
      <c r="B125" s="30"/>
      <c r="C125" s="30"/>
      <c r="D125" s="30"/>
      <c r="E125" s="30"/>
      <c r="F125" s="30"/>
      <c r="G125" s="30"/>
    </row>
    <row r="126" spans="1:7" ht="12.75">
      <c r="A126" s="30"/>
      <c r="B126" s="30"/>
      <c r="C126" s="30"/>
      <c r="D126" s="30"/>
      <c r="E126" s="30"/>
      <c r="F126" s="30"/>
      <c r="G126" s="30"/>
    </row>
    <row r="127" spans="1:7" ht="12.75">
      <c r="A127" s="30"/>
      <c r="B127" s="30"/>
      <c r="C127" s="30"/>
      <c r="D127" s="30"/>
      <c r="E127" s="30"/>
      <c r="F127" s="30"/>
      <c r="G127" s="30"/>
    </row>
    <row r="128" spans="1:7" ht="12.75">
      <c r="A128" s="30"/>
      <c r="B128" s="30"/>
      <c r="C128" s="30"/>
      <c r="D128" s="30"/>
      <c r="E128" s="30"/>
      <c r="F128" s="30"/>
      <c r="G128" s="30"/>
    </row>
    <row r="129" spans="1:7" ht="12.75">
      <c r="A129" s="30"/>
      <c r="B129" s="30"/>
      <c r="C129" s="30"/>
      <c r="D129" s="30"/>
      <c r="E129" s="30"/>
      <c r="F129" s="30"/>
      <c r="G129" s="30"/>
    </row>
    <row r="130" spans="1:7" ht="12.75">
      <c r="A130" s="30"/>
      <c r="B130" s="30"/>
      <c r="C130" s="30"/>
      <c r="D130" s="30"/>
      <c r="E130" s="30"/>
      <c r="F130" s="30"/>
      <c r="G130" s="30"/>
    </row>
    <row r="131" spans="1:7" ht="12.75">
      <c r="A131" s="30"/>
      <c r="B131" s="30"/>
      <c r="C131" s="30"/>
      <c r="D131" s="30"/>
      <c r="E131" s="30"/>
      <c r="F131" s="30"/>
      <c r="G131" s="30"/>
    </row>
    <row r="132" spans="1:7" ht="12.75">
      <c r="A132" s="30"/>
      <c r="B132" s="30"/>
      <c r="C132" s="30"/>
      <c r="D132" s="30"/>
      <c r="E132" s="30"/>
      <c r="F132" s="30"/>
      <c r="G132" s="30"/>
    </row>
  </sheetData>
  <sheetProtection/>
  <printOptions gridLines="1"/>
  <pageMargins left="1.25" right="1" top="0.3" bottom="0.25" header="0.5" footer="0.5"/>
  <pageSetup blackAndWhite="1" horizontalDpi="600" verticalDpi="600" orientation="portrait" scale="64" r:id="rId2"/>
  <rowBreaks count="2" manualBreakCount="2">
    <brk id="51" max="255" man="1"/>
    <brk id="10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 Kundrath</dc:creator>
  <cp:keywords/>
  <dc:description/>
  <cp:lastModifiedBy>David Tauscher</cp:lastModifiedBy>
  <cp:lastPrinted>2014-06-12T19:56:00Z</cp:lastPrinted>
  <dcterms:created xsi:type="dcterms:W3CDTF">2005-01-03T15:34:36Z</dcterms:created>
  <dcterms:modified xsi:type="dcterms:W3CDTF">2014-07-29T16:34:36Z</dcterms:modified>
  <cp:category/>
  <cp:version/>
  <cp:contentType/>
  <cp:contentStatus/>
</cp:coreProperties>
</file>