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695" activeTab="0"/>
  </bookViews>
  <sheets>
    <sheet name="KWH &amp; Rev 2016" sheetId="1" r:id="rId1"/>
    <sheet name="Ranking" sheetId="2" r:id="rId2"/>
  </sheets>
  <definedNames>
    <definedName name="_Key1" hidden="1">'Ranking'!$A$55:$A$71</definedName>
    <definedName name="_Key2" hidden="1">'Ranking'!$F$55:$F$71</definedName>
    <definedName name="_Order1" hidden="1">255</definedName>
    <definedName name="_Order2" hidden="1">255</definedName>
    <definedName name="_Sort" hidden="1">'Ranking'!$A$55:$G$71</definedName>
    <definedName name="_xlnm.Print_Area" localSheetId="0">'KWH &amp; Rev 2016'!$B$95:$H$101</definedName>
    <definedName name="_xlnm.Print_Area" localSheetId="1">'Ranking'!$A$1:$G$97</definedName>
    <definedName name="T2.3A_D">'Ranking'!$A$3:$G$99</definedName>
  </definedNames>
  <calcPr fullCalcOnLoad="1"/>
</workbook>
</file>

<file path=xl/sharedStrings.xml><?xml version="1.0" encoding="utf-8"?>
<sst xmlns="http://schemas.openxmlformats.org/spreadsheetml/2006/main" count="206" uniqueCount="93">
  <si>
    <t xml:space="preserve">Company </t>
  </si>
  <si>
    <t xml:space="preserve">Residential Rev </t>
  </si>
  <si>
    <t>kWh</t>
  </si>
  <si>
    <t>Residential Customers</t>
  </si>
  <si>
    <t>Avg Res Use (kWh)</t>
  </si>
  <si>
    <t>Rev/kWh (cents)</t>
  </si>
  <si>
    <t>Rank by Rev/kWh</t>
  </si>
  <si>
    <t>Barton</t>
  </si>
  <si>
    <t>BED</t>
  </si>
  <si>
    <t>Enosburg</t>
  </si>
  <si>
    <t>GMP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</si>
  <si>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</si>
  <si>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</si>
  <si>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</si>
  <si>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</si>
  <si>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</si>
  <si>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</si>
  <si>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</si>
  <si>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</si>
  <si>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</si>
  <si>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</si>
  <si>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</si>
  <si>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VEC</t>
  </si>
  <si>
    <t>WEC</t>
  </si>
  <si>
    <t>Total</t>
  </si>
  <si>
    <t>Commercial Revenue</t>
  </si>
  <si>
    <t>Commercial Customers</t>
  </si>
  <si>
    <t>Avg  Com Use (kWh)</t>
  </si>
  <si>
    <t>Com Rev/kWh (cents)</t>
  </si>
  <si>
    <t xml:space="preserve"> </t>
  </si>
  <si>
    <t xml:space="preserve">Industrial Revenue </t>
  </si>
  <si>
    <t>Industrial Customers</t>
  </si>
  <si>
    <t>Avg Ind Use (kWh)</t>
  </si>
  <si>
    <t>Ind Rev/kWh (cents)</t>
  </si>
  <si>
    <t>Total Rate Revenue</t>
  </si>
  <si>
    <t>Total Customers</t>
  </si>
  <si>
    <t>-</t>
  </si>
  <si>
    <t>Residential</t>
  </si>
  <si>
    <t xml:space="preserve"> Vermont Electric Utilities: Revenue and Usage,</t>
  </si>
  <si>
    <t>Commercial</t>
  </si>
  <si>
    <t>Industrial</t>
  </si>
  <si>
    <t xml:space="preserve"> Vermont Electric Utilities: Revenue and Usage</t>
  </si>
  <si>
    <t>Totals</t>
  </si>
  <si>
    <t>STATE OF VERMONT</t>
  </si>
  <si>
    <t>Other and</t>
  </si>
  <si>
    <t>Total Sales</t>
  </si>
  <si>
    <t>Public Street</t>
  </si>
  <si>
    <t>to Ultimate</t>
  </si>
  <si>
    <t>Sales</t>
  </si>
  <si>
    <t>&amp; Highway</t>
  </si>
  <si>
    <t>Authorities</t>
  </si>
  <si>
    <t>Consumers</t>
  </si>
  <si>
    <t>for Resale</t>
  </si>
  <si>
    <t>check</t>
  </si>
  <si>
    <t>BARTON</t>
  </si>
  <si>
    <t>BURLINGTON</t>
  </si>
  <si>
    <t>ENOSBURG FALLS</t>
  </si>
  <si>
    <t>HARDWICK</t>
  </si>
  <si>
    <t>HYDE PARK</t>
  </si>
  <si>
    <t>JACKSONVILLE</t>
  </si>
  <si>
    <t>JOHNSON</t>
  </si>
  <si>
    <t>LUDLOW</t>
  </si>
  <si>
    <t>LYNDONVILLE</t>
  </si>
  <si>
    <t>MORRISVILLE</t>
  </si>
  <si>
    <t>NORTHFIELD</t>
  </si>
  <si>
    <t>ORLEANS</t>
  </si>
  <si>
    <t>STOWE</t>
  </si>
  <si>
    <t>SWANTON</t>
  </si>
  <si>
    <t>Total Rate</t>
  </si>
  <si>
    <t>Total Utility</t>
  </si>
  <si>
    <t>Number of</t>
  </si>
  <si>
    <t xml:space="preserve">Number of </t>
  </si>
  <si>
    <t>Electric Companies</t>
  </si>
  <si>
    <t>Vermont</t>
  </si>
  <si>
    <t>Public</t>
  </si>
  <si>
    <t xml:space="preserve"> Public</t>
  </si>
  <si>
    <t>Page 2 of 2</t>
  </si>
  <si>
    <t>Page 1 of 2</t>
  </si>
  <si>
    <t xml:space="preserve">VEC </t>
  </si>
  <si>
    <t>Sales for Resale</t>
  </si>
  <si>
    <t>5 lowest</t>
  </si>
  <si>
    <t>Total other Operating</t>
  </si>
  <si>
    <t xml:space="preserve">Total </t>
  </si>
  <si>
    <t>VERMONT PUBLIC SERVICE DEPARTMENT</t>
  </si>
  <si>
    <t>Prepared by: Tod Ziegler, Utiltities Financial Analyst, Vermont Public Service Department</t>
  </si>
  <si>
    <t>2016 Reports</t>
  </si>
  <si>
    <t>kWh 2016</t>
  </si>
  <si>
    <t>Revenue 2016</t>
  </si>
  <si>
    <t>Customers 2016</t>
  </si>
  <si>
    <t>kWh SALES 2016</t>
  </si>
  <si>
    <t>RATE REVENUE 2016</t>
  </si>
  <si>
    <t>FILE:kWh Revenue &amp; Ranking 2016.xls</t>
  </si>
  <si>
    <t>Sources:   The 2016 Annual Reports sent to the PSD from the responding utilities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</si>
</sst>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&quot;$&quot;#,##0.00"/>
    <numFmt numFmtId="167" formatCode="&quot;$&quot;#,##0"/>
    <numFmt numFmtId="168" formatCode="_(* #,##0_);_(* \(#,##0\);_(* &quot;-&quot;??_);_(@_)"/>
    <numFmt numFmtId="169" formatCode="[$-409]dddd\,\ mmmm\ dd\,\ yyyy"/>
    <numFmt numFmtId="170" formatCode="[$-409]h:mm:ss\ AM/PM"/>
    <numFmt numFmtId="171" formatCode="mm/dd/yy"/>
    <numFmt numFmtId="172" formatCode="mmm\-yyyy"/>
  </numFmts>
  <fonts count="56">
    <font>
      <sz val="10"/>
      <name val="Genev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ms Rmn"/>
      <family val="0"/>
    </font>
    <font>
      <sz val="12"/>
      <color indexed="8"/>
      <name val="Arial"/>
      <family val="2"/>
    </font>
    <font>
      <sz val="10"/>
      <color indexed="8"/>
      <name val="Geneva"/>
      <family val="0"/>
    </font>
    <font>
      <sz val="10"/>
      <color indexed="8"/>
      <name val="Arial"/>
      <family val="2"/>
    </font>
    <font>
      <b/>
      <sz val="14"/>
      <name val="Geneva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0"/>
      <name val="Geneva"/>
      <family val="0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Geneva"/>
      <family val="0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1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centerContinuous"/>
      <protection/>
    </xf>
    <xf numFmtId="37" fontId="9" fillId="0" borderId="0" xfId="0" applyNumberFormat="1" applyFont="1" applyAlignment="1" applyProtection="1">
      <alignment horizontal="centerContinuous"/>
      <protection/>
    </xf>
    <xf numFmtId="39" fontId="9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Continuous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 horizontal="centerContinuous" vertical="center"/>
      <protection/>
    </xf>
    <xf numFmtId="164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 locked="0"/>
    </xf>
    <xf numFmtId="164" fontId="9" fillId="0" borderId="0" xfId="0" applyFont="1" applyFill="1" applyAlignment="1" applyProtection="1">
      <alignment/>
      <protection/>
    </xf>
    <xf numFmtId="5" fontId="4" fillId="0" borderId="0" xfId="0" applyNumberFormat="1" applyFont="1" applyFill="1" applyAlignment="1" applyProtection="1">
      <alignment/>
      <protection locked="0"/>
    </xf>
    <xf numFmtId="37" fontId="4" fillId="0" borderId="0" xfId="0" applyNumberFormat="1" applyFont="1" applyFill="1" applyAlignment="1" applyProtection="1">
      <alignment/>
      <protection locked="0"/>
    </xf>
    <xf numFmtId="164" fontId="5" fillId="0" borderId="0" xfId="0" applyFont="1" applyFill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11" fillId="0" borderId="0" xfId="0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10" fillId="0" borderId="0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0" fontId="12" fillId="0" borderId="0" xfId="55" applyNumberFormat="1" applyFont="1" applyAlignment="1">
      <alignment/>
      <protection/>
    </xf>
    <xf numFmtId="0" fontId="8" fillId="0" borderId="0" xfId="55" applyNumberFormat="1" applyFont="1" applyAlignment="1">
      <alignment/>
      <protection/>
    </xf>
    <xf numFmtId="14" fontId="8" fillId="0" borderId="0" xfId="55" applyNumberFormat="1" applyFont="1" applyAlignment="1">
      <alignment horizontal="left"/>
      <protection/>
    </xf>
    <xf numFmtId="14" fontId="8" fillId="0" borderId="0" xfId="55" applyNumberFormat="1" applyFont="1" applyAlignment="1">
      <alignment/>
      <protection/>
    </xf>
    <xf numFmtId="22" fontId="8" fillId="0" borderId="0" xfId="55" applyNumberFormat="1" applyFont="1" applyAlignment="1">
      <alignment/>
      <protection/>
    </xf>
    <xf numFmtId="0" fontId="8" fillId="0" borderId="0" xfId="55" applyNumberFormat="1" applyFont="1" applyProtection="1">
      <alignment/>
      <protection locked="0"/>
    </xf>
    <xf numFmtId="0" fontId="8" fillId="0" borderId="0" xfId="55" applyNumberFormat="1" applyFont="1" applyAlignment="1" applyProtection="1">
      <alignment/>
      <protection locked="0"/>
    </xf>
    <xf numFmtId="3" fontId="8" fillId="0" borderId="0" xfId="55" applyNumberFormat="1" applyFont="1">
      <alignment/>
      <protection/>
    </xf>
    <xf numFmtId="0" fontId="8" fillId="0" borderId="0" xfId="55" applyNumberFormat="1" applyFont="1" applyFill="1" applyAlignment="1">
      <alignment/>
      <protection/>
    </xf>
    <xf numFmtId="0" fontId="12" fillId="0" borderId="10" xfId="55" applyNumberFormat="1" applyFont="1" applyBorder="1" applyAlignment="1" applyProtection="1">
      <alignment horizontal="center"/>
      <protection locked="0"/>
    </xf>
    <xf numFmtId="0" fontId="12" fillId="0" borderId="10" xfId="55" applyNumberFormat="1" applyFont="1" applyBorder="1" applyAlignment="1">
      <alignment horizontal="center"/>
      <protection/>
    </xf>
    <xf numFmtId="0" fontId="12" fillId="0" borderId="11" xfId="55" applyNumberFormat="1" applyFont="1" applyBorder="1" applyAlignment="1" applyProtection="1">
      <alignment horizontal="center"/>
      <protection locked="0"/>
    </xf>
    <xf numFmtId="0" fontId="12" fillId="0" borderId="11" xfId="55" applyNumberFormat="1" applyFont="1" applyBorder="1" applyAlignment="1">
      <alignment horizontal="center"/>
      <protection/>
    </xf>
    <xf numFmtId="0" fontId="8" fillId="0" borderId="10" xfId="55" applyNumberFormat="1" applyFont="1" applyBorder="1" applyAlignment="1">
      <alignment horizontal="center"/>
      <protection/>
    </xf>
    <xf numFmtId="0" fontId="8" fillId="0" borderId="11" xfId="55" applyNumberFormat="1" applyFont="1" applyBorder="1" applyAlignment="1">
      <alignment horizontal="center"/>
      <protection/>
    </xf>
    <xf numFmtId="0" fontId="13" fillId="0" borderId="0" xfId="55" applyNumberFormat="1" applyFont="1" applyBorder="1" applyAlignment="1" applyProtection="1">
      <alignment horizontal="center"/>
      <protection locked="0"/>
    </xf>
    <xf numFmtId="0" fontId="8" fillId="0" borderId="11" xfId="55" applyNumberFormat="1" applyFont="1" applyBorder="1" applyAlignment="1">
      <alignment/>
      <protection/>
    </xf>
    <xf numFmtId="0" fontId="12" fillId="0" borderId="10" xfId="55" applyNumberFormat="1" applyFont="1" applyBorder="1" applyAlignment="1">
      <alignment/>
      <protection/>
    </xf>
    <xf numFmtId="0" fontId="12" fillId="0" borderId="11" xfId="55" applyNumberFormat="1" applyFont="1" applyBorder="1" applyAlignment="1">
      <alignment/>
      <protection/>
    </xf>
    <xf numFmtId="0" fontId="12" fillId="0" borderId="11" xfId="55" applyNumberFormat="1" applyFont="1" applyBorder="1" applyProtection="1">
      <alignment/>
      <protection locked="0"/>
    </xf>
    <xf numFmtId="0" fontId="8" fillId="0" borderId="10" xfId="55" applyNumberFormat="1" applyFont="1" applyBorder="1" applyProtection="1">
      <alignment/>
      <protection locked="0"/>
    </xf>
    <xf numFmtId="3" fontId="8" fillId="0" borderId="10" xfId="55" applyNumberFormat="1" applyFont="1" applyBorder="1" applyProtection="1">
      <alignment/>
      <protection locked="0"/>
    </xf>
    <xf numFmtId="166" fontId="8" fillId="0" borderId="10" xfId="55" applyNumberFormat="1" applyFont="1" applyBorder="1" applyProtection="1">
      <alignment/>
      <protection locked="0"/>
    </xf>
    <xf numFmtId="0" fontId="8" fillId="0" borderId="0" xfId="55" applyNumberFormat="1" applyFont="1" applyBorder="1" applyAlignment="1">
      <alignment/>
      <protection/>
    </xf>
    <xf numFmtId="0" fontId="12" fillId="0" borderId="12" xfId="55" applyNumberFormat="1" applyFont="1" applyBorder="1" applyAlignment="1">
      <alignment/>
      <protection/>
    </xf>
    <xf numFmtId="164" fontId="2" fillId="0" borderId="0" xfId="0" applyFont="1" applyAlignment="1">
      <alignment/>
    </xf>
    <xf numFmtId="164" fontId="14" fillId="0" borderId="0" xfId="0" applyFont="1" applyAlignment="1">
      <alignment/>
    </xf>
    <xf numFmtId="0" fontId="8" fillId="0" borderId="13" xfId="55" applyNumberFormat="1" applyFont="1" applyBorder="1" applyAlignment="1">
      <alignment/>
      <protection/>
    </xf>
    <xf numFmtId="0" fontId="8" fillId="0" borderId="14" xfId="55" applyNumberFormat="1" applyFont="1" applyBorder="1" applyAlignment="1">
      <alignment/>
      <protection/>
    </xf>
    <xf numFmtId="166" fontId="8" fillId="0" borderId="0" xfId="55" applyNumberFormat="1" applyFont="1" applyBorder="1" applyProtection="1">
      <alignment/>
      <protection locked="0"/>
    </xf>
    <xf numFmtId="0" fontId="12" fillId="0" borderId="15" xfId="55" applyNumberFormat="1" applyFont="1" applyBorder="1" applyAlignment="1">
      <alignment/>
      <protection/>
    </xf>
    <xf numFmtId="0" fontId="8" fillId="0" borderId="10" xfId="55" applyNumberFormat="1" applyFont="1" applyBorder="1" applyAlignment="1">
      <alignment/>
      <protection/>
    </xf>
    <xf numFmtId="0" fontId="8" fillId="0" borderId="11" xfId="55" applyNumberFormat="1" applyFont="1" applyBorder="1" applyProtection="1">
      <alignment/>
      <protection locked="0"/>
    </xf>
    <xf numFmtId="0" fontId="8" fillId="0" borderId="12" xfId="55" applyNumberFormat="1" applyFont="1" applyBorder="1" applyAlignment="1" applyProtection="1">
      <alignment horizontal="center"/>
      <protection locked="0"/>
    </xf>
    <xf numFmtId="0" fontId="12" fillId="0" borderId="14" xfId="55" applyNumberFormat="1" applyFont="1" applyBorder="1" applyAlignment="1">
      <alignment horizontal="center"/>
      <protection/>
    </xf>
    <xf numFmtId="0" fontId="8" fillId="0" borderId="13" xfId="55" applyNumberFormat="1" applyFont="1" applyBorder="1" applyProtection="1">
      <alignment/>
      <protection locked="0"/>
    </xf>
    <xf numFmtId="3" fontId="8" fillId="0" borderId="0" xfId="55" applyNumberFormat="1" applyFont="1" applyBorder="1" applyProtection="1">
      <alignment/>
      <protection locked="0"/>
    </xf>
    <xf numFmtId="164" fontId="9" fillId="0" borderId="0" xfId="0" applyFont="1" applyBorder="1" applyAlignment="1" applyProtection="1">
      <alignment horizontal="centerContinuous"/>
      <protection/>
    </xf>
    <xf numFmtId="164" fontId="0" fillId="0" borderId="0" xfId="0" applyBorder="1" applyAlignment="1">
      <alignment horizontal="centerContinuous"/>
    </xf>
    <xf numFmtId="164" fontId="9" fillId="0" borderId="16" xfId="0" applyFont="1" applyBorder="1" applyAlignment="1" applyProtection="1">
      <alignment horizontal="center" vertical="center" wrapText="1"/>
      <protection/>
    </xf>
    <xf numFmtId="37" fontId="9" fillId="0" borderId="16" xfId="0" applyNumberFormat="1" applyFont="1" applyBorder="1" applyAlignment="1" applyProtection="1">
      <alignment horizontal="center" vertical="center" wrapText="1"/>
      <protection/>
    </xf>
    <xf numFmtId="39" fontId="9" fillId="0" borderId="16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>
      <alignment horizontal="centerContinuous"/>
    </xf>
    <xf numFmtId="164" fontId="9" fillId="0" borderId="16" xfId="0" applyFont="1" applyFill="1" applyBorder="1" applyAlignment="1" applyProtection="1">
      <alignment horizontal="center" vertical="center" wrapText="1"/>
      <protection/>
    </xf>
    <xf numFmtId="37" fontId="9" fillId="0" borderId="16" xfId="0" applyNumberFormat="1" applyFont="1" applyFill="1" applyBorder="1" applyAlignment="1" applyProtection="1">
      <alignment horizontal="center" vertical="center" wrapText="1"/>
      <protection/>
    </xf>
    <xf numFmtId="164" fontId="9" fillId="0" borderId="17" xfId="0" applyFont="1" applyBorder="1" applyAlignment="1" applyProtection="1">
      <alignment horizontal="center" vertical="center" wrapText="1"/>
      <protection/>
    </xf>
    <xf numFmtId="164" fontId="9" fillId="0" borderId="18" xfId="0" applyFont="1" applyBorder="1" applyAlignment="1" applyProtection="1">
      <alignment horizontal="center" vertical="center" wrapText="1"/>
      <protection/>
    </xf>
    <xf numFmtId="164" fontId="9" fillId="0" borderId="0" xfId="0" applyFont="1" applyFill="1" applyBorder="1" applyAlignment="1" applyProtection="1">
      <alignment horizontal="centerContinuous"/>
      <protection/>
    </xf>
    <xf numFmtId="164" fontId="9" fillId="0" borderId="19" xfId="0" applyFont="1" applyFill="1" applyBorder="1" applyAlignment="1" applyProtection="1">
      <alignment horizontal="center" vertical="center" wrapText="1"/>
      <protection/>
    </xf>
    <xf numFmtId="37" fontId="9" fillId="0" borderId="19" xfId="0" applyNumberFormat="1" applyFont="1" applyFill="1" applyBorder="1" applyAlignment="1" applyProtection="1">
      <alignment horizontal="center" vertical="center" wrapText="1"/>
      <protection/>
    </xf>
    <xf numFmtId="39" fontId="9" fillId="0" borderId="19" xfId="0" applyNumberFormat="1" applyFont="1" applyFill="1" applyBorder="1" applyAlignment="1" applyProtection="1">
      <alignment horizontal="center" vertical="center" wrapText="1"/>
      <protection/>
    </xf>
    <xf numFmtId="39" fontId="9" fillId="0" borderId="16" xfId="0" applyNumberFormat="1" applyFont="1" applyFill="1" applyBorder="1" applyAlignment="1" applyProtection="1">
      <alignment horizontal="center" vertical="center" wrapText="1"/>
      <protection/>
    </xf>
    <xf numFmtId="39" fontId="4" fillId="0" borderId="2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4" fontId="12" fillId="0" borderId="0" xfId="55" applyNumberFormat="1" applyFont="1" applyAlignment="1">
      <alignment horizontal="left"/>
      <protection/>
    </xf>
    <xf numFmtId="164" fontId="9" fillId="0" borderId="13" xfId="0" applyFont="1" applyFill="1" applyBorder="1" applyAlignment="1" applyProtection="1">
      <alignment horizontal="centerContinuous"/>
      <protection/>
    </xf>
    <xf numFmtId="164" fontId="9" fillId="0" borderId="21" xfId="0" applyFont="1" applyFill="1" applyBorder="1" applyAlignment="1" applyProtection="1">
      <alignment horizontal="centerContinuous"/>
      <protection/>
    </xf>
    <xf numFmtId="37" fontId="9" fillId="0" borderId="21" xfId="0" applyNumberFormat="1" applyFont="1" applyFill="1" applyBorder="1" applyAlignment="1" applyProtection="1">
      <alignment horizontal="centerContinuous"/>
      <protection/>
    </xf>
    <xf numFmtId="39" fontId="9" fillId="0" borderId="21" xfId="0" applyNumberFormat="1" applyFont="1" applyFill="1" applyBorder="1" applyAlignment="1" applyProtection="1">
      <alignment horizontal="centerContinuous"/>
      <protection/>
    </xf>
    <xf numFmtId="164" fontId="9" fillId="0" borderId="22" xfId="0" applyFont="1" applyFill="1" applyBorder="1" applyAlignment="1" applyProtection="1">
      <alignment horizontal="centerContinuous"/>
      <protection/>
    </xf>
    <xf numFmtId="164" fontId="9" fillId="0" borderId="14" xfId="0" applyFont="1" applyFill="1" applyBorder="1" applyAlignment="1" applyProtection="1">
      <alignment horizontal="centerContinuous"/>
      <protection/>
    </xf>
    <xf numFmtId="37" fontId="9" fillId="0" borderId="0" xfId="0" applyNumberFormat="1" applyFont="1" applyFill="1" applyBorder="1" applyAlignment="1" applyProtection="1">
      <alignment horizontal="centerContinuous"/>
      <protection/>
    </xf>
    <xf numFmtId="39" fontId="9" fillId="0" borderId="0" xfId="0" applyNumberFormat="1" applyFont="1" applyFill="1" applyBorder="1" applyAlignment="1" applyProtection="1">
      <alignment horizontal="centerContinuous"/>
      <protection/>
    </xf>
    <xf numFmtId="164" fontId="9" fillId="0" borderId="23" xfId="0" applyFont="1" applyFill="1" applyBorder="1" applyAlignment="1" applyProtection="1">
      <alignment horizontal="centerContinuous"/>
      <protection/>
    </xf>
    <xf numFmtId="164" fontId="9" fillId="0" borderId="15" xfId="0" applyFont="1" applyFill="1" applyBorder="1" applyAlignment="1" applyProtection="1">
      <alignment horizontal="centerContinuous"/>
      <protection/>
    </xf>
    <xf numFmtId="164" fontId="5" fillId="0" borderId="24" xfId="0" applyFont="1" applyFill="1" applyBorder="1" applyAlignment="1">
      <alignment horizontal="centerContinuous"/>
    </xf>
    <xf numFmtId="164" fontId="4" fillId="0" borderId="20" xfId="0" applyFont="1" applyFill="1" applyBorder="1" applyAlignment="1" applyProtection="1">
      <alignment horizontal="centerContinuous"/>
      <protection/>
    </xf>
    <xf numFmtId="164" fontId="5" fillId="0" borderId="20" xfId="0" applyFont="1" applyFill="1" applyBorder="1" applyAlignment="1">
      <alignment horizontal="centerContinuous"/>
    </xf>
    <xf numFmtId="164" fontId="5" fillId="0" borderId="23" xfId="0" applyFont="1" applyFill="1" applyBorder="1" applyAlignment="1">
      <alignment horizontal="centerContinuous"/>
    </xf>
    <xf numFmtId="39" fontId="4" fillId="0" borderId="24" xfId="0" applyNumberFormat="1" applyFont="1" applyFill="1" applyBorder="1" applyAlignment="1" applyProtection="1">
      <alignment/>
      <protection/>
    </xf>
    <xf numFmtId="164" fontId="9" fillId="0" borderId="24" xfId="0" applyFont="1" applyFill="1" applyBorder="1" applyAlignment="1" applyProtection="1">
      <alignment horizontal="centerContinuous"/>
      <protection/>
    </xf>
    <xf numFmtId="0" fontId="12" fillId="0" borderId="21" xfId="55" applyNumberFormat="1" applyFont="1" applyBorder="1" applyAlignment="1">
      <alignment/>
      <protection/>
    </xf>
    <xf numFmtId="0" fontId="12" fillId="0" borderId="0" xfId="55" applyNumberFormat="1" applyFont="1" applyBorder="1" applyAlignment="1">
      <alignment/>
      <protection/>
    </xf>
    <xf numFmtId="0" fontId="12" fillId="0" borderId="0" xfId="55" applyNumberFormat="1" applyFont="1" applyBorder="1" applyAlignment="1" applyProtection="1">
      <alignment horizontal="center"/>
      <protection locked="0"/>
    </xf>
    <xf numFmtId="0" fontId="17" fillId="0" borderId="0" xfId="55" applyNumberFormat="1" applyFont="1" applyAlignment="1">
      <alignment/>
      <protection/>
    </xf>
    <xf numFmtId="14" fontId="14" fillId="0" borderId="0" xfId="55" applyNumberFormat="1" applyFont="1" applyAlignment="1">
      <alignment horizontal="left"/>
      <protection/>
    </xf>
    <xf numFmtId="164" fontId="21" fillId="0" borderId="15" xfId="0" applyFont="1" applyFill="1" applyBorder="1" applyAlignment="1" applyProtection="1">
      <alignment/>
      <protection/>
    </xf>
    <xf numFmtId="167" fontId="21" fillId="0" borderId="24" xfId="0" applyNumberFormat="1" applyFont="1" applyFill="1" applyBorder="1" applyAlignment="1">
      <alignment/>
    </xf>
    <xf numFmtId="37" fontId="21" fillId="0" borderId="24" xfId="0" applyNumberFormat="1" applyFont="1" applyFill="1" applyBorder="1" applyAlignment="1" applyProtection="1">
      <alignment/>
      <protection locked="0"/>
    </xf>
    <xf numFmtId="168" fontId="21" fillId="0" borderId="24" xfId="42" applyNumberFormat="1" applyFont="1" applyFill="1" applyBorder="1" applyAlignment="1" applyProtection="1">
      <alignment/>
      <protection locked="0"/>
    </xf>
    <xf numFmtId="164" fontId="21" fillId="0" borderId="0" xfId="0" applyFont="1" applyFill="1" applyAlignment="1" applyProtection="1">
      <alignment/>
      <protection/>
    </xf>
    <xf numFmtId="164" fontId="21" fillId="0" borderId="0" xfId="0" applyFont="1" applyFill="1" applyAlignment="1" applyProtection="1">
      <alignment/>
      <protection locked="0"/>
    </xf>
    <xf numFmtId="0" fontId="12" fillId="0" borderId="14" xfId="55" applyNumberFormat="1" applyFont="1" applyFill="1" applyBorder="1" applyAlignment="1" applyProtection="1">
      <alignment/>
      <protection locked="0"/>
    </xf>
    <xf numFmtId="0" fontId="12" fillId="0" borderId="11" xfId="55" applyNumberFormat="1" applyFont="1" applyFill="1" applyBorder="1" applyAlignment="1" applyProtection="1">
      <alignment/>
      <protection locked="0"/>
    </xf>
    <xf numFmtId="0" fontId="12" fillId="0" borderId="15" xfId="55" applyNumberFormat="1" applyFont="1" applyFill="1" applyBorder="1" applyAlignment="1" applyProtection="1">
      <alignment/>
      <protection locked="0"/>
    </xf>
    <xf numFmtId="0" fontId="12" fillId="0" borderId="12" xfId="55" applyNumberFormat="1" applyFont="1" applyFill="1" applyBorder="1" applyAlignment="1" applyProtection="1">
      <alignment/>
      <protection locked="0"/>
    </xf>
    <xf numFmtId="3" fontId="12" fillId="0" borderId="11" xfId="55" applyNumberFormat="1" applyFont="1" applyBorder="1">
      <alignment/>
      <protection/>
    </xf>
    <xf numFmtId="3" fontId="12" fillId="0" borderId="11" xfId="55" applyNumberFormat="1" applyFont="1" applyBorder="1" applyProtection="1">
      <alignment/>
      <protection locked="0"/>
    </xf>
    <xf numFmtId="3" fontId="12" fillId="0" borderId="11" xfId="55" applyNumberFormat="1" applyFont="1" applyFill="1" applyBorder="1" applyProtection="1">
      <alignment/>
      <protection locked="0"/>
    </xf>
    <xf numFmtId="3" fontId="12" fillId="0" borderId="11" xfId="55" applyNumberFormat="1" applyFont="1" applyFill="1" applyBorder="1">
      <alignment/>
      <protection/>
    </xf>
    <xf numFmtId="3" fontId="12" fillId="0" borderId="12" xfId="55" applyNumberFormat="1" applyFont="1" applyBorder="1">
      <alignment/>
      <protection/>
    </xf>
    <xf numFmtId="3" fontId="12" fillId="0" borderId="12" xfId="55" applyNumberFormat="1" applyFont="1" applyBorder="1" applyProtection="1">
      <alignment/>
      <protection locked="0"/>
    </xf>
    <xf numFmtId="3" fontId="12" fillId="0" borderId="0" xfId="55" applyNumberFormat="1" applyFont="1" applyBorder="1">
      <alignment/>
      <protection/>
    </xf>
    <xf numFmtId="3" fontId="12" fillId="0" borderId="24" xfId="55" applyNumberFormat="1" applyFont="1" applyBorder="1" applyProtection="1">
      <alignment/>
      <protection locked="0"/>
    </xf>
    <xf numFmtId="0" fontId="20" fillId="0" borderId="0" xfId="55" applyNumberFormat="1" applyFont="1" applyAlignment="1">
      <alignment/>
      <protection/>
    </xf>
    <xf numFmtId="167" fontId="12" fillId="0" borderId="11" xfId="55" applyNumberFormat="1" applyFont="1" applyBorder="1" applyProtection="1">
      <alignment/>
      <protection locked="0"/>
    </xf>
    <xf numFmtId="167" fontId="12" fillId="0" borderId="11" xfId="55" applyNumberFormat="1" applyFont="1" applyFill="1" applyBorder="1" applyProtection="1">
      <alignment/>
      <protection locked="0"/>
    </xf>
    <xf numFmtId="167" fontId="12" fillId="0" borderId="12" xfId="55" applyNumberFormat="1" applyFont="1" applyBorder="1" applyProtection="1">
      <alignment/>
      <protection locked="0"/>
    </xf>
    <xf numFmtId="167" fontId="12" fillId="0" borderId="13" xfId="55" applyNumberFormat="1" applyFont="1" applyBorder="1">
      <alignment/>
      <protection/>
    </xf>
    <xf numFmtId="167" fontId="12" fillId="0" borderId="10" xfId="55" applyNumberFormat="1" applyFont="1" applyBorder="1">
      <alignment/>
      <protection/>
    </xf>
    <xf numFmtId="166" fontId="12" fillId="0" borderId="10" xfId="55" applyNumberFormat="1" applyFont="1" applyBorder="1">
      <alignment/>
      <protection/>
    </xf>
    <xf numFmtId="167" fontId="12" fillId="0" borderId="15" xfId="55" applyNumberFormat="1" applyFont="1" applyBorder="1" applyProtection="1">
      <alignment/>
      <protection locked="0"/>
    </xf>
    <xf numFmtId="164" fontId="9" fillId="0" borderId="10" xfId="0" applyFont="1" applyFill="1" applyBorder="1" applyAlignment="1" applyProtection="1">
      <alignment horizontal="left"/>
      <protection/>
    </xf>
    <xf numFmtId="167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7" fontId="9" fillId="0" borderId="10" xfId="0" applyNumberFormat="1" applyFont="1" applyFill="1" applyBorder="1" applyAlignment="1" applyProtection="1">
      <alignment/>
      <protection/>
    </xf>
    <xf numFmtId="39" fontId="9" fillId="0" borderId="10" xfId="0" applyNumberFormat="1" applyFont="1" applyFill="1" applyBorder="1" applyAlignment="1" applyProtection="1">
      <alignment/>
      <protection/>
    </xf>
    <xf numFmtId="164" fontId="9" fillId="0" borderId="10" xfId="0" applyFont="1" applyFill="1" applyBorder="1" applyAlignment="1">
      <alignment horizontal="center"/>
    </xf>
    <xf numFmtId="164" fontId="9" fillId="0" borderId="11" xfId="0" applyFont="1" applyFill="1" applyBorder="1" applyAlignment="1" applyProtection="1">
      <alignment horizontal="left"/>
      <protection/>
    </xf>
    <xf numFmtId="167" fontId="12" fillId="0" borderId="11" xfId="0" applyNumberFormat="1" applyFont="1" applyBorder="1" applyAlignment="1">
      <alignment/>
    </xf>
    <xf numFmtId="37" fontId="9" fillId="0" borderId="11" xfId="0" applyNumberFormat="1" applyFont="1" applyFill="1" applyBorder="1" applyAlignment="1" applyProtection="1">
      <alignment/>
      <protection/>
    </xf>
    <xf numFmtId="39" fontId="9" fillId="0" borderId="11" xfId="0" applyNumberFormat="1" applyFont="1" applyFill="1" applyBorder="1" applyAlignment="1" applyProtection="1">
      <alignment/>
      <protection/>
    </xf>
    <xf numFmtId="164" fontId="9" fillId="0" borderId="11" xfId="0" applyFont="1" applyFill="1" applyBorder="1" applyAlignment="1">
      <alignment horizontal="center"/>
    </xf>
    <xf numFmtId="164" fontId="9" fillId="0" borderId="12" xfId="0" applyFont="1" applyFill="1" applyBorder="1" applyAlignment="1" applyProtection="1">
      <alignment horizontal="left"/>
      <protection/>
    </xf>
    <xf numFmtId="167" fontId="12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7" fontId="9" fillId="0" borderId="12" xfId="0" applyNumberFormat="1" applyFont="1" applyFill="1" applyBorder="1" applyAlignment="1" applyProtection="1">
      <alignment/>
      <protection/>
    </xf>
    <xf numFmtId="39" fontId="9" fillId="0" borderId="12" xfId="0" applyNumberFormat="1" applyFont="1" applyFill="1" applyBorder="1" applyAlignment="1" applyProtection="1">
      <alignment/>
      <protection/>
    </xf>
    <xf numFmtId="164" fontId="9" fillId="0" borderId="12" xfId="0" applyFont="1" applyFill="1" applyBorder="1" applyAlignment="1">
      <alignment horizontal="center"/>
    </xf>
    <xf numFmtId="164" fontId="9" fillId="0" borderId="12" xfId="0" applyFont="1" applyFill="1" applyBorder="1" applyAlignment="1" applyProtection="1">
      <alignment/>
      <protection/>
    </xf>
    <xf numFmtId="167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64" fontId="9" fillId="0" borderId="20" xfId="0" applyFont="1" applyFill="1" applyBorder="1" applyAlignment="1" applyProtection="1">
      <alignment/>
      <protection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1" xfId="0" applyNumberFormat="1" applyFont="1" applyFill="1" applyBorder="1" applyAlignment="1" quotePrefix="1">
      <alignment horizontal="right"/>
    </xf>
    <xf numFmtId="164" fontId="9" fillId="0" borderId="15" xfId="0" applyFont="1" applyFill="1" applyBorder="1" applyAlignment="1" applyProtection="1">
      <alignment horizontal="center" vertical="center" wrapText="1"/>
      <protection/>
    </xf>
    <xf numFmtId="164" fontId="9" fillId="0" borderId="12" xfId="0" applyFont="1" applyFill="1" applyBorder="1" applyAlignment="1" applyProtection="1">
      <alignment horizontal="center" vertical="center" wrapText="1"/>
      <protection/>
    </xf>
    <xf numFmtId="39" fontId="9" fillId="0" borderId="12" xfId="0" applyNumberFormat="1" applyFont="1" applyFill="1" applyBorder="1" applyAlignment="1" applyProtection="1">
      <alignment horizontal="center" vertical="center" wrapText="1"/>
      <protection/>
    </xf>
    <xf numFmtId="165" fontId="9" fillId="0" borderId="12" xfId="0" applyNumberFormat="1" applyFont="1" applyFill="1" applyBorder="1" applyAlignment="1" applyProtection="1">
      <alignment horizontal="right"/>
      <protection/>
    </xf>
    <xf numFmtId="39" fontId="9" fillId="0" borderId="20" xfId="0" applyNumberFormat="1" applyFont="1" applyFill="1" applyBorder="1" applyAlignment="1" applyProtection="1">
      <alignment/>
      <protection/>
    </xf>
    <xf numFmtId="0" fontId="22" fillId="0" borderId="0" xfId="55" applyNumberFormat="1" applyFont="1" applyAlignment="1">
      <alignment/>
      <protection/>
    </xf>
    <xf numFmtId="0" fontId="22" fillId="0" borderId="0" xfId="55" applyNumberFormat="1" applyFont="1" applyFill="1" applyAlignment="1">
      <alignment/>
      <protection/>
    </xf>
    <xf numFmtId="0" fontId="20" fillId="0" borderId="0" xfId="55" applyNumberFormat="1" applyFont="1" applyFill="1" applyAlignment="1">
      <alignment/>
      <protection/>
    </xf>
    <xf numFmtId="164" fontId="9" fillId="33" borderId="11" xfId="0" applyFont="1" applyFill="1" applyBorder="1" applyAlignment="1">
      <alignment horizontal="center"/>
    </xf>
    <xf numFmtId="164" fontId="9" fillId="33" borderId="11" xfId="0" applyFont="1" applyFill="1" applyBorder="1" applyAlignment="1" applyProtection="1">
      <alignment horizontal="left"/>
      <protection/>
    </xf>
    <xf numFmtId="167" fontId="12" fillId="33" borderId="11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37" fontId="9" fillId="33" borderId="11" xfId="0" applyNumberFormat="1" applyFont="1" applyFill="1" applyBorder="1" applyAlignment="1" applyProtection="1">
      <alignment/>
      <protection/>
    </xf>
    <xf numFmtId="39" fontId="9" fillId="33" borderId="11" xfId="0" applyNumberFormat="1" applyFont="1" applyFill="1" applyBorder="1" applyAlignment="1" applyProtection="1">
      <alignment/>
      <protection/>
    </xf>
    <xf numFmtId="3" fontId="12" fillId="33" borderId="14" xfId="0" applyNumberFormat="1" applyFont="1" applyFill="1" applyBorder="1" applyAlignment="1">
      <alignment/>
    </xf>
    <xf numFmtId="164" fontId="19" fillId="33" borderId="0" xfId="0" applyFont="1" applyFill="1" applyAlignment="1">
      <alignment/>
    </xf>
    <xf numFmtId="14" fontId="12" fillId="0" borderId="14" xfId="55" applyNumberFormat="1" applyFont="1" applyBorder="1" applyAlignment="1">
      <alignment horizontal="left"/>
      <protection/>
    </xf>
    <xf numFmtId="39" fontId="4" fillId="0" borderId="0" xfId="0" applyNumberFormat="1" applyFont="1" applyFill="1" applyBorder="1" applyAlignment="1" applyProtection="1">
      <alignment/>
      <protection/>
    </xf>
    <xf numFmtId="164" fontId="9" fillId="0" borderId="23" xfId="0" applyFont="1" applyFill="1" applyBorder="1" applyAlignment="1" applyProtection="1">
      <alignment/>
      <protection/>
    </xf>
    <xf numFmtId="164" fontId="19" fillId="33" borderId="25" xfId="0" applyFont="1" applyFill="1" applyBorder="1" applyAlignment="1">
      <alignment/>
    </xf>
    <xf numFmtId="164" fontId="4" fillId="0" borderId="25" xfId="0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9" fontId="4" fillId="0" borderId="25" xfId="0" applyNumberFormat="1" applyFont="1" applyFill="1" applyBorder="1" applyAlignment="1" applyProtection="1">
      <alignment/>
      <protection/>
    </xf>
    <xf numFmtId="14" fontId="12" fillId="0" borderId="12" xfId="55" applyNumberFormat="1" applyFont="1" applyBorder="1" applyAlignment="1" applyProtection="1">
      <alignment horizontal="center"/>
      <protection locked="0"/>
    </xf>
    <xf numFmtId="164" fontId="12" fillId="0" borderId="12" xfId="55" applyNumberFormat="1" applyFont="1" applyBorder="1" applyAlignment="1" applyProtection="1">
      <alignment horizontal="center"/>
      <protection locked="0"/>
    </xf>
    <xf numFmtId="0" fontId="8" fillId="0" borderId="0" xfId="55" applyNumberFormat="1" applyFont="1" applyAlignment="1">
      <alignment/>
      <protection/>
    </xf>
    <xf numFmtId="0" fontId="8" fillId="0" borderId="0" xfId="55" applyNumberFormat="1" applyFont="1" applyAlignment="1" applyProtection="1">
      <alignment/>
      <protection locked="0"/>
    </xf>
    <xf numFmtId="0" fontId="8" fillId="34" borderId="0" xfId="55" applyNumberFormat="1" applyFont="1" applyFill="1" applyAlignment="1">
      <alignment/>
      <protection/>
    </xf>
    <xf numFmtId="0" fontId="8" fillId="0" borderId="0" xfId="55" applyNumberFormat="1" applyFont="1" applyFill="1" applyAlignment="1">
      <alignment/>
      <protection/>
    </xf>
    <xf numFmtId="0" fontId="12" fillId="0" borderId="15" xfId="55" applyNumberFormat="1" applyFont="1" applyBorder="1" applyAlignment="1">
      <alignment horizontal="right"/>
      <protection/>
    </xf>
    <xf numFmtId="0" fontId="18" fillId="0" borderId="0" xfId="55" applyNumberFormat="1" applyFont="1" applyFill="1" applyAlignment="1">
      <alignment/>
      <protection/>
    </xf>
    <xf numFmtId="0" fontId="18" fillId="0" borderId="0" xfId="55" applyNumberFormat="1" applyFont="1" applyAlignment="1">
      <alignment/>
      <protection/>
    </xf>
    <xf numFmtId="0" fontId="14" fillId="0" borderId="0" xfId="55" applyNumberFormat="1" applyFont="1" applyAlignment="1">
      <alignment/>
      <protection/>
    </xf>
    <xf numFmtId="0" fontId="2" fillId="0" borderId="0" xfId="55" applyNumberFormat="1" applyFont="1" applyFill="1" applyAlignment="1">
      <alignment/>
      <protection/>
    </xf>
    <xf numFmtId="167" fontId="8" fillId="0" borderId="0" xfId="55" applyNumberFormat="1" applyFont="1" applyAlignment="1">
      <alignment/>
      <protection/>
    </xf>
    <xf numFmtId="0" fontId="16" fillId="34" borderId="0" xfId="55" applyNumberFormat="1" applyFont="1" applyFill="1" applyAlignment="1">
      <alignment/>
      <protection/>
    </xf>
    <xf numFmtId="167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44" fontId="8" fillId="0" borderId="0" xfId="55" applyNumberFormat="1" applyFont="1" applyAlignment="1">
      <alignment/>
      <protection/>
    </xf>
    <xf numFmtId="167" fontId="8" fillId="0" borderId="0" xfId="55" applyNumberFormat="1" applyFont="1" applyFill="1" applyAlignment="1">
      <alignment/>
      <protection/>
    </xf>
    <xf numFmtId="3" fontId="8" fillId="0" borderId="0" xfId="55" applyNumberFormat="1" applyFont="1" applyFill="1" applyAlignment="1">
      <alignment/>
      <protection/>
    </xf>
    <xf numFmtId="166" fontId="8" fillId="0" borderId="0" xfId="55" applyNumberFormat="1" applyFont="1" applyFill="1" applyAlignment="1">
      <alignment/>
      <protection/>
    </xf>
    <xf numFmtId="167" fontId="12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wh &amp; Revenue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101</xdr:row>
      <xdr:rowOff>0</xdr:rowOff>
    </xdr:from>
    <xdr:to>
      <xdr:col>9</xdr:col>
      <xdr:colOff>171450</xdr:colOff>
      <xdr:row>101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20840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01"/>
  <sheetViews>
    <sheetView tabSelected="1" showOutlineSymbols="0" zoomScale="90" zoomScaleNormal="90" zoomScalePageLayoutView="0" workbookViewId="0" topLeftCell="A1">
      <selection activeCell="B5" sqref="B5"/>
    </sheetView>
  </sheetViews>
  <sheetFormatPr defaultColWidth="11.125" defaultRowHeight="12.75"/>
  <cols>
    <col min="1" max="1" width="5.625" style="39" customWidth="1"/>
    <col min="2" max="2" width="27.625" style="39" customWidth="1"/>
    <col min="3" max="3" width="17.25390625" style="39" customWidth="1"/>
    <col min="4" max="4" width="21.375" style="39" customWidth="1"/>
    <col min="5" max="5" width="18.875" style="39" customWidth="1"/>
    <col min="6" max="6" width="20.25390625" style="39" customWidth="1"/>
    <col min="7" max="7" width="18.875" style="39" customWidth="1"/>
    <col min="8" max="8" width="21.375" style="39" customWidth="1"/>
    <col min="9" max="9" width="22.75390625" style="39" customWidth="1"/>
    <col min="10" max="10" width="20.625" style="39" customWidth="1"/>
    <col min="11" max="11" width="21.375" style="39" customWidth="1"/>
    <col min="12" max="12" width="18.875" style="39" customWidth="1"/>
    <col min="13" max="13" width="21.375" style="39" customWidth="1"/>
    <col min="14" max="14" width="18.875" style="39" customWidth="1"/>
    <col min="15" max="16" width="11.125" style="39" customWidth="1"/>
    <col min="17" max="17" width="11.625" style="39" bestFit="1" customWidth="1"/>
    <col min="18" max="16384" width="11.125" style="39" customWidth="1"/>
  </cols>
  <sheetData>
    <row r="1" spans="2:3" ht="15">
      <c r="B1" s="202" t="s">
        <v>85</v>
      </c>
      <c r="C1" s="194"/>
    </row>
    <row r="2" spans="2:3" ht="15">
      <c r="B2" s="46"/>
      <c r="C2" s="195"/>
    </row>
    <row r="3" spans="2:3" ht="15">
      <c r="B3" s="113" t="s">
        <v>86</v>
      </c>
      <c r="C3" s="64" t="s">
        <v>88</v>
      </c>
    </row>
    <row r="4" spans="2:3" ht="15">
      <c r="B4" s="113" t="s">
        <v>87</v>
      </c>
      <c r="C4" s="63"/>
    </row>
    <row r="5" ht="15">
      <c r="B5" s="46"/>
    </row>
    <row r="6" spans="2:3" ht="15.75">
      <c r="B6" s="38" t="s">
        <v>83</v>
      </c>
      <c r="C6" s="38"/>
    </row>
    <row r="7" spans="2:3" ht="15.75">
      <c r="B7" s="38" t="s">
        <v>43</v>
      </c>
      <c r="C7" s="38"/>
    </row>
    <row r="8" spans="2:5" ht="15.75">
      <c r="B8" s="92">
        <f ca="1">NOW()</f>
        <v>42979.44160694444</v>
      </c>
      <c r="D8" s="41"/>
      <c r="E8" s="42"/>
    </row>
    <row r="9" ht="18">
      <c r="G9" s="53" t="s">
        <v>89</v>
      </c>
    </row>
    <row r="10" ht="15.75" thickBot="1"/>
    <row r="11" spans="2:14" ht="15.75">
      <c r="B11" s="65"/>
      <c r="C11" s="51"/>
      <c r="D11" s="51"/>
      <c r="E11" s="51"/>
      <c r="F11" s="51"/>
      <c r="G11" s="51"/>
      <c r="H11" s="51"/>
      <c r="I11" s="48"/>
      <c r="J11" s="47" t="s">
        <v>44</v>
      </c>
      <c r="K11" s="47" t="s">
        <v>45</v>
      </c>
      <c r="L11" s="48"/>
      <c r="M11" s="48"/>
      <c r="N11" s="51"/>
    </row>
    <row r="12" spans="2:14" ht="15.75">
      <c r="B12" s="66"/>
      <c r="C12" s="52"/>
      <c r="D12" s="50" t="s">
        <v>70</v>
      </c>
      <c r="E12" s="52"/>
      <c r="F12" s="50" t="s">
        <v>70</v>
      </c>
      <c r="G12" s="52"/>
      <c r="H12" s="50" t="s">
        <v>71</v>
      </c>
      <c r="I12" s="49" t="s">
        <v>46</v>
      </c>
      <c r="J12" s="49" t="s">
        <v>75</v>
      </c>
      <c r="K12" s="49" t="s">
        <v>47</v>
      </c>
      <c r="L12" s="50"/>
      <c r="M12" s="49" t="s">
        <v>48</v>
      </c>
      <c r="N12" s="52"/>
    </row>
    <row r="13" spans="2:14" ht="15.75">
      <c r="B13" s="72" t="s">
        <v>73</v>
      </c>
      <c r="C13" s="49" t="s">
        <v>37</v>
      </c>
      <c r="D13" s="50" t="s">
        <v>37</v>
      </c>
      <c r="E13" s="49" t="s">
        <v>39</v>
      </c>
      <c r="F13" s="50" t="s">
        <v>39</v>
      </c>
      <c r="G13" s="49" t="s">
        <v>40</v>
      </c>
      <c r="H13" s="50" t="s">
        <v>40</v>
      </c>
      <c r="I13" s="49" t="s">
        <v>49</v>
      </c>
      <c r="J13" s="49" t="s">
        <v>50</v>
      </c>
      <c r="K13" s="49" t="s">
        <v>51</v>
      </c>
      <c r="L13" s="49" t="s">
        <v>24</v>
      </c>
      <c r="M13" s="49" t="s">
        <v>52</v>
      </c>
      <c r="N13" s="52" t="s">
        <v>53</v>
      </c>
    </row>
    <row r="14" spans="2:14" ht="16.5" thickBot="1">
      <c r="B14" s="68" t="s">
        <v>72</v>
      </c>
      <c r="C14" s="190" t="str">
        <f>B3</f>
        <v>kWh 2016</v>
      </c>
      <c r="D14" s="191" t="str">
        <f>C3</f>
        <v>Customers 2016</v>
      </c>
      <c r="E14" s="190" t="str">
        <f>B3</f>
        <v>kWh 2016</v>
      </c>
      <c r="F14" s="191" t="str">
        <f>C3</f>
        <v>Customers 2016</v>
      </c>
      <c r="G14" s="190" t="str">
        <f>B3</f>
        <v>kWh 2016</v>
      </c>
      <c r="H14" s="191" t="str">
        <f>C3</f>
        <v>Customers 2016</v>
      </c>
      <c r="I14" s="190" t="str">
        <f>B3</f>
        <v>kWh 2016</v>
      </c>
      <c r="J14" s="190" t="str">
        <f>B3</f>
        <v>kWh 2016</v>
      </c>
      <c r="K14" s="190" t="str">
        <f>B3</f>
        <v>kWh 2016</v>
      </c>
      <c r="L14" s="191" t="str">
        <f>C3</f>
        <v>Customers 2016</v>
      </c>
      <c r="M14" s="190" t="str">
        <f>B3</f>
        <v>kWh 2016</v>
      </c>
      <c r="N14" s="71" t="s">
        <v>2</v>
      </c>
    </row>
    <row r="15" spans="2:14" ht="15">
      <c r="B15" s="73"/>
      <c r="C15" s="59"/>
      <c r="D15" s="59"/>
      <c r="E15" s="74"/>
      <c r="F15" s="59"/>
      <c r="G15" s="59"/>
      <c r="H15" s="59"/>
      <c r="I15" s="59"/>
      <c r="J15" s="59"/>
      <c r="K15" s="59"/>
      <c r="L15" s="59"/>
      <c r="M15" s="59"/>
      <c r="N15" s="69"/>
    </row>
    <row r="16" spans="2:14" ht="15.75">
      <c r="B16" s="120" t="s">
        <v>54</v>
      </c>
      <c r="C16" s="124">
        <v>10311643</v>
      </c>
      <c r="D16" s="124">
        <v>1891</v>
      </c>
      <c r="E16" s="124">
        <v>2753528</v>
      </c>
      <c r="F16" s="124">
        <v>192</v>
      </c>
      <c r="G16" s="124">
        <v>0</v>
      </c>
      <c r="H16" s="124">
        <v>0</v>
      </c>
      <c r="I16" s="124">
        <v>66118</v>
      </c>
      <c r="J16" s="124">
        <f>539110+203859</f>
        <v>742969</v>
      </c>
      <c r="K16" s="125">
        <f>C16+E16+G16++I16+J16</f>
        <v>13874258</v>
      </c>
      <c r="L16" s="124">
        <v>2112</v>
      </c>
      <c r="M16" s="124">
        <v>0</v>
      </c>
      <c r="N16" s="124">
        <f>K16+M16</f>
        <v>13874258</v>
      </c>
    </row>
    <row r="17" spans="2:14" ht="15.75">
      <c r="B17" s="120" t="s">
        <v>55</v>
      </c>
      <c r="C17" s="124">
        <v>81530444</v>
      </c>
      <c r="D17" s="124">
        <v>16801</v>
      </c>
      <c r="E17" s="124">
        <v>214470369</v>
      </c>
      <c r="F17" s="124">
        <v>3883</v>
      </c>
      <c r="G17" s="124">
        <v>41868142</v>
      </c>
      <c r="H17" s="124">
        <v>2</v>
      </c>
      <c r="I17" s="124">
        <v>2412237</v>
      </c>
      <c r="J17" s="124">
        <v>0</v>
      </c>
      <c r="K17" s="125">
        <f aca="true" t="shared" si="0" ref="K17:K32">C17+E17+G17++I17+J17</f>
        <v>340281192</v>
      </c>
      <c r="L17" s="124">
        <v>20686</v>
      </c>
      <c r="M17" s="124">
        <v>0</v>
      </c>
      <c r="N17" s="124">
        <f aca="true" t="shared" si="1" ref="N17:N32">K17+M17</f>
        <v>340281192</v>
      </c>
    </row>
    <row r="18" spans="2:14" ht="15.75">
      <c r="B18" s="120" t="s">
        <v>56</v>
      </c>
      <c r="C18" s="124">
        <f>3537458+9929727</f>
        <v>13467185</v>
      </c>
      <c r="D18" s="124">
        <f>581+942</f>
        <v>1523</v>
      </c>
      <c r="E18" s="124">
        <v>1820079</v>
      </c>
      <c r="F18" s="124">
        <v>140</v>
      </c>
      <c r="G18" s="124">
        <v>10269601</v>
      </c>
      <c r="H18" s="124">
        <v>22</v>
      </c>
      <c r="I18" s="124">
        <v>166254</v>
      </c>
      <c r="J18" s="124">
        <v>1081877</v>
      </c>
      <c r="K18" s="125">
        <f t="shared" si="0"/>
        <v>26804996</v>
      </c>
      <c r="L18" s="124">
        <v>1729</v>
      </c>
      <c r="M18" s="124">
        <v>0</v>
      </c>
      <c r="N18" s="124">
        <f t="shared" si="1"/>
        <v>26804996</v>
      </c>
    </row>
    <row r="19" spans="2:14" ht="15.75">
      <c r="B19" s="121" t="s">
        <v>10</v>
      </c>
      <c r="C19" s="124">
        <v>1493928000</v>
      </c>
      <c r="D19" s="124">
        <v>220612</v>
      </c>
      <c r="E19" s="124">
        <v>1537218000</v>
      </c>
      <c r="F19" s="124">
        <v>41475</v>
      </c>
      <c r="G19" s="124">
        <v>1186845000</v>
      </c>
      <c r="H19" s="124">
        <v>69</v>
      </c>
      <c r="I19" s="124">
        <v>4814000</v>
      </c>
      <c r="J19" s="124">
        <v>28000</v>
      </c>
      <c r="K19" s="125">
        <f t="shared" si="0"/>
        <v>4222833000</v>
      </c>
      <c r="L19" s="124">
        <v>262156</v>
      </c>
      <c r="M19" s="124">
        <v>465911000</v>
      </c>
      <c r="N19" s="124">
        <f t="shared" si="1"/>
        <v>4688744000</v>
      </c>
    </row>
    <row r="20" spans="2:14" ht="15.75">
      <c r="B20" s="120" t="s">
        <v>57</v>
      </c>
      <c r="C20" s="124">
        <v>23259517</v>
      </c>
      <c r="D20" s="124">
        <v>4019</v>
      </c>
      <c r="E20" s="124">
        <v>4887653</v>
      </c>
      <c r="F20" s="124">
        <v>401</v>
      </c>
      <c r="G20" s="124">
        <v>4666302</v>
      </c>
      <c r="H20" s="124">
        <v>30</v>
      </c>
      <c r="I20" s="124">
        <v>160353</v>
      </c>
      <c r="J20" s="124">
        <v>61422</v>
      </c>
      <c r="K20" s="125">
        <f t="shared" si="0"/>
        <v>33035247</v>
      </c>
      <c r="L20" s="124">
        <v>4468</v>
      </c>
      <c r="M20" s="124">
        <v>0</v>
      </c>
      <c r="N20" s="124">
        <f t="shared" si="1"/>
        <v>33035247</v>
      </c>
    </row>
    <row r="21" spans="2:14" ht="15.75">
      <c r="B21" s="120" t="s">
        <v>58</v>
      </c>
      <c r="C21" s="124">
        <v>7996218</v>
      </c>
      <c r="D21" s="124">
        <v>1172</v>
      </c>
      <c r="E21" s="124">
        <v>2747323</v>
      </c>
      <c r="F21" s="124">
        <v>133</v>
      </c>
      <c r="G21" s="124">
        <v>0</v>
      </c>
      <c r="H21" s="124">
        <v>0</v>
      </c>
      <c r="I21" s="124">
        <v>25544</v>
      </c>
      <c r="J21" s="124">
        <f>544814+23956</f>
        <v>568770</v>
      </c>
      <c r="K21" s="126">
        <f t="shared" si="0"/>
        <v>11337855</v>
      </c>
      <c r="L21" s="124">
        <v>1395</v>
      </c>
      <c r="M21" s="124">
        <v>0</v>
      </c>
      <c r="N21" s="124">
        <f t="shared" si="1"/>
        <v>11337855</v>
      </c>
    </row>
    <row r="22" spans="2:14" ht="15.75">
      <c r="B22" s="120" t="s">
        <v>59</v>
      </c>
      <c r="C22" s="124">
        <v>3583683</v>
      </c>
      <c r="D22" s="124">
        <v>645</v>
      </c>
      <c r="E22" s="124">
        <v>529449</v>
      </c>
      <c r="F22" s="124">
        <v>48</v>
      </c>
      <c r="G22" s="124">
        <v>858073</v>
      </c>
      <c r="H22" s="124">
        <v>4</v>
      </c>
      <c r="I22" s="124">
        <v>17176</v>
      </c>
      <c r="J22" s="124">
        <v>0</v>
      </c>
      <c r="K22" s="126">
        <f t="shared" si="0"/>
        <v>4988381</v>
      </c>
      <c r="L22" s="124">
        <v>698</v>
      </c>
      <c r="M22" s="124">
        <v>0</v>
      </c>
      <c r="N22" s="124">
        <f t="shared" si="1"/>
        <v>4988381</v>
      </c>
    </row>
    <row r="23" spans="2:14" ht="15.75">
      <c r="B23" s="120" t="s">
        <v>60</v>
      </c>
      <c r="C23" s="124">
        <v>5030503</v>
      </c>
      <c r="D23" s="124">
        <v>776</v>
      </c>
      <c r="E23" s="124">
        <v>1022582</v>
      </c>
      <c r="F23" s="38">
        <v>95</v>
      </c>
      <c r="G23" s="124">
        <f>2216194+3753542</f>
        <v>5969736</v>
      </c>
      <c r="H23" s="124">
        <v>13</v>
      </c>
      <c r="I23" s="124">
        <v>67146</v>
      </c>
      <c r="J23" s="124">
        <v>856263</v>
      </c>
      <c r="K23" s="126">
        <f t="shared" si="0"/>
        <v>12946230</v>
      </c>
      <c r="L23" s="124">
        <v>945</v>
      </c>
      <c r="M23" s="124">
        <v>0</v>
      </c>
      <c r="N23" s="124">
        <f t="shared" si="1"/>
        <v>12946230</v>
      </c>
    </row>
    <row r="24" spans="2:14" ht="15.75">
      <c r="B24" s="120" t="s">
        <v>61</v>
      </c>
      <c r="C24" s="124">
        <v>15600471</v>
      </c>
      <c r="D24" s="124">
        <v>3001</v>
      </c>
      <c r="E24" s="124">
        <v>16940918</v>
      </c>
      <c r="F24" s="124">
        <v>661</v>
      </c>
      <c r="G24" s="124">
        <v>13258860</v>
      </c>
      <c r="H24" s="124">
        <v>4</v>
      </c>
      <c r="I24" s="124">
        <v>345238</v>
      </c>
      <c r="J24" s="124">
        <v>55815</v>
      </c>
      <c r="K24" s="125">
        <f t="shared" si="0"/>
        <v>46201302</v>
      </c>
      <c r="L24" s="124">
        <v>3670</v>
      </c>
      <c r="M24" s="124">
        <v>0</v>
      </c>
      <c r="N24" s="124">
        <f t="shared" si="1"/>
        <v>46201302</v>
      </c>
    </row>
    <row r="25" spans="2:14" ht="15.75">
      <c r="B25" s="120" t="s">
        <v>62</v>
      </c>
      <c r="C25" s="127">
        <f>30185396+580959</f>
        <v>30766355</v>
      </c>
      <c r="D25" s="127">
        <f>4801+12</f>
        <v>4813</v>
      </c>
      <c r="E25" s="127">
        <v>10499978</v>
      </c>
      <c r="F25" s="127">
        <v>846</v>
      </c>
      <c r="G25" s="127">
        <f>12370682+6721987</f>
        <v>19092669</v>
      </c>
      <c r="H25" s="127">
        <v>42</v>
      </c>
      <c r="I25" s="127">
        <v>486402</v>
      </c>
      <c r="J25" s="127">
        <v>0</v>
      </c>
      <c r="K25" s="126">
        <f t="shared" si="0"/>
        <v>60845404</v>
      </c>
      <c r="L25" s="127">
        <v>5701</v>
      </c>
      <c r="M25" s="127">
        <v>0</v>
      </c>
      <c r="N25" s="127">
        <f t="shared" si="1"/>
        <v>60845404</v>
      </c>
    </row>
    <row r="26" spans="2:14" ht="15.75">
      <c r="B26" s="120" t="s">
        <v>63</v>
      </c>
      <c r="C26" s="124">
        <v>20760686</v>
      </c>
      <c r="D26" s="124">
        <v>3441</v>
      </c>
      <c r="E26" s="124">
        <v>23455361</v>
      </c>
      <c r="F26" s="124">
        <v>604</v>
      </c>
      <c r="G26" s="124">
        <v>0</v>
      </c>
      <c r="H26" s="124">
        <v>0</v>
      </c>
      <c r="I26" s="124">
        <v>90362</v>
      </c>
      <c r="J26" s="124">
        <v>0</v>
      </c>
      <c r="K26" s="125">
        <f t="shared" si="0"/>
        <v>44306409</v>
      </c>
      <c r="L26" s="124">
        <v>4048</v>
      </c>
      <c r="M26" s="124">
        <v>0</v>
      </c>
      <c r="N26" s="124">
        <f t="shared" si="1"/>
        <v>44306409</v>
      </c>
    </row>
    <row r="27" spans="2:14" ht="15.75">
      <c r="B27" s="120" t="s">
        <v>64</v>
      </c>
      <c r="C27" s="124">
        <v>10065357</v>
      </c>
      <c r="D27" s="124">
        <v>1609</v>
      </c>
      <c r="E27" s="124">
        <v>2278633</v>
      </c>
      <c r="F27" s="124">
        <v>178</v>
      </c>
      <c r="G27" s="124">
        <f>8784278+5363262</f>
        <v>14147540</v>
      </c>
      <c r="H27" s="124">
        <f>1+14</f>
        <v>15</v>
      </c>
      <c r="I27" s="124">
        <v>51366</v>
      </c>
      <c r="J27" s="124">
        <f>1782209+40427</f>
        <v>1822636</v>
      </c>
      <c r="K27" s="125">
        <f t="shared" si="0"/>
        <v>28365532</v>
      </c>
      <c r="L27" s="124">
        <v>2212</v>
      </c>
      <c r="M27" s="124">
        <v>0</v>
      </c>
      <c r="N27" s="124">
        <f t="shared" si="1"/>
        <v>28365532</v>
      </c>
    </row>
    <row r="28" spans="2:14" ht="15.75">
      <c r="B28" s="120" t="s">
        <v>65</v>
      </c>
      <c r="C28" s="124">
        <v>3910258</v>
      </c>
      <c r="D28" s="124">
        <v>582</v>
      </c>
      <c r="E28" s="124">
        <v>1619972</v>
      </c>
      <c r="F28" s="124">
        <v>65</v>
      </c>
      <c r="G28" s="124">
        <v>6986400</v>
      </c>
      <c r="H28" s="124">
        <v>1</v>
      </c>
      <c r="I28" s="124">
        <v>148080</v>
      </c>
      <c r="J28" s="124">
        <v>396396</v>
      </c>
      <c r="K28" s="125">
        <f t="shared" si="0"/>
        <v>13061106</v>
      </c>
      <c r="L28" s="124">
        <v>669</v>
      </c>
      <c r="M28" s="124">
        <v>0</v>
      </c>
      <c r="N28" s="124">
        <f t="shared" si="1"/>
        <v>13061106</v>
      </c>
    </row>
    <row r="29" spans="2:14" ht="15.75">
      <c r="B29" s="120" t="s">
        <v>66</v>
      </c>
      <c r="C29" s="127">
        <v>23313113</v>
      </c>
      <c r="D29" s="127">
        <v>3386</v>
      </c>
      <c r="E29" s="127">
        <v>44877058</v>
      </c>
      <c r="F29" s="127">
        <v>777</v>
      </c>
      <c r="G29" s="127">
        <v>11976280</v>
      </c>
      <c r="H29" s="127">
        <v>1</v>
      </c>
      <c r="I29" s="127">
        <v>22666</v>
      </c>
      <c r="J29" s="127">
        <v>0</v>
      </c>
      <c r="K29" s="126">
        <f t="shared" si="0"/>
        <v>80189117</v>
      </c>
      <c r="L29" s="127">
        <v>4168</v>
      </c>
      <c r="M29" s="127">
        <v>0</v>
      </c>
      <c r="N29" s="127">
        <f t="shared" si="1"/>
        <v>80189117</v>
      </c>
    </row>
    <row r="30" spans="2:29" ht="15.75">
      <c r="B30" s="120" t="s">
        <v>67</v>
      </c>
      <c r="C30" s="124">
        <f>23856367+2137951</f>
        <v>25994318</v>
      </c>
      <c r="D30" s="124">
        <f>3169+67</f>
        <v>3236</v>
      </c>
      <c r="E30" s="124">
        <v>27321290</v>
      </c>
      <c r="F30" s="124">
        <v>423</v>
      </c>
      <c r="G30" s="124">
        <v>0</v>
      </c>
      <c r="H30" s="124">
        <v>0</v>
      </c>
      <c r="I30" s="124">
        <v>186828</v>
      </c>
      <c r="J30" s="124">
        <v>964443</v>
      </c>
      <c r="K30" s="125">
        <f t="shared" si="0"/>
        <v>54466879</v>
      </c>
      <c r="L30" s="124">
        <v>3672</v>
      </c>
      <c r="M30" s="124">
        <v>0</v>
      </c>
      <c r="N30" s="124">
        <f t="shared" si="1"/>
        <v>54466879</v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2:29" ht="15.75">
      <c r="B31" s="121" t="s">
        <v>78</v>
      </c>
      <c r="C31" s="124">
        <v>216725731</v>
      </c>
      <c r="D31" s="124">
        <v>34318</v>
      </c>
      <c r="E31" s="124">
        <v>113021724</v>
      </c>
      <c r="F31" s="124">
        <v>3969</v>
      </c>
      <c r="G31" s="124">
        <v>100115059</v>
      </c>
      <c r="H31" s="124">
        <v>13</v>
      </c>
      <c r="I31" s="124">
        <v>1098946</v>
      </c>
      <c r="J31" s="124">
        <f>15041350+263707</f>
        <v>15305057</v>
      </c>
      <c r="K31" s="125">
        <f t="shared" si="0"/>
        <v>446266517</v>
      </c>
      <c r="L31" s="124">
        <v>38802</v>
      </c>
      <c r="M31" s="127">
        <v>35009403</v>
      </c>
      <c r="N31" s="124">
        <f t="shared" si="1"/>
        <v>481275920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2:14" ht="16.5" thickBot="1">
      <c r="B32" s="122" t="s">
        <v>23</v>
      </c>
      <c r="C32" s="128">
        <v>60930663</v>
      </c>
      <c r="D32" s="128">
        <v>10346</v>
      </c>
      <c r="E32" s="128">
        <v>5212844</v>
      </c>
      <c r="F32" s="128">
        <v>619</v>
      </c>
      <c r="G32" s="128">
        <v>3630827</v>
      </c>
      <c r="H32" s="128">
        <v>12</v>
      </c>
      <c r="I32" s="128">
        <v>35477</v>
      </c>
      <c r="J32" s="128">
        <v>0</v>
      </c>
      <c r="K32" s="129">
        <f t="shared" si="0"/>
        <v>69809811</v>
      </c>
      <c r="L32" s="128">
        <v>10895</v>
      </c>
      <c r="M32" s="128">
        <v>0</v>
      </c>
      <c r="N32" s="128">
        <f t="shared" si="1"/>
        <v>69809811</v>
      </c>
    </row>
    <row r="33" spans="2:14" ht="15.75">
      <c r="B33" s="66"/>
      <c r="C33" s="124"/>
      <c r="D33" s="124"/>
      <c r="E33" s="130"/>
      <c r="F33" s="124"/>
      <c r="G33" s="124"/>
      <c r="H33" s="124"/>
      <c r="I33" s="124"/>
      <c r="J33" s="124"/>
      <c r="K33" s="124"/>
      <c r="L33" s="124"/>
      <c r="M33" s="124"/>
      <c r="N33" s="56"/>
    </row>
    <row r="34" spans="2:14" ht="16.5" thickBot="1">
      <c r="B34" s="196" t="s">
        <v>42</v>
      </c>
      <c r="C34" s="129">
        <f aca="true" t="shared" si="2" ref="C34:N34">SUM(C16:C32)</f>
        <v>2047174145</v>
      </c>
      <c r="D34" s="129">
        <f t="shared" si="2"/>
        <v>312171</v>
      </c>
      <c r="E34" s="131">
        <f t="shared" si="2"/>
        <v>2010676761</v>
      </c>
      <c r="F34" s="129">
        <f t="shared" si="2"/>
        <v>54509</v>
      </c>
      <c r="G34" s="129">
        <f t="shared" si="2"/>
        <v>1419684489</v>
      </c>
      <c r="H34" s="129">
        <f t="shared" si="2"/>
        <v>228</v>
      </c>
      <c r="I34" s="129">
        <f t="shared" si="2"/>
        <v>10194193</v>
      </c>
      <c r="J34" s="129">
        <f t="shared" si="2"/>
        <v>21883648</v>
      </c>
      <c r="K34" s="129">
        <f t="shared" si="2"/>
        <v>5509613236</v>
      </c>
      <c r="L34" s="129">
        <f t="shared" si="2"/>
        <v>368026</v>
      </c>
      <c r="M34" s="129">
        <f t="shared" si="2"/>
        <v>500920403</v>
      </c>
      <c r="N34" s="129">
        <f t="shared" si="2"/>
        <v>6010533639</v>
      </c>
    </row>
    <row r="35" spans="3:13" ht="1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7" spans="2:5" ht="15.75">
      <c r="B37" s="172"/>
      <c r="C37" s="132"/>
      <c r="D37" s="132"/>
      <c r="E37" s="38"/>
    </row>
    <row r="38" spans="2:5" ht="15.75">
      <c r="B38" s="174"/>
      <c r="C38" s="132"/>
      <c r="D38" s="132"/>
      <c r="E38" s="112"/>
    </row>
    <row r="39" spans="2:5" ht="15.75">
      <c r="B39" s="174"/>
      <c r="C39" s="132"/>
      <c r="D39" s="132"/>
      <c r="E39" s="38"/>
    </row>
    <row r="40" spans="2:5" ht="15.75">
      <c r="B40" s="173"/>
      <c r="C40" s="174"/>
      <c r="D40" s="132"/>
      <c r="E40" s="38"/>
    </row>
    <row r="41" spans="2:5" ht="15.75">
      <c r="B41" s="174"/>
      <c r="C41" s="174"/>
      <c r="D41" s="132"/>
      <c r="E41" s="38"/>
    </row>
    <row r="42" spans="2:5" ht="15.75">
      <c r="B42" s="174"/>
      <c r="C42" s="174"/>
      <c r="D42" s="132"/>
      <c r="E42" s="38"/>
    </row>
    <row r="43" ht="15">
      <c r="B43" s="193" t="s">
        <v>91</v>
      </c>
    </row>
    <row r="44" ht="15">
      <c r="B44" s="192" t="s">
        <v>92</v>
      </c>
    </row>
    <row r="45" ht="15">
      <c r="B45" s="193" t="s">
        <v>84</v>
      </c>
    </row>
    <row r="46" ht="15">
      <c r="H46" s="61"/>
    </row>
    <row r="48" spans="2:3" ht="15.75">
      <c r="B48" s="38" t="s">
        <v>83</v>
      </c>
      <c r="C48" s="38"/>
    </row>
    <row r="49" spans="2:3" ht="15.75">
      <c r="B49" s="38" t="s">
        <v>43</v>
      </c>
      <c r="C49" s="38"/>
    </row>
    <row r="50" ht="15.75">
      <c r="B50" s="92">
        <f ca="1">NOW()</f>
        <v>42979.44160694444</v>
      </c>
    </row>
    <row r="51" spans="2:13" ht="18">
      <c r="B51" s="46"/>
      <c r="G51" s="53" t="s">
        <v>90</v>
      </c>
      <c r="M51" s="43"/>
    </row>
    <row r="52" ht="15.75" thickBot="1"/>
    <row r="53" spans="2:12" ht="15.75">
      <c r="B53" s="69"/>
      <c r="C53" s="55"/>
      <c r="D53" s="109"/>
      <c r="E53" s="55"/>
      <c r="F53" s="55"/>
      <c r="G53" s="47" t="s">
        <v>44</v>
      </c>
      <c r="H53" s="55"/>
      <c r="I53" s="55"/>
      <c r="J53" s="55"/>
      <c r="K53" s="55"/>
      <c r="L53" s="69"/>
    </row>
    <row r="54" spans="2:12" ht="15.75">
      <c r="B54" s="54"/>
      <c r="C54" s="56"/>
      <c r="D54" s="110"/>
      <c r="E54" s="56"/>
      <c r="F54" s="49" t="s">
        <v>46</v>
      </c>
      <c r="G54" s="49" t="s">
        <v>74</v>
      </c>
      <c r="H54" s="56"/>
      <c r="I54" s="56"/>
      <c r="J54" s="57"/>
      <c r="K54" s="56"/>
      <c r="L54" s="54"/>
    </row>
    <row r="55" spans="2:12" ht="15.75">
      <c r="B55" s="50" t="s">
        <v>73</v>
      </c>
      <c r="C55" s="49" t="s">
        <v>37</v>
      </c>
      <c r="D55" s="111" t="s">
        <v>39</v>
      </c>
      <c r="E55" s="49" t="s">
        <v>40</v>
      </c>
      <c r="F55" s="49" t="s">
        <v>49</v>
      </c>
      <c r="G55" s="49" t="s">
        <v>50</v>
      </c>
      <c r="H55" s="49" t="s">
        <v>68</v>
      </c>
      <c r="I55" s="49" t="s">
        <v>81</v>
      </c>
      <c r="J55" s="49" t="s">
        <v>69</v>
      </c>
      <c r="K55" s="49" t="s">
        <v>79</v>
      </c>
      <c r="L55" s="50" t="s">
        <v>82</v>
      </c>
    </row>
    <row r="56" spans="2:12" ht="16.5" thickBot="1">
      <c r="B56" s="62" t="s">
        <v>72</v>
      </c>
      <c r="C56" s="190" t="str">
        <f>$B$4</f>
        <v>Revenue 2016</v>
      </c>
      <c r="D56" s="190" t="str">
        <f aca="true" t="shared" si="3" ref="D56:L56">$B$4</f>
        <v>Revenue 2016</v>
      </c>
      <c r="E56" s="190" t="str">
        <f t="shared" si="3"/>
        <v>Revenue 2016</v>
      </c>
      <c r="F56" s="190" t="str">
        <f t="shared" si="3"/>
        <v>Revenue 2016</v>
      </c>
      <c r="G56" s="190" t="str">
        <f t="shared" si="3"/>
        <v>Revenue 2016</v>
      </c>
      <c r="H56" s="190" t="str">
        <f t="shared" si="3"/>
        <v>Revenue 2016</v>
      </c>
      <c r="I56" s="190" t="str">
        <f t="shared" si="3"/>
        <v>Revenue 2016</v>
      </c>
      <c r="J56" s="190" t="str">
        <f t="shared" si="3"/>
        <v>Revenue 2016</v>
      </c>
      <c r="K56" s="190" t="str">
        <f t="shared" si="3"/>
        <v>Revenue 2016</v>
      </c>
      <c r="L56" s="190" t="str">
        <f t="shared" si="3"/>
        <v>Revenue 2016</v>
      </c>
    </row>
    <row r="57" spans="2:12" ht="15">
      <c r="B57" s="58"/>
      <c r="C57" s="60"/>
      <c r="D57" s="67"/>
      <c r="E57" s="60"/>
      <c r="F57" s="60"/>
      <c r="G57" s="60"/>
      <c r="H57" s="60"/>
      <c r="I57" s="60"/>
      <c r="J57" s="60"/>
      <c r="K57" s="60"/>
      <c r="L57" s="70"/>
    </row>
    <row r="58" spans="2:12" ht="15.75">
      <c r="B58" s="121" t="s">
        <v>54</v>
      </c>
      <c r="C58" s="133">
        <v>1949679</v>
      </c>
      <c r="D58" s="133">
        <v>591417</v>
      </c>
      <c r="E58" s="133">
        <v>0</v>
      </c>
      <c r="F58" s="133">
        <v>19584</v>
      </c>
      <c r="G58" s="133">
        <f>115957+50250</f>
        <v>166207</v>
      </c>
      <c r="H58" s="133">
        <f aca="true" t="shared" si="4" ref="H58:H74">SUM(C58:G58)</f>
        <v>2726887</v>
      </c>
      <c r="I58" s="133">
        <v>14079</v>
      </c>
      <c r="J58" s="133">
        <f aca="true" t="shared" si="5" ref="J58:J74">H58+I58</f>
        <v>2740966</v>
      </c>
      <c r="K58" s="133">
        <v>0</v>
      </c>
      <c r="L58" s="133">
        <f aca="true" t="shared" si="6" ref="L58:L74">J58+K58</f>
        <v>2740966</v>
      </c>
    </row>
    <row r="59" spans="2:12" ht="15.75">
      <c r="B59" s="121" t="s">
        <v>55</v>
      </c>
      <c r="C59" s="133">
        <v>12952769</v>
      </c>
      <c r="D59" s="133">
        <v>29732011</v>
      </c>
      <c r="E59" s="133">
        <v>4677715</v>
      </c>
      <c r="F59" s="133">
        <v>575338</v>
      </c>
      <c r="G59" s="133">
        <v>0</v>
      </c>
      <c r="H59" s="133">
        <f t="shared" si="4"/>
        <v>47937833</v>
      </c>
      <c r="I59" s="133">
        <v>15658558</v>
      </c>
      <c r="J59" s="133">
        <f t="shared" si="5"/>
        <v>63596391</v>
      </c>
      <c r="K59" s="133">
        <v>0</v>
      </c>
      <c r="L59" s="133">
        <f t="shared" si="6"/>
        <v>63596391</v>
      </c>
    </row>
    <row r="60" spans="2:12" ht="15.75">
      <c r="B60" s="121" t="s">
        <v>56</v>
      </c>
      <c r="C60" s="133">
        <f>568777+1595042</f>
        <v>2163819</v>
      </c>
      <c r="D60" s="133">
        <v>295731</v>
      </c>
      <c r="E60" s="133">
        <v>1384589</v>
      </c>
      <c r="F60" s="133">
        <v>29301</v>
      </c>
      <c r="G60" s="133">
        <v>169852</v>
      </c>
      <c r="H60" s="133">
        <f t="shared" si="4"/>
        <v>4043292</v>
      </c>
      <c r="I60" s="133">
        <v>11480</v>
      </c>
      <c r="J60" s="133">
        <f t="shared" si="5"/>
        <v>4054772</v>
      </c>
      <c r="K60" s="133">
        <v>0</v>
      </c>
      <c r="L60" s="133">
        <f t="shared" si="6"/>
        <v>4054772</v>
      </c>
    </row>
    <row r="61" spans="2:12" ht="15.75">
      <c r="B61" s="121" t="s">
        <v>10</v>
      </c>
      <c r="C61" s="133">
        <v>255175993</v>
      </c>
      <c r="D61" s="133">
        <v>220308946</v>
      </c>
      <c r="E61" s="133">
        <v>116872857</v>
      </c>
      <c r="F61" s="133">
        <v>2585509</v>
      </c>
      <c r="G61" s="133">
        <v>411</v>
      </c>
      <c r="H61" s="133">
        <f t="shared" si="4"/>
        <v>594943716</v>
      </c>
      <c r="I61" s="133">
        <v>45300152</v>
      </c>
      <c r="J61" s="133">
        <f t="shared" si="5"/>
        <v>640243868</v>
      </c>
      <c r="K61" s="133">
        <v>12611391</v>
      </c>
      <c r="L61" s="134">
        <f t="shared" si="6"/>
        <v>652855259</v>
      </c>
    </row>
    <row r="62" spans="2:12" ht="15.75">
      <c r="B62" s="121" t="s">
        <v>57</v>
      </c>
      <c r="C62" s="133">
        <v>4154482</v>
      </c>
      <c r="D62" s="133">
        <v>896806</v>
      </c>
      <c r="E62" s="133">
        <v>766270</v>
      </c>
      <c r="F62" s="133">
        <v>49472</v>
      </c>
      <c r="G62" s="133">
        <v>0</v>
      </c>
      <c r="H62" s="133">
        <f t="shared" si="4"/>
        <v>5867030</v>
      </c>
      <c r="I62" s="133">
        <v>47090</v>
      </c>
      <c r="J62" s="133">
        <f t="shared" si="5"/>
        <v>5914120</v>
      </c>
      <c r="K62" s="133">
        <v>0</v>
      </c>
      <c r="L62" s="133">
        <f t="shared" si="6"/>
        <v>5914120</v>
      </c>
    </row>
    <row r="63" spans="2:12" ht="15.75">
      <c r="B63" s="121" t="s">
        <v>58</v>
      </c>
      <c r="C63" s="133">
        <v>1424822</v>
      </c>
      <c r="D63" s="133">
        <v>522374</v>
      </c>
      <c r="E63" s="133">
        <v>0</v>
      </c>
      <c r="F63" s="133">
        <v>5375</v>
      </c>
      <c r="G63" s="133">
        <f>103136+5749</f>
        <v>108885</v>
      </c>
      <c r="H63" s="133">
        <f t="shared" si="4"/>
        <v>2061456</v>
      </c>
      <c r="I63" s="133">
        <v>23555</v>
      </c>
      <c r="J63" s="133">
        <f t="shared" si="5"/>
        <v>2085011</v>
      </c>
      <c r="K63" s="133">
        <v>0</v>
      </c>
      <c r="L63" s="133">
        <f t="shared" si="6"/>
        <v>2085011</v>
      </c>
    </row>
    <row r="64" spans="2:12" ht="15.75">
      <c r="B64" s="121" t="s">
        <v>59</v>
      </c>
      <c r="C64" s="133">
        <v>602816.68</v>
      </c>
      <c r="D64" s="133">
        <v>92880.09</v>
      </c>
      <c r="E64" s="133">
        <v>155568.62</v>
      </c>
      <c r="F64" s="133">
        <v>3321.6</v>
      </c>
      <c r="G64" s="133">
        <v>0</v>
      </c>
      <c r="H64" s="133">
        <f t="shared" si="4"/>
        <v>854586.99</v>
      </c>
      <c r="I64" s="133">
        <v>3634</v>
      </c>
      <c r="J64" s="133">
        <f t="shared" si="5"/>
        <v>858220.99</v>
      </c>
      <c r="K64" s="133">
        <v>0</v>
      </c>
      <c r="L64" s="133">
        <f t="shared" si="6"/>
        <v>858220.99</v>
      </c>
    </row>
    <row r="65" spans="2:12" ht="15.75">
      <c r="B65" s="121" t="s">
        <v>60</v>
      </c>
      <c r="C65" s="133">
        <v>876844.01</v>
      </c>
      <c r="D65" s="133">
        <v>203049.06</v>
      </c>
      <c r="E65" s="133">
        <f>408436.37+613845.5</f>
        <v>1022281.87</v>
      </c>
      <c r="F65" s="133">
        <v>15990.64</v>
      </c>
      <c r="G65" s="133">
        <v>156431.7</v>
      </c>
      <c r="H65" s="133">
        <f t="shared" si="4"/>
        <v>2274597.2800000003</v>
      </c>
      <c r="I65" s="133">
        <v>4855</v>
      </c>
      <c r="J65" s="133">
        <f t="shared" si="5"/>
        <v>2279452.2800000003</v>
      </c>
      <c r="K65" s="133">
        <v>0</v>
      </c>
      <c r="L65" s="133">
        <f t="shared" si="6"/>
        <v>2279452.2800000003</v>
      </c>
    </row>
    <row r="66" spans="2:12" ht="15.75">
      <c r="B66" s="121" t="s">
        <v>61</v>
      </c>
      <c r="C66" s="133">
        <v>2107995</v>
      </c>
      <c r="D66" s="133">
        <v>2916483</v>
      </c>
      <c r="E66" s="133">
        <v>2215155</v>
      </c>
      <c r="F66" s="133">
        <v>100120</v>
      </c>
      <c r="G66" s="133">
        <v>0</v>
      </c>
      <c r="H66" s="133">
        <f t="shared" si="4"/>
        <v>7339753</v>
      </c>
      <c r="I66" s="133">
        <v>323191</v>
      </c>
      <c r="J66" s="133">
        <f t="shared" si="5"/>
        <v>7662944</v>
      </c>
      <c r="K66" s="133">
        <v>0</v>
      </c>
      <c r="L66" s="133">
        <f t="shared" si="6"/>
        <v>7662944</v>
      </c>
    </row>
    <row r="67" spans="2:12" ht="15.75">
      <c r="B67" s="121" t="s">
        <v>62</v>
      </c>
      <c r="C67" s="133">
        <f>4701335+79994</f>
        <v>4781329</v>
      </c>
      <c r="D67" s="133">
        <v>1696451</v>
      </c>
      <c r="E67" s="133">
        <f>1892744+913327</f>
        <v>2806071</v>
      </c>
      <c r="F67" s="133">
        <v>101487</v>
      </c>
      <c r="G67" s="133">
        <v>0</v>
      </c>
      <c r="H67" s="133">
        <f t="shared" si="4"/>
        <v>9385338</v>
      </c>
      <c r="I67" s="133">
        <v>366059</v>
      </c>
      <c r="J67" s="133">
        <f t="shared" si="5"/>
        <v>9751397</v>
      </c>
      <c r="K67" s="133">
        <v>0</v>
      </c>
      <c r="L67" s="133">
        <f t="shared" si="6"/>
        <v>9751397</v>
      </c>
    </row>
    <row r="68" spans="2:12" ht="15.75">
      <c r="B68" s="121" t="s">
        <v>63</v>
      </c>
      <c r="C68" s="133">
        <v>3264996</v>
      </c>
      <c r="D68" s="133">
        <v>3668590</v>
      </c>
      <c r="E68" s="133">
        <v>0</v>
      </c>
      <c r="F68" s="133">
        <v>32864</v>
      </c>
      <c r="G68" s="133">
        <v>0</v>
      </c>
      <c r="H68" s="133">
        <f>SUM(C68:G68)</f>
        <v>6966450</v>
      </c>
      <c r="I68" s="133">
        <v>140981</v>
      </c>
      <c r="J68" s="133">
        <f t="shared" si="5"/>
        <v>7107431</v>
      </c>
      <c r="K68" s="133">
        <v>0</v>
      </c>
      <c r="L68" s="133">
        <f t="shared" si="6"/>
        <v>7107431</v>
      </c>
    </row>
    <row r="69" spans="2:12" ht="15.75">
      <c r="B69" s="121" t="s">
        <v>64</v>
      </c>
      <c r="C69" s="133">
        <v>1388814</v>
      </c>
      <c r="D69" s="133">
        <v>338050</v>
      </c>
      <c r="E69" s="133">
        <f>1095669+709939</f>
        <v>1805608</v>
      </c>
      <c r="F69" s="133">
        <v>16125</v>
      </c>
      <c r="G69" s="133">
        <f>254207+10233</f>
        <v>264440</v>
      </c>
      <c r="H69" s="133">
        <f t="shared" si="4"/>
        <v>3813037</v>
      </c>
      <c r="I69" s="133">
        <v>14684</v>
      </c>
      <c r="J69" s="133">
        <f t="shared" si="5"/>
        <v>3827721</v>
      </c>
      <c r="K69" s="133">
        <v>0</v>
      </c>
      <c r="L69" s="133">
        <f t="shared" si="6"/>
        <v>3827721</v>
      </c>
    </row>
    <row r="70" spans="2:12" ht="15.75">
      <c r="B70" s="121" t="s">
        <v>65</v>
      </c>
      <c r="C70" s="133">
        <v>507710</v>
      </c>
      <c r="D70" s="133">
        <v>228265</v>
      </c>
      <c r="E70" s="133">
        <v>1050572</v>
      </c>
      <c r="F70" s="133">
        <v>21831</v>
      </c>
      <c r="G70" s="133">
        <v>57606</v>
      </c>
      <c r="H70" s="133">
        <f t="shared" si="4"/>
        <v>1865984</v>
      </c>
      <c r="I70" s="133">
        <v>89738</v>
      </c>
      <c r="J70" s="133">
        <f t="shared" si="5"/>
        <v>1955722</v>
      </c>
      <c r="K70" s="133">
        <v>0</v>
      </c>
      <c r="L70" s="133">
        <f t="shared" si="6"/>
        <v>1955722</v>
      </c>
    </row>
    <row r="71" spans="2:12" ht="15.75">
      <c r="B71" s="121" t="s">
        <v>66</v>
      </c>
      <c r="C71" s="133">
        <v>4040449</v>
      </c>
      <c r="D71" s="133">
        <v>6202938</v>
      </c>
      <c r="E71" s="133">
        <v>1813860</v>
      </c>
      <c r="F71" s="133">
        <v>11047</v>
      </c>
      <c r="G71" s="133">
        <v>0</v>
      </c>
      <c r="H71" s="133">
        <f t="shared" si="4"/>
        <v>12068294</v>
      </c>
      <c r="I71" s="133">
        <v>37864</v>
      </c>
      <c r="J71" s="133">
        <f t="shared" si="5"/>
        <v>12106158</v>
      </c>
      <c r="K71" s="133">
        <v>0</v>
      </c>
      <c r="L71" s="133">
        <f t="shared" si="6"/>
        <v>12106158</v>
      </c>
    </row>
    <row r="72" spans="2:16" ht="15.75">
      <c r="B72" s="121" t="s">
        <v>67</v>
      </c>
      <c r="C72" s="133">
        <f>3098790+248684</f>
        <v>3347474</v>
      </c>
      <c r="D72" s="133">
        <v>3633601</v>
      </c>
      <c r="E72" s="133">
        <v>0</v>
      </c>
      <c r="F72" s="133">
        <v>35603</v>
      </c>
      <c r="G72" s="133">
        <v>111228</v>
      </c>
      <c r="H72" s="133">
        <f t="shared" si="4"/>
        <v>7127906</v>
      </c>
      <c r="I72" s="133">
        <v>39593</v>
      </c>
      <c r="J72" s="133">
        <f t="shared" si="5"/>
        <v>7167499</v>
      </c>
      <c r="K72" s="133">
        <v>38164</v>
      </c>
      <c r="L72" s="133">
        <f t="shared" si="6"/>
        <v>7205663</v>
      </c>
      <c r="P72" s="46"/>
    </row>
    <row r="73" spans="2:12" ht="15.75">
      <c r="B73" s="121" t="s">
        <v>22</v>
      </c>
      <c r="C73" s="133">
        <v>41771642</v>
      </c>
      <c r="D73" s="133">
        <v>17822509</v>
      </c>
      <c r="E73" s="133">
        <v>10723669</v>
      </c>
      <c r="F73" s="133">
        <v>329486</v>
      </c>
      <c r="G73" s="133">
        <v>2390892</v>
      </c>
      <c r="H73" s="133">
        <f t="shared" si="4"/>
        <v>73038198</v>
      </c>
      <c r="I73" s="133">
        <v>2777368</v>
      </c>
      <c r="J73" s="133">
        <f t="shared" si="5"/>
        <v>75815566</v>
      </c>
      <c r="K73" s="133">
        <v>849941</v>
      </c>
      <c r="L73" s="133">
        <f t="shared" si="6"/>
        <v>76665507</v>
      </c>
    </row>
    <row r="74" spans="2:12" ht="16.5" thickBot="1">
      <c r="B74" s="123" t="s">
        <v>23</v>
      </c>
      <c r="C74" s="133">
        <v>12273904</v>
      </c>
      <c r="D74" s="133">
        <v>1005118</v>
      </c>
      <c r="E74" s="133">
        <v>506778</v>
      </c>
      <c r="F74" s="133">
        <v>12758</v>
      </c>
      <c r="G74" s="133">
        <v>0</v>
      </c>
      <c r="H74" s="135">
        <f t="shared" si="4"/>
        <v>13798558</v>
      </c>
      <c r="I74" s="133">
        <v>3188551</v>
      </c>
      <c r="J74" s="135">
        <f t="shared" si="5"/>
        <v>16987109</v>
      </c>
      <c r="K74" s="133">
        <v>0</v>
      </c>
      <c r="L74" s="135">
        <f t="shared" si="6"/>
        <v>16987109</v>
      </c>
    </row>
    <row r="75" spans="2:12" ht="15.75">
      <c r="B75" s="66"/>
      <c r="C75" s="136"/>
      <c r="D75" s="137"/>
      <c r="E75" s="137"/>
      <c r="F75" s="137"/>
      <c r="G75" s="137"/>
      <c r="H75" s="137"/>
      <c r="I75" s="137"/>
      <c r="J75" s="137"/>
      <c r="K75" s="137"/>
      <c r="L75" s="138"/>
    </row>
    <row r="76" spans="2:12" ht="16.5" thickBot="1">
      <c r="B76" s="196" t="s">
        <v>42</v>
      </c>
      <c r="C76" s="139">
        <f aca="true" t="shared" si="7" ref="C76:L76">SUM(C58:C74)</f>
        <v>352785537.69</v>
      </c>
      <c r="D76" s="135">
        <f t="shared" si="7"/>
        <v>290155219.15</v>
      </c>
      <c r="E76" s="135">
        <f t="shared" si="7"/>
        <v>145800994.49</v>
      </c>
      <c r="F76" s="135">
        <f t="shared" si="7"/>
        <v>3945212.24</v>
      </c>
      <c r="G76" s="135">
        <f t="shared" si="7"/>
        <v>3425952.7</v>
      </c>
      <c r="H76" s="135">
        <f t="shared" si="7"/>
        <v>796112916.27</v>
      </c>
      <c r="I76" s="135">
        <f t="shared" si="7"/>
        <v>68041432</v>
      </c>
      <c r="J76" s="135">
        <f t="shared" si="7"/>
        <v>864154348.27</v>
      </c>
      <c r="K76" s="135">
        <f t="shared" si="7"/>
        <v>13499496</v>
      </c>
      <c r="L76" s="135">
        <f t="shared" si="7"/>
        <v>877653844.27</v>
      </c>
    </row>
    <row r="78" spans="2:10" ht="15.75">
      <c r="B78" s="195"/>
      <c r="C78" s="195"/>
      <c r="D78" s="132"/>
      <c r="E78" s="38"/>
      <c r="F78" s="46"/>
      <c r="J78" s="205"/>
    </row>
    <row r="79" spans="2:10" ht="15.75">
      <c r="B79" s="195"/>
      <c r="C79" s="195"/>
      <c r="D79" s="132"/>
      <c r="E79" s="38"/>
      <c r="F79" s="46"/>
      <c r="J79" s="205"/>
    </row>
    <row r="80" spans="2:10" ht="15.75">
      <c r="B80" s="195"/>
      <c r="C80" s="195"/>
      <c r="D80" s="132"/>
      <c r="E80" s="38"/>
      <c r="F80" s="46"/>
      <c r="J80" s="205"/>
    </row>
    <row r="81" spans="2:10" ht="15.75">
      <c r="B81" s="195"/>
      <c r="C81" s="174"/>
      <c r="D81" s="132"/>
      <c r="E81" s="38"/>
      <c r="F81" s="46"/>
      <c r="J81" s="205"/>
    </row>
    <row r="82" spans="2:10" ht="15.75">
      <c r="B82" s="195"/>
      <c r="C82" s="174"/>
      <c r="D82" s="132"/>
      <c r="E82" s="38"/>
      <c r="F82" s="46"/>
      <c r="J82" s="205"/>
    </row>
    <row r="83" spans="2:10" ht="15.75">
      <c r="B83" s="195"/>
      <c r="C83" s="206"/>
      <c r="D83" s="132"/>
      <c r="E83" s="38"/>
      <c r="F83" s="46"/>
      <c r="J83" s="205"/>
    </row>
    <row r="84" spans="2:10" ht="15.75">
      <c r="B84" s="195"/>
      <c r="C84" s="207"/>
      <c r="D84" s="132"/>
      <c r="E84" s="38"/>
      <c r="F84" s="46"/>
      <c r="J84" s="205"/>
    </row>
    <row r="85" spans="2:10" ht="15.75">
      <c r="B85" s="195"/>
      <c r="C85" s="208"/>
      <c r="D85" s="132"/>
      <c r="E85" s="38"/>
      <c r="F85" s="46"/>
      <c r="J85" s="205"/>
    </row>
    <row r="86" spans="2:10" ht="15.75">
      <c r="B86" s="195"/>
      <c r="C86" s="195"/>
      <c r="D86" s="132"/>
      <c r="E86" s="38"/>
      <c r="F86" s="46"/>
      <c r="J86" s="205"/>
    </row>
    <row r="87" spans="2:6" ht="15.75">
      <c r="B87" s="173"/>
      <c r="C87" s="174"/>
      <c r="D87" s="132"/>
      <c r="E87" s="38"/>
      <c r="F87" s="46"/>
    </row>
    <row r="88" spans="2:6" ht="15.75">
      <c r="B88" s="173"/>
      <c r="C88" s="174"/>
      <c r="D88" s="132"/>
      <c r="E88" s="38"/>
      <c r="F88" s="46"/>
    </row>
    <row r="89" ht="15">
      <c r="B89" s="44" t="str">
        <f>B45</f>
        <v>Prepared by: Tod Ziegler, Utiltities Financial Analyst, Vermont Public Service Department</v>
      </c>
    </row>
    <row r="90" ht="15">
      <c r="B90" s="44" t="str">
        <f>B43</f>
        <v>FILE:kWh Revenue &amp; Ranking 2016.xls</v>
      </c>
    </row>
    <row r="91" ht="15">
      <c r="B91" s="39" t="str">
        <f>B44</f>
        <v>Sources:   The 2016 Annual Reports sent to the PSD from the responding utilities</v>
      </c>
    </row>
    <row r="92" ht="15">
      <c r="B92" s="44"/>
    </row>
    <row r="101" ht="15">
      <c r="H101" s="201"/>
    </row>
  </sheetData>
  <sheetProtection/>
  <printOptions gridLines="1"/>
  <pageMargins left="0.5" right="0.5" top="0.5" bottom="0.5" header="0" footer="0"/>
  <pageSetup fitToHeight="1" fitToWidth="1" horizontalDpi="600" verticalDpi="600" orientation="landscape" paperSize="5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C128"/>
  <sheetViews>
    <sheetView defaultGridColor="0" zoomScaleSheetLayoutView="100" zoomScalePageLayoutView="0" colorId="22" workbookViewId="0" topLeftCell="A1">
      <selection activeCell="A2" sqref="A2"/>
    </sheetView>
  </sheetViews>
  <sheetFormatPr defaultColWidth="8.75390625" defaultRowHeight="12.75"/>
  <cols>
    <col min="1" max="1" width="24.25390625" style="0" customWidth="1"/>
    <col min="2" max="2" width="18.625" style="0" customWidth="1"/>
    <col min="3" max="3" width="20.75390625" style="0" customWidth="1"/>
    <col min="4" max="4" width="14.75390625" style="0" customWidth="1"/>
    <col min="5" max="5" width="17.625" style="0" customWidth="1"/>
    <col min="6" max="6" width="15.625" style="0" customWidth="1"/>
    <col min="7" max="7" width="17.125" style="0" customWidth="1"/>
    <col min="8" max="8" width="16.625" style="0" customWidth="1"/>
    <col min="9" max="9" width="18.875" style="0" customWidth="1"/>
    <col min="10" max="10" width="16.25390625" style="0" customWidth="1"/>
    <col min="11" max="11" width="11.75390625" style="0" customWidth="1"/>
    <col min="12" max="12" width="16.625" style="0" customWidth="1"/>
    <col min="13" max="249" width="11.75390625" style="0" customWidth="1"/>
  </cols>
  <sheetData>
    <row r="1" spans="1:7" ht="15.75">
      <c r="A1" s="92">
        <f ca="1">NOW()</f>
        <v>42979.44160694444</v>
      </c>
      <c r="G1" s="91" t="s">
        <v>77</v>
      </c>
    </row>
    <row r="2" spans="1:55" ht="19.5" customHeight="1">
      <c r="A2" s="40"/>
      <c r="B2" s="35"/>
      <c r="C2" s="36" t="str">
        <f>'KWH &amp; Rev 2016'!B6</f>
        <v>VERMONT PUBLIC SERVICE DEPARTMENT</v>
      </c>
      <c r="D2" s="33"/>
      <c r="E2" s="34"/>
      <c r="F2" s="32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10" t="s">
        <v>41</v>
      </c>
      <c r="B3" s="10"/>
      <c r="C3" s="10"/>
      <c r="D3" s="10"/>
      <c r="E3" s="11"/>
      <c r="F3" s="12"/>
      <c r="G3" s="10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10" t="s">
        <v>37</v>
      </c>
      <c r="B4" s="10"/>
      <c r="C4" s="10"/>
      <c r="D4" s="10"/>
      <c r="E4" s="11"/>
      <c r="F4" s="12"/>
      <c r="G4" s="10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" customHeight="1" thickBot="1">
      <c r="A5" s="75">
        <v>2016</v>
      </c>
      <c r="B5" s="76"/>
      <c r="C5" s="76"/>
      <c r="D5" s="76"/>
      <c r="E5" s="76"/>
      <c r="F5" s="76"/>
      <c r="G5" s="14"/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30" customHeight="1" thickBot="1">
      <c r="A6" s="77" t="s">
        <v>0</v>
      </c>
      <c r="B6" s="83" t="s">
        <v>1</v>
      </c>
      <c r="C6" s="77" t="s">
        <v>2</v>
      </c>
      <c r="D6" s="84" t="s">
        <v>3</v>
      </c>
      <c r="E6" s="78" t="s">
        <v>4</v>
      </c>
      <c r="F6" s="79" t="s">
        <v>5</v>
      </c>
      <c r="G6" s="77" t="s">
        <v>6</v>
      </c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5" customHeight="1">
      <c r="A7" s="140" t="s">
        <v>7</v>
      </c>
      <c r="B7" s="141">
        <f>'KWH &amp; Rev 2016'!C58</f>
        <v>1949679</v>
      </c>
      <c r="C7" s="142">
        <f>'KWH &amp; Rev 2016'!C16</f>
        <v>10311643</v>
      </c>
      <c r="D7" s="143">
        <f>'KWH &amp; Rev 2016'!D16</f>
        <v>1891</v>
      </c>
      <c r="E7" s="144">
        <f aca="true" t="shared" si="0" ref="E7:E24">C7/D7</f>
        <v>5453.010576414596</v>
      </c>
      <c r="F7" s="145">
        <f aca="true" t="shared" si="1" ref="F7:F24">(B7/C7)*100</f>
        <v>18.907549456473618</v>
      </c>
      <c r="G7" s="146">
        <f aca="true" t="shared" si="2" ref="G7:G23">RANK(F7,$F$7:$F$23,1)</f>
        <v>15</v>
      </c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5" customHeight="1">
      <c r="A8" s="147" t="s">
        <v>8</v>
      </c>
      <c r="B8" s="148">
        <f>'KWH &amp; Rev 2016'!C59</f>
        <v>12952769</v>
      </c>
      <c r="C8" s="142">
        <f>'KWH &amp; Rev 2016'!C17</f>
        <v>81530444</v>
      </c>
      <c r="D8" s="142">
        <f>'KWH &amp; Rev 2016'!D17</f>
        <v>16801</v>
      </c>
      <c r="E8" s="149">
        <f t="shared" si="0"/>
        <v>4852.713767037676</v>
      </c>
      <c r="F8" s="150">
        <f t="shared" si="1"/>
        <v>15.887033560126326</v>
      </c>
      <c r="G8" s="151">
        <f t="shared" si="2"/>
        <v>7</v>
      </c>
      <c r="H8" s="3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5" customHeight="1">
      <c r="A9" s="147" t="s">
        <v>9</v>
      </c>
      <c r="B9" s="148">
        <f>'KWH &amp; Rev 2016'!C60</f>
        <v>2163819</v>
      </c>
      <c r="C9" s="142">
        <f>'KWH &amp; Rev 2016'!C18</f>
        <v>13467185</v>
      </c>
      <c r="D9" s="142">
        <f>'KWH &amp; Rev 2016'!D18</f>
        <v>1523</v>
      </c>
      <c r="E9" s="149">
        <f t="shared" si="0"/>
        <v>8842.537754432042</v>
      </c>
      <c r="F9" s="150">
        <f t="shared" si="1"/>
        <v>16.0673444376089</v>
      </c>
      <c r="G9" s="151">
        <f t="shared" si="2"/>
        <v>8</v>
      </c>
      <c r="H9" s="3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5" customHeight="1">
      <c r="A10" s="147" t="s">
        <v>10</v>
      </c>
      <c r="B10" s="148">
        <f>'KWH &amp; Rev 2016'!C61</f>
        <v>255175993</v>
      </c>
      <c r="C10" s="142">
        <f>'KWH &amp; Rev 2016'!C19</f>
        <v>1493928000</v>
      </c>
      <c r="D10" s="142">
        <f>'KWH &amp; Rev 2016'!D19</f>
        <v>220612</v>
      </c>
      <c r="E10" s="149">
        <f t="shared" si="0"/>
        <v>6771.744057440212</v>
      </c>
      <c r="F10" s="150">
        <f t="shared" si="1"/>
        <v>17.080876253741813</v>
      </c>
      <c r="G10" s="151">
        <f t="shared" si="2"/>
        <v>10</v>
      </c>
      <c r="H10" s="3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5" customHeight="1">
      <c r="A11" s="147" t="s">
        <v>11</v>
      </c>
      <c r="B11" s="148">
        <f>'KWH &amp; Rev 2016'!C62</f>
        <v>4154482</v>
      </c>
      <c r="C11" s="142">
        <f>'KWH &amp; Rev 2016'!C20</f>
        <v>23259517</v>
      </c>
      <c r="D11" s="142">
        <f>'KWH &amp; Rev 2016'!D20</f>
        <v>4019</v>
      </c>
      <c r="E11" s="149">
        <f t="shared" si="0"/>
        <v>5787.389151530231</v>
      </c>
      <c r="F11" s="150">
        <f t="shared" si="1"/>
        <v>17.861428506877424</v>
      </c>
      <c r="G11" s="151">
        <f t="shared" si="2"/>
        <v>14</v>
      </c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5" customHeight="1">
      <c r="A12" s="147" t="s">
        <v>12</v>
      </c>
      <c r="B12" s="148">
        <f>'KWH &amp; Rev 2016'!C63</f>
        <v>1424822</v>
      </c>
      <c r="C12" s="142">
        <f>'KWH &amp; Rev 2016'!C21</f>
        <v>7996218</v>
      </c>
      <c r="D12" s="142">
        <f>'KWH &amp; Rev 2016'!D21</f>
        <v>1172</v>
      </c>
      <c r="E12" s="149">
        <f t="shared" si="0"/>
        <v>6822.711604095563</v>
      </c>
      <c r="F12" s="150">
        <f t="shared" si="1"/>
        <v>17.818698789852903</v>
      </c>
      <c r="G12" s="151">
        <f t="shared" si="2"/>
        <v>13</v>
      </c>
      <c r="H12" s="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5" customHeight="1">
      <c r="A13" s="147" t="s">
        <v>13</v>
      </c>
      <c r="B13" s="148">
        <f>'KWH &amp; Rev 2016'!C64</f>
        <v>602816.68</v>
      </c>
      <c r="C13" s="142">
        <f>'KWH &amp; Rev 2016'!C22</f>
        <v>3583683</v>
      </c>
      <c r="D13" s="142">
        <f>'KWH &amp; Rev 2016'!D22</f>
        <v>645</v>
      </c>
      <c r="E13" s="149">
        <f t="shared" si="0"/>
        <v>5556.097674418605</v>
      </c>
      <c r="F13" s="150">
        <f t="shared" si="1"/>
        <v>16.821149638514346</v>
      </c>
      <c r="G13" s="151">
        <f t="shared" si="2"/>
        <v>9</v>
      </c>
      <c r="H13" s="3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" customHeight="1">
      <c r="A14" s="147" t="s">
        <v>14</v>
      </c>
      <c r="B14" s="148">
        <f>'KWH &amp; Rev 2016'!C65</f>
        <v>876844.01</v>
      </c>
      <c r="C14" s="142">
        <f>'KWH &amp; Rev 2016'!C23</f>
        <v>5030503</v>
      </c>
      <c r="D14" s="142">
        <f>'KWH &amp; Rev 2016'!D23</f>
        <v>776</v>
      </c>
      <c r="E14" s="149">
        <f t="shared" si="0"/>
        <v>6482.606958762886</v>
      </c>
      <c r="F14" s="150">
        <f t="shared" si="1"/>
        <v>17.430543426770644</v>
      </c>
      <c r="G14" s="151">
        <f t="shared" si="2"/>
        <v>12</v>
      </c>
      <c r="H14" s="3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" customHeight="1">
      <c r="A15" s="176" t="s">
        <v>15</v>
      </c>
      <c r="B15" s="177">
        <f>'KWH &amp; Rev 2016'!C66</f>
        <v>2107995</v>
      </c>
      <c r="C15" s="178">
        <f>'KWH &amp; Rev 2016'!C24</f>
        <v>15600471</v>
      </c>
      <c r="D15" s="178">
        <f>'KWH &amp; Rev 2016'!D24</f>
        <v>3001</v>
      </c>
      <c r="E15" s="179">
        <f t="shared" si="0"/>
        <v>5198.424191936021</v>
      </c>
      <c r="F15" s="180">
        <f t="shared" si="1"/>
        <v>13.512380491589004</v>
      </c>
      <c r="G15" s="175">
        <f t="shared" si="2"/>
        <v>3</v>
      </c>
      <c r="H15" s="3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" customHeight="1">
      <c r="A16" s="176" t="s">
        <v>16</v>
      </c>
      <c r="B16" s="177">
        <f>'KWH &amp; Rev 2016'!C67</f>
        <v>4781329</v>
      </c>
      <c r="C16" s="178">
        <f>'KWH &amp; Rev 2016'!C25</f>
        <v>30766355</v>
      </c>
      <c r="D16" s="178">
        <f>'KWH &amp; Rev 2016'!D25</f>
        <v>4813</v>
      </c>
      <c r="E16" s="179">
        <f t="shared" si="0"/>
        <v>6392.3446914606275</v>
      </c>
      <c r="F16" s="180">
        <f t="shared" si="1"/>
        <v>15.540771729377756</v>
      </c>
      <c r="G16" s="175">
        <f t="shared" si="2"/>
        <v>5</v>
      </c>
      <c r="H16" s="3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" customHeight="1">
      <c r="A17" s="147" t="s">
        <v>17</v>
      </c>
      <c r="B17" s="148">
        <f>'KWH &amp; Rev 2016'!C68</f>
        <v>3264996</v>
      </c>
      <c r="C17" s="142">
        <f>'KWH &amp; Rev 2016'!C26</f>
        <v>20760686</v>
      </c>
      <c r="D17" s="142">
        <f>'KWH &amp; Rev 2016'!D26</f>
        <v>3441</v>
      </c>
      <c r="E17" s="149">
        <f t="shared" si="0"/>
        <v>6033.32926474862</v>
      </c>
      <c r="F17" s="150">
        <f t="shared" si="1"/>
        <v>15.726821358407905</v>
      </c>
      <c r="G17" s="151">
        <f t="shared" si="2"/>
        <v>6</v>
      </c>
      <c r="H17" s="30"/>
      <c r="I17" s="1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" customHeight="1">
      <c r="A18" s="176" t="s">
        <v>18</v>
      </c>
      <c r="B18" s="177">
        <f>'KWH &amp; Rev 2016'!C69</f>
        <v>1388814</v>
      </c>
      <c r="C18" s="178">
        <f>'KWH &amp; Rev 2016'!C27</f>
        <v>10065357</v>
      </c>
      <c r="D18" s="178">
        <f>'KWH &amp; Rev 2016'!D27</f>
        <v>1609</v>
      </c>
      <c r="E18" s="179">
        <f t="shared" si="0"/>
        <v>6255.660037290242</v>
      </c>
      <c r="F18" s="180">
        <f t="shared" si="1"/>
        <v>13.797960668459153</v>
      </c>
      <c r="G18" s="175">
        <f t="shared" si="2"/>
        <v>4</v>
      </c>
      <c r="H18" s="30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5" customHeight="1">
      <c r="A19" s="176" t="s">
        <v>19</v>
      </c>
      <c r="B19" s="177">
        <f>'KWH &amp; Rev 2016'!C70</f>
        <v>507710</v>
      </c>
      <c r="C19" s="178">
        <f>'KWH &amp; Rev 2016'!C28</f>
        <v>3910258</v>
      </c>
      <c r="D19" s="178">
        <f>'KWH &amp; Rev 2016'!D28</f>
        <v>582</v>
      </c>
      <c r="E19" s="179">
        <f t="shared" si="0"/>
        <v>6718.656357388316</v>
      </c>
      <c r="F19" s="180">
        <f t="shared" si="1"/>
        <v>12.98405373763061</v>
      </c>
      <c r="G19" s="175">
        <f t="shared" si="2"/>
        <v>2</v>
      </c>
      <c r="H19" s="30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" customHeight="1">
      <c r="A20" s="147" t="s">
        <v>20</v>
      </c>
      <c r="B20" s="148">
        <f>'KWH &amp; Rev 2016'!C71</f>
        <v>4040449</v>
      </c>
      <c r="C20" s="142">
        <f>'KWH &amp; Rev 2016'!C29</f>
        <v>23313113</v>
      </c>
      <c r="D20" s="142">
        <f>'KWH &amp; Rev 2016'!D29</f>
        <v>3386</v>
      </c>
      <c r="E20" s="149">
        <f t="shared" si="0"/>
        <v>6885.148552864737</v>
      </c>
      <c r="F20" s="150">
        <f t="shared" si="1"/>
        <v>17.331228995458478</v>
      </c>
      <c r="G20" s="151">
        <f t="shared" si="2"/>
        <v>11</v>
      </c>
      <c r="H20" s="30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" customHeight="1">
      <c r="A21" s="176" t="s">
        <v>21</v>
      </c>
      <c r="B21" s="177">
        <f>'KWH &amp; Rev 2016'!C72</f>
        <v>3347474</v>
      </c>
      <c r="C21" s="178">
        <f>'KWH &amp; Rev 2016'!C30</f>
        <v>25994318</v>
      </c>
      <c r="D21" s="178">
        <f>'KWH &amp; Rev 2016'!D30</f>
        <v>3236</v>
      </c>
      <c r="E21" s="179">
        <f t="shared" si="0"/>
        <v>8032.854758961681</v>
      </c>
      <c r="F21" s="180">
        <f t="shared" si="1"/>
        <v>12.877714275865978</v>
      </c>
      <c r="G21" s="175">
        <f t="shared" si="2"/>
        <v>1</v>
      </c>
      <c r="H21" s="30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" customHeight="1">
      <c r="A22" s="147" t="s">
        <v>22</v>
      </c>
      <c r="B22" s="148">
        <f>'KWH &amp; Rev 2016'!C73</f>
        <v>41771642</v>
      </c>
      <c r="C22" s="142">
        <f>'KWH &amp; Rev 2016'!C31</f>
        <v>216725731</v>
      </c>
      <c r="D22" s="142">
        <f>'KWH &amp; Rev 2016'!D31</f>
        <v>34318</v>
      </c>
      <c r="E22" s="149">
        <f t="shared" si="0"/>
        <v>6315.220321697068</v>
      </c>
      <c r="F22" s="150">
        <f t="shared" si="1"/>
        <v>19.27396521274163</v>
      </c>
      <c r="G22" s="151">
        <f t="shared" si="2"/>
        <v>16</v>
      </c>
      <c r="H22" s="30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5" customHeight="1" thickBot="1">
      <c r="A23" s="152" t="s">
        <v>23</v>
      </c>
      <c r="B23" s="153">
        <f>'KWH &amp; Rev 2016'!C74</f>
        <v>12273904</v>
      </c>
      <c r="C23" s="154">
        <f>'KWH &amp; Rev 2016'!C32</f>
        <v>60930663</v>
      </c>
      <c r="D23" s="154">
        <f>'KWH &amp; Rev 2016'!D32</f>
        <v>10346</v>
      </c>
      <c r="E23" s="155">
        <f t="shared" si="0"/>
        <v>5889.29663638121</v>
      </c>
      <c r="F23" s="156">
        <f t="shared" si="1"/>
        <v>20.144051280059106</v>
      </c>
      <c r="G23" s="157">
        <f t="shared" si="2"/>
        <v>17</v>
      </c>
      <c r="H23" s="30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" customHeight="1" thickBot="1">
      <c r="A24" s="158" t="s">
        <v>24</v>
      </c>
      <c r="B24" s="159">
        <f>SUM(B7:B23)</f>
        <v>352785537.69</v>
      </c>
      <c r="C24" s="160">
        <f>SUM(C7:C23)</f>
        <v>2047174145</v>
      </c>
      <c r="D24" s="160">
        <f>SUM(D7:D23)</f>
        <v>312171</v>
      </c>
      <c r="E24" s="155">
        <f t="shared" si="0"/>
        <v>6557.86138046135</v>
      </c>
      <c r="F24" s="156">
        <f t="shared" si="1"/>
        <v>17.23280545290396</v>
      </c>
      <c r="G24" s="161"/>
      <c r="H24" s="3"/>
      <c r="I24" s="5"/>
      <c r="J24" s="6">
        <f>I24/276447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" customHeight="1">
      <c r="A25" s="118" t="str">
        <f>'KWH &amp; Rev 2016'!B91</f>
        <v>Sources:   The 2016 Annual Reports sent to the PSD from the responding utilities</v>
      </c>
      <c r="B25" s="119"/>
      <c r="C25" s="119"/>
      <c r="D25" s="119"/>
      <c r="E25" s="17"/>
      <c r="F25" s="17"/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9.5" customHeight="1" thickBot="1">
      <c r="A26" s="182" t="s">
        <v>80</v>
      </c>
      <c r="B26" s="37"/>
      <c r="C26" s="37"/>
      <c r="D26" s="37"/>
      <c r="E26" s="37"/>
      <c r="F26" s="17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9.5" customHeight="1">
      <c r="A27" s="93" t="s">
        <v>41</v>
      </c>
      <c r="B27" s="94"/>
      <c r="C27" s="94"/>
      <c r="D27" s="94"/>
      <c r="E27" s="95"/>
      <c r="F27" s="96"/>
      <c r="G27" s="9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9.5" customHeight="1">
      <c r="A28" s="98" t="s">
        <v>39</v>
      </c>
      <c r="B28" s="85"/>
      <c r="C28" s="85"/>
      <c r="D28" s="85"/>
      <c r="E28" s="99"/>
      <c r="F28" s="100"/>
      <c r="G28" s="10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" customHeight="1" thickBot="1">
      <c r="A29" s="102">
        <f>A5</f>
        <v>2016</v>
      </c>
      <c r="B29" s="103"/>
      <c r="C29" s="103"/>
      <c r="D29" s="103"/>
      <c r="E29" s="103"/>
      <c r="F29" s="103"/>
      <c r="G29" s="10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30" customHeight="1" thickBot="1">
      <c r="A30" s="81" t="s">
        <v>0</v>
      </c>
      <c r="B30" s="81" t="s">
        <v>25</v>
      </c>
      <c r="C30" s="81" t="s">
        <v>2</v>
      </c>
      <c r="D30" s="81" t="s">
        <v>26</v>
      </c>
      <c r="E30" s="82" t="s">
        <v>27</v>
      </c>
      <c r="F30" s="89" t="s">
        <v>28</v>
      </c>
      <c r="G30" s="81" t="s">
        <v>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" customHeight="1">
      <c r="A31" s="140" t="s">
        <v>7</v>
      </c>
      <c r="B31" s="141">
        <f>'KWH &amp; Rev 2016'!D58</f>
        <v>591417</v>
      </c>
      <c r="C31" s="162">
        <f>'KWH &amp; Rev 2016'!E16</f>
        <v>2753528</v>
      </c>
      <c r="D31" s="142">
        <f>'KWH &amp; Rev 2016'!F16</f>
        <v>192</v>
      </c>
      <c r="E31" s="149">
        <f aca="true" t="shared" si="3" ref="E31:E48">C31/D31</f>
        <v>14341.291666666666</v>
      </c>
      <c r="F31" s="145">
        <f aca="true" t="shared" si="4" ref="F31:F48">(B31/C31)*100</f>
        <v>21.478517741602772</v>
      </c>
      <c r="G31" s="146">
        <f aca="true" t="shared" si="5" ref="G31:G47">RANK(F31,$F$31:$F$47,1)</f>
        <v>17</v>
      </c>
      <c r="H31" s="30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" customHeight="1">
      <c r="A32" s="176" t="s">
        <v>8</v>
      </c>
      <c r="B32" s="177">
        <f>'KWH &amp; Rev 2016'!D59</f>
        <v>29732011</v>
      </c>
      <c r="C32" s="181">
        <f>'KWH &amp; Rev 2016'!E17</f>
        <v>214470369</v>
      </c>
      <c r="D32" s="178">
        <f>'KWH &amp; Rev 2016'!F17</f>
        <v>3883</v>
      </c>
      <c r="E32" s="179">
        <f t="shared" si="3"/>
        <v>55233.162245686326</v>
      </c>
      <c r="F32" s="180">
        <f t="shared" si="4"/>
        <v>13.862992421111562</v>
      </c>
      <c r="G32" s="175">
        <f t="shared" si="5"/>
        <v>3</v>
      </c>
      <c r="H32" s="30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" customHeight="1">
      <c r="A33" s="147" t="s">
        <v>9</v>
      </c>
      <c r="B33" s="148">
        <f>'KWH &amp; Rev 2016'!D60</f>
        <v>295731</v>
      </c>
      <c r="C33" s="163">
        <f>'KWH &amp; Rev 2016'!E18</f>
        <v>1820079</v>
      </c>
      <c r="D33" s="142">
        <f>'KWH &amp; Rev 2016'!F18</f>
        <v>140</v>
      </c>
      <c r="E33" s="149">
        <f t="shared" si="3"/>
        <v>13000.564285714287</v>
      </c>
      <c r="F33" s="150">
        <f t="shared" si="4"/>
        <v>16.248250762741616</v>
      </c>
      <c r="G33" s="151">
        <f t="shared" si="5"/>
        <v>10</v>
      </c>
      <c r="H33" s="30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" customHeight="1">
      <c r="A34" s="176" t="s">
        <v>10</v>
      </c>
      <c r="B34" s="177">
        <f>'KWH &amp; Rev 2016'!D61</f>
        <v>220308946</v>
      </c>
      <c r="C34" s="181">
        <f>'KWH &amp; Rev 2016'!E19</f>
        <v>1537218000</v>
      </c>
      <c r="D34" s="178">
        <f>'KWH &amp; Rev 2016'!F19</f>
        <v>41475</v>
      </c>
      <c r="E34" s="179">
        <f t="shared" si="3"/>
        <v>37063.72513562387</v>
      </c>
      <c r="F34" s="180">
        <f t="shared" si="4"/>
        <v>14.331665775446293</v>
      </c>
      <c r="G34" s="175">
        <f t="shared" si="5"/>
        <v>5</v>
      </c>
      <c r="H34" s="30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" customHeight="1">
      <c r="A35" s="147" t="s">
        <v>11</v>
      </c>
      <c r="B35" s="148">
        <f>'KWH &amp; Rev 2016'!D62</f>
        <v>896806</v>
      </c>
      <c r="C35" s="163">
        <f>'KWH &amp; Rev 2016'!E20</f>
        <v>4887653</v>
      </c>
      <c r="D35" s="142">
        <f>'KWH &amp; Rev 2016'!F20</f>
        <v>401</v>
      </c>
      <c r="E35" s="149">
        <f t="shared" si="3"/>
        <v>12188.6608478803</v>
      </c>
      <c r="F35" s="150">
        <f t="shared" si="4"/>
        <v>18.348397482390833</v>
      </c>
      <c r="G35" s="151">
        <f t="shared" si="5"/>
        <v>13</v>
      </c>
      <c r="H35" s="30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" customHeight="1">
      <c r="A36" s="147" t="s">
        <v>12</v>
      </c>
      <c r="B36" s="148">
        <f>'KWH &amp; Rev 2016'!D63</f>
        <v>522374</v>
      </c>
      <c r="C36" s="163">
        <f>'KWH &amp; Rev 2016'!E21</f>
        <v>2747323</v>
      </c>
      <c r="D36" s="142">
        <f>'KWH &amp; Rev 2016'!F21</f>
        <v>133</v>
      </c>
      <c r="E36" s="149">
        <f t="shared" si="3"/>
        <v>20656.563909774435</v>
      </c>
      <c r="F36" s="150">
        <f t="shared" si="4"/>
        <v>19.013927375849146</v>
      </c>
      <c r="G36" s="151">
        <f t="shared" si="5"/>
        <v>14</v>
      </c>
      <c r="H36" s="30"/>
      <c r="I36" s="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" customHeight="1">
      <c r="A37" s="147" t="s">
        <v>13</v>
      </c>
      <c r="B37" s="148">
        <f>'KWH &amp; Rev 2016'!D64</f>
        <v>92880.09</v>
      </c>
      <c r="C37" s="163">
        <f>'KWH &amp; Rev 2016'!E22</f>
        <v>529449</v>
      </c>
      <c r="D37" s="142">
        <f>'KWH &amp; Rev 2016'!F22</f>
        <v>48</v>
      </c>
      <c r="E37" s="149">
        <f t="shared" si="3"/>
        <v>11030.1875</v>
      </c>
      <c r="F37" s="150">
        <f t="shared" si="4"/>
        <v>17.542783157584584</v>
      </c>
      <c r="G37" s="151">
        <f t="shared" si="5"/>
        <v>12</v>
      </c>
      <c r="H37" s="30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" customHeight="1">
      <c r="A38" s="147" t="s">
        <v>14</v>
      </c>
      <c r="B38" s="148">
        <f>'KWH &amp; Rev 2016'!D65</f>
        <v>203049.06</v>
      </c>
      <c r="C38" s="163">
        <f>'KWH &amp; Rev 2016'!E23</f>
        <v>1022582</v>
      </c>
      <c r="D38" s="142">
        <f>'KWH &amp; Rev 2016'!F23</f>
        <v>95</v>
      </c>
      <c r="E38" s="149">
        <f t="shared" si="3"/>
        <v>10764.021052631579</v>
      </c>
      <c r="F38" s="150">
        <f t="shared" si="4"/>
        <v>19.85650637308304</v>
      </c>
      <c r="G38" s="151">
        <f t="shared" si="5"/>
        <v>16</v>
      </c>
      <c r="H38" s="30"/>
      <c r="I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" customHeight="1">
      <c r="A39" s="147" t="s">
        <v>15</v>
      </c>
      <c r="B39" s="148">
        <f>'KWH &amp; Rev 2016'!D66</f>
        <v>2916483</v>
      </c>
      <c r="C39" s="163">
        <f>'KWH &amp; Rev 2016'!E24</f>
        <v>16940918</v>
      </c>
      <c r="D39" s="142">
        <f>'KWH &amp; Rev 2016'!F24</f>
        <v>661</v>
      </c>
      <c r="E39" s="149">
        <f t="shared" si="3"/>
        <v>25629.225416036308</v>
      </c>
      <c r="F39" s="150">
        <f t="shared" si="4"/>
        <v>17.215613699328454</v>
      </c>
      <c r="G39" s="151">
        <f t="shared" si="5"/>
        <v>11</v>
      </c>
      <c r="H39" s="30"/>
      <c r="I39" s="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" customHeight="1">
      <c r="A40" s="147" t="s">
        <v>16</v>
      </c>
      <c r="B40" s="148">
        <f>'KWH &amp; Rev 2016'!D67</f>
        <v>1696451</v>
      </c>
      <c r="C40" s="163">
        <f>'KWH &amp; Rev 2016'!E25</f>
        <v>10499978</v>
      </c>
      <c r="D40" s="142">
        <f>'KWH &amp; Rev 2016'!F25</f>
        <v>846</v>
      </c>
      <c r="E40" s="149">
        <f t="shared" si="3"/>
        <v>12411.321513002364</v>
      </c>
      <c r="F40" s="150">
        <f t="shared" si="4"/>
        <v>16.156710042630564</v>
      </c>
      <c r="G40" s="151">
        <f t="shared" si="5"/>
        <v>9</v>
      </c>
      <c r="H40" s="30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" customHeight="1">
      <c r="A41" s="147" t="s">
        <v>17</v>
      </c>
      <c r="B41" s="148">
        <f>'KWH &amp; Rev 2016'!D68</f>
        <v>3668590</v>
      </c>
      <c r="C41" s="163">
        <f>'KWH &amp; Rev 2016'!E26</f>
        <v>23455361</v>
      </c>
      <c r="D41" s="142">
        <f>'KWH &amp; Rev 2016'!F26</f>
        <v>604</v>
      </c>
      <c r="E41" s="149">
        <f t="shared" si="3"/>
        <v>38833.37913907285</v>
      </c>
      <c r="F41" s="150">
        <f t="shared" si="4"/>
        <v>15.64073134495777</v>
      </c>
      <c r="G41" s="151">
        <f t="shared" si="5"/>
        <v>7</v>
      </c>
      <c r="H41" s="30"/>
      <c r="I41" s="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" customHeight="1">
      <c r="A42" s="147" t="s">
        <v>18</v>
      </c>
      <c r="B42" s="148">
        <f>'KWH &amp; Rev 2016'!D69</f>
        <v>338050</v>
      </c>
      <c r="C42" s="163">
        <f>'KWH &amp; Rev 2016'!E27</f>
        <v>2278633</v>
      </c>
      <c r="D42" s="142">
        <f>'KWH &amp; Rev 2016'!F27</f>
        <v>178</v>
      </c>
      <c r="E42" s="149">
        <f t="shared" si="3"/>
        <v>12801.308988764045</v>
      </c>
      <c r="F42" s="150">
        <f t="shared" si="4"/>
        <v>14.835649268662396</v>
      </c>
      <c r="G42" s="151">
        <f t="shared" si="5"/>
        <v>6</v>
      </c>
      <c r="H42" s="30"/>
      <c r="I42" s="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" customHeight="1">
      <c r="A43" s="176" t="s">
        <v>19</v>
      </c>
      <c r="B43" s="177">
        <f>'KWH &amp; Rev 2016'!D70</f>
        <v>228265</v>
      </c>
      <c r="C43" s="181">
        <f>'KWH &amp; Rev 2016'!E28</f>
        <v>1619972</v>
      </c>
      <c r="D43" s="178">
        <f>'KWH &amp; Rev 2016'!F28</f>
        <v>65</v>
      </c>
      <c r="E43" s="179">
        <f t="shared" si="3"/>
        <v>24922.646153846155</v>
      </c>
      <c r="F43" s="180">
        <f t="shared" si="4"/>
        <v>14.090675641307381</v>
      </c>
      <c r="G43" s="175">
        <f t="shared" si="5"/>
        <v>4</v>
      </c>
      <c r="H43" s="30"/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" customHeight="1">
      <c r="A44" s="176" t="s">
        <v>20</v>
      </c>
      <c r="B44" s="177">
        <f>'KWH &amp; Rev 2016'!D71</f>
        <v>6202938</v>
      </c>
      <c r="C44" s="181">
        <f>'KWH &amp; Rev 2016'!E29</f>
        <v>44877058</v>
      </c>
      <c r="D44" s="178">
        <f>'KWH &amp; Rev 2016'!F29</f>
        <v>777</v>
      </c>
      <c r="E44" s="179">
        <f t="shared" si="3"/>
        <v>57756.831402831405</v>
      </c>
      <c r="F44" s="180">
        <f t="shared" si="4"/>
        <v>13.822069173964122</v>
      </c>
      <c r="G44" s="175">
        <f t="shared" si="5"/>
        <v>2</v>
      </c>
      <c r="H44" s="30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>
      <c r="A45" s="176" t="s">
        <v>21</v>
      </c>
      <c r="B45" s="177">
        <f>'KWH &amp; Rev 2016'!D72</f>
        <v>3633601</v>
      </c>
      <c r="C45" s="181">
        <f>'KWH &amp; Rev 2016'!E30</f>
        <v>27321290</v>
      </c>
      <c r="D45" s="178">
        <f>'KWH &amp; Rev 2016'!F30</f>
        <v>423</v>
      </c>
      <c r="E45" s="179">
        <f t="shared" si="3"/>
        <v>64589.33806146572</v>
      </c>
      <c r="F45" s="180">
        <f t="shared" si="4"/>
        <v>13.29952209430814</v>
      </c>
      <c r="G45" s="175">
        <f t="shared" si="5"/>
        <v>1</v>
      </c>
      <c r="H45" s="30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>
      <c r="A46" s="147" t="s">
        <v>22</v>
      </c>
      <c r="B46" s="148">
        <f>'KWH &amp; Rev 2016'!D73</f>
        <v>17822509</v>
      </c>
      <c r="C46" s="163">
        <f>'KWH &amp; Rev 2016'!E31</f>
        <v>113021724</v>
      </c>
      <c r="D46" s="142">
        <f>'KWH &amp; Rev 2016'!F31</f>
        <v>3969</v>
      </c>
      <c r="E46" s="149">
        <f t="shared" si="3"/>
        <v>28476.120937263793</v>
      </c>
      <c r="F46" s="150">
        <f t="shared" si="4"/>
        <v>15.769100283764917</v>
      </c>
      <c r="G46" s="151">
        <f t="shared" si="5"/>
        <v>8</v>
      </c>
      <c r="H46" s="30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thickBot="1">
      <c r="A47" s="152" t="s">
        <v>23</v>
      </c>
      <c r="B47" s="153">
        <f>'KWH &amp; Rev 2016'!D74</f>
        <v>1005118</v>
      </c>
      <c r="C47" s="164">
        <f>'KWH &amp; Rev 2016'!E32</f>
        <v>5212844</v>
      </c>
      <c r="D47" s="154">
        <f>'KWH &amp; Rev 2016'!F32</f>
        <v>619</v>
      </c>
      <c r="E47" s="155">
        <f t="shared" si="3"/>
        <v>8421.395799676899</v>
      </c>
      <c r="F47" s="156">
        <f t="shared" si="4"/>
        <v>19.281566837603428</v>
      </c>
      <c r="G47" s="157">
        <f t="shared" si="5"/>
        <v>15</v>
      </c>
      <c r="H47" s="3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thickBot="1">
      <c r="A48" s="158" t="s">
        <v>24</v>
      </c>
      <c r="B48" s="159">
        <f>SUM(B31:B47)</f>
        <v>290155219.15</v>
      </c>
      <c r="C48" s="165">
        <f>SUM(C31:C47)</f>
        <v>2010676761</v>
      </c>
      <c r="D48" s="160">
        <f>SUM(D31:D47)</f>
        <v>54509</v>
      </c>
      <c r="E48" s="155">
        <f t="shared" si="3"/>
        <v>36887.060136858134</v>
      </c>
      <c r="F48" s="156">
        <f t="shared" si="4"/>
        <v>14.430724260506834</v>
      </c>
      <c r="G48" s="15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>
      <c r="A49" s="186" t="s">
        <v>80</v>
      </c>
      <c r="B49" s="187"/>
      <c r="C49" s="187" t="s">
        <v>29</v>
      </c>
      <c r="D49" s="187"/>
      <c r="E49" s="188"/>
      <c r="F49" s="189"/>
      <c r="G49" s="18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9.5" customHeight="1">
      <c r="A50" s="183">
        <f ca="1">NOW()</f>
        <v>42979.44160694444</v>
      </c>
      <c r="C50" s="37"/>
      <c r="D50" s="37"/>
      <c r="E50" s="37"/>
      <c r="F50" s="184"/>
      <c r="G50" s="185" t="s">
        <v>76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9.5" customHeight="1">
      <c r="A51" s="98" t="s">
        <v>38</v>
      </c>
      <c r="B51" s="80"/>
      <c r="C51" s="80"/>
      <c r="D51" s="80"/>
      <c r="E51" s="80"/>
      <c r="F51" s="80"/>
      <c r="G51" s="106"/>
      <c r="H51" s="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9.5" customHeight="1">
      <c r="A52" s="98" t="s">
        <v>40</v>
      </c>
      <c r="B52" s="80"/>
      <c r="C52" s="80"/>
      <c r="D52" s="80"/>
      <c r="E52" s="80"/>
      <c r="F52" s="80"/>
      <c r="G52" s="106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6.5" thickBot="1">
      <c r="A53" s="102">
        <f>A5</f>
        <v>2016</v>
      </c>
      <c r="B53" s="103"/>
      <c r="C53" s="103"/>
      <c r="D53" s="103"/>
      <c r="E53" s="103"/>
      <c r="F53" s="103"/>
      <c r="G53" s="105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30" customHeight="1">
      <c r="A54" s="86" t="s">
        <v>0</v>
      </c>
      <c r="B54" s="86" t="s">
        <v>30</v>
      </c>
      <c r="C54" s="86" t="s">
        <v>2</v>
      </c>
      <c r="D54" s="86" t="s">
        <v>31</v>
      </c>
      <c r="E54" s="87" t="s">
        <v>32</v>
      </c>
      <c r="F54" s="88" t="s">
        <v>33</v>
      </c>
      <c r="G54" s="86" t="s">
        <v>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5" customHeight="1">
      <c r="A55" s="147" t="s">
        <v>7</v>
      </c>
      <c r="B55" s="148">
        <f>'KWH &amp; Rev 2016'!E58</f>
        <v>0</v>
      </c>
      <c r="C55" s="142">
        <f>'KWH &amp; Rev 2016'!G16</f>
        <v>0</v>
      </c>
      <c r="D55" s="142">
        <f>'KWH &amp; Rev 2016'!H16</f>
        <v>0</v>
      </c>
      <c r="E55" s="166" t="s">
        <v>36</v>
      </c>
      <c r="F55" s="166"/>
      <c r="G55" s="151" t="str">
        <f aca="true" t="shared" si="6" ref="G55:G71">IF(D55&gt;0,RANK(F55,$F$55:$F$71,-1),"No Ind. Sales")</f>
        <v>No Ind. Sales</v>
      </c>
      <c r="H55" s="3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5" customHeight="1">
      <c r="A56" s="176" t="s">
        <v>8</v>
      </c>
      <c r="B56" s="177">
        <f>'KWH &amp; Rev 2016'!E59</f>
        <v>4677715</v>
      </c>
      <c r="C56" s="178">
        <f>'KWH &amp; Rev 2016'!G17</f>
        <v>41868142</v>
      </c>
      <c r="D56" s="178">
        <f>'KWH &amp; Rev 2016'!H17</f>
        <v>2</v>
      </c>
      <c r="E56" s="179">
        <f aca="true" t="shared" si="7" ref="E56:E67">C56/D56</f>
        <v>20934071</v>
      </c>
      <c r="F56" s="180">
        <f aca="true" t="shared" si="8" ref="F56:F67">(B56/C56)*100</f>
        <v>11.172492440672432</v>
      </c>
      <c r="G56" s="175">
        <f t="shared" si="6"/>
        <v>3</v>
      </c>
      <c r="H56" s="2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5" customHeight="1">
      <c r="A57" s="176" t="s">
        <v>9</v>
      </c>
      <c r="B57" s="177">
        <f>'KWH &amp; Rev 2016'!E60</f>
        <v>1384589</v>
      </c>
      <c r="C57" s="178">
        <f>'KWH &amp; Rev 2016'!G18</f>
        <v>10269601</v>
      </c>
      <c r="D57" s="178">
        <f>'KWH &amp; Rev 2016'!H18</f>
        <v>22</v>
      </c>
      <c r="E57" s="179">
        <f t="shared" si="7"/>
        <v>466800.04545454547</v>
      </c>
      <c r="F57" s="180">
        <f t="shared" si="8"/>
        <v>13.482403065123952</v>
      </c>
      <c r="G57" s="175">
        <f t="shared" si="6"/>
        <v>5</v>
      </c>
      <c r="H57" s="3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5" customHeight="1">
      <c r="A58" s="176" t="s">
        <v>10</v>
      </c>
      <c r="B58" s="177">
        <f>'KWH &amp; Rev 2016'!E61</f>
        <v>116872857</v>
      </c>
      <c r="C58" s="178">
        <f>'KWH &amp; Rev 2016'!G19</f>
        <v>1186845000</v>
      </c>
      <c r="D58" s="178">
        <f>'KWH &amp; Rev 2016'!H19</f>
        <v>69</v>
      </c>
      <c r="E58" s="179">
        <f t="shared" si="7"/>
        <v>17200652.173913043</v>
      </c>
      <c r="F58" s="180">
        <f t="shared" si="8"/>
        <v>9.847356394474426</v>
      </c>
      <c r="G58" s="175">
        <f t="shared" si="6"/>
        <v>1</v>
      </c>
      <c r="H58" s="3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5" customHeight="1">
      <c r="A59" s="147" t="s">
        <v>11</v>
      </c>
      <c r="B59" s="148">
        <f>'KWH &amp; Rev 2016'!E62</f>
        <v>766270</v>
      </c>
      <c r="C59" s="142">
        <f>'KWH &amp; Rev 2016'!G20</f>
        <v>4666302</v>
      </c>
      <c r="D59" s="142">
        <f>'KWH &amp; Rev 2016'!H20</f>
        <v>30</v>
      </c>
      <c r="E59" s="149">
        <f t="shared" si="7"/>
        <v>155543.4</v>
      </c>
      <c r="F59" s="150">
        <f t="shared" si="8"/>
        <v>16.421354640141164</v>
      </c>
      <c r="G59" s="151">
        <f t="shared" si="6"/>
        <v>10</v>
      </c>
      <c r="H59" s="3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5" customHeight="1">
      <c r="A60" s="147" t="s">
        <v>12</v>
      </c>
      <c r="B60" s="148">
        <f>'KWH &amp; Rev 2016'!E63</f>
        <v>0</v>
      </c>
      <c r="C60" s="142">
        <f>'KWH &amp; Rev 2016'!G21</f>
        <v>0</v>
      </c>
      <c r="D60" s="142">
        <f>'KWH &amp; Rev 2016'!H21</f>
        <v>0</v>
      </c>
      <c r="E60" s="166" t="s">
        <v>36</v>
      </c>
      <c r="F60" s="166"/>
      <c r="G60" s="151" t="str">
        <f t="shared" si="6"/>
        <v>No Ind. Sales</v>
      </c>
      <c r="H60" s="3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5" customHeight="1">
      <c r="A61" s="147" t="s">
        <v>13</v>
      </c>
      <c r="B61" s="148">
        <f>'KWH &amp; Rev 2016'!E64</f>
        <v>155568.62</v>
      </c>
      <c r="C61" s="142">
        <f>'KWH &amp; Rev 2016'!G22</f>
        <v>858073</v>
      </c>
      <c r="D61" s="142">
        <f>'KWH &amp; Rev 2016'!H22</f>
        <v>4</v>
      </c>
      <c r="E61" s="149">
        <f t="shared" si="7"/>
        <v>214518.25</v>
      </c>
      <c r="F61" s="150">
        <f t="shared" si="8"/>
        <v>18.129998263551002</v>
      </c>
      <c r="G61" s="151">
        <f t="shared" si="6"/>
        <v>13</v>
      </c>
      <c r="H61" s="3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5" customHeight="1">
      <c r="A62" s="147" t="s">
        <v>14</v>
      </c>
      <c r="B62" s="148">
        <f>'KWH &amp; Rev 2016'!E65</f>
        <v>1022281.87</v>
      </c>
      <c r="C62" s="142">
        <f>'KWH &amp; Rev 2016'!G23</f>
        <v>5969736</v>
      </c>
      <c r="D62" s="142">
        <f>'KWH &amp; Rev 2016'!H23</f>
        <v>13</v>
      </c>
      <c r="E62" s="149">
        <f t="shared" si="7"/>
        <v>459210.46153846156</v>
      </c>
      <c r="F62" s="150">
        <f t="shared" si="8"/>
        <v>17.124406673929972</v>
      </c>
      <c r="G62" s="151">
        <f t="shared" si="6"/>
        <v>12</v>
      </c>
      <c r="H62" s="3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5" customHeight="1">
      <c r="A63" s="147" t="s">
        <v>15</v>
      </c>
      <c r="B63" s="148">
        <f>'KWH &amp; Rev 2016'!E66</f>
        <v>2215155</v>
      </c>
      <c r="C63" s="142">
        <f>'KWH &amp; Rev 2016'!G24</f>
        <v>13258860</v>
      </c>
      <c r="D63" s="142">
        <f>'KWH &amp; Rev 2016'!H24</f>
        <v>4</v>
      </c>
      <c r="E63" s="149">
        <f t="shared" si="7"/>
        <v>3314715</v>
      </c>
      <c r="F63" s="150">
        <f t="shared" si="8"/>
        <v>16.706979333064833</v>
      </c>
      <c r="G63" s="151">
        <f t="shared" si="6"/>
        <v>11</v>
      </c>
      <c r="H63" s="3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5" customHeight="1">
      <c r="A64" s="147" t="s">
        <v>16</v>
      </c>
      <c r="B64" s="148">
        <f>'KWH &amp; Rev 2016'!E67</f>
        <v>2806071</v>
      </c>
      <c r="C64" s="142">
        <f>'KWH &amp; Rev 2016'!G25</f>
        <v>19092669</v>
      </c>
      <c r="D64" s="142">
        <f>'KWH &amp; Rev 2016'!H25</f>
        <v>42</v>
      </c>
      <c r="E64" s="149">
        <f t="shared" si="7"/>
        <v>454587.35714285716</v>
      </c>
      <c r="F64" s="150">
        <f t="shared" si="8"/>
        <v>14.69711227906376</v>
      </c>
      <c r="G64" s="151">
        <f t="shared" si="6"/>
        <v>7</v>
      </c>
      <c r="H64" s="3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5" customHeight="1">
      <c r="A65" s="147" t="s">
        <v>17</v>
      </c>
      <c r="B65" s="148">
        <f>'KWH &amp; Rev 2016'!E68</f>
        <v>0</v>
      </c>
      <c r="C65" s="142">
        <f>'KWH &amp; Rev 2016'!G26</f>
        <v>0</v>
      </c>
      <c r="D65" s="142">
        <f>'KWH &amp; Rev 2016'!H26</f>
        <v>0</v>
      </c>
      <c r="E65" s="166" t="s">
        <v>36</v>
      </c>
      <c r="F65" s="166"/>
      <c r="G65" s="151" t="str">
        <f t="shared" si="6"/>
        <v>No Ind. Sales</v>
      </c>
      <c r="H65" s="3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5" customHeight="1">
      <c r="A66" s="176" t="s">
        <v>18</v>
      </c>
      <c r="B66" s="177">
        <f>'KWH &amp; Rev 2016'!E69</f>
        <v>1805608</v>
      </c>
      <c r="C66" s="178">
        <f>'KWH &amp; Rev 2016'!G27</f>
        <v>14147540</v>
      </c>
      <c r="D66" s="178">
        <f>'KWH &amp; Rev 2016'!H27</f>
        <v>15</v>
      </c>
      <c r="E66" s="179">
        <f t="shared" si="7"/>
        <v>943169.3333333334</v>
      </c>
      <c r="F66" s="180">
        <f t="shared" si="8"/>
        <v>12.762699380952448</v>
      </c>
      <c r="G66" s="175">
        <f t="shared" si="6"/>
        <v>4</v>
      </c>
      <c r="H66" s="3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5" customHeight="1">
      <c r="A67" s="147" t="s">
        <v>19</v>
      </c>
      <c r="B67" s="148">
        <f>'KWH &amp; Rev 2016'!E70</f>
        <v>1050572</v>
      </c>
      <c r="C67" s="142">
        <f>'KWH &amp; Rev 2016'!G28</f>
        <v>6986400</v>
      </c>
      <c r="D67" s="142">
        <f>'KWH &amp; Rev 2016'!H28</f>
        <v>1</v>
      </c>
      <c r="E67" s="149">
        <f t="shared" si="7"/>
        <v>6986400</v>
      </c>
      <c r="F67" s="150">
        <f t="shared" si="8"/>
        <v>15.037386923165005</v>
      </c>
      <c r="G67" s="151">
        <f t="shared" si="6"/>
        <v>8</v>
      </c>
      <c r="H67" s="3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5" customHeight="1">
      <c r="A68" s="147" t="s">
        <v>20</v>
      </c>
      <c r="B68" s="203">
        <f>'KWH &amp; Rev 2016'!E71</f>
        <v>1813860</v>
      </c>
      <c r="C68" s="204">
        <f>'KWH &amp; Rev 2016'!G29</f>
        <v>11976280</v>
      </c>
      <c r="D68" s="204">
        <f>'KWH &amp; Rev 2016'!H29</f>
        <v>1</v>
      </c>
      <c r="E68" s="149">
        <f>C68/D68</f>
        <v>11976280</v>
      </c>
      <c r="F68" s="150">
        <f>(B68/C68)*100</f>
        <v>15.145437481421611</v>
      </c>
      <c r="G68" s="151">
        <f t="shared" si="6"/>
        <v>9</v>
      </c>
      <c r="H68" s="3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5" customHeight="1">
      <c r="A69" s="147" t="s">
        <v>21</v>
      </c>
      <c r="B69" s="148">
        <f>'KWH &amp; Rev 2016'!E72</f>
        <v>0</v>
      </c>
      <c r="C69" s="142">
        <f>'KWH &amp; Rev 2016'!G30</f>
        <v>0</v>
      </c>
      <c r="D69" s="142">
        <f>'KWH &amp; Rev 2016'!H30</f>
        <v>0</v>
      </c>
      <c r="E69" s="166" t="s">
        <v>36</v>
      </c>
      <c r="F69" s="150"/>
      <c r="G69" s="151" t="str">
        <f t="shared" si="6"/>
        <v>No Ind. Sales</v>
      </c>
      <c r="H69" s="3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5" customHeight="1">
      <c r="A70" s="176" t="s">
        <v>22</v>
      </c>
      <c r="B70" s="177">
        <f>'KWH &amp; Rev 2016'!E73</f>
        <v>10723669</v>
      </c>
      <c r="C70" s="178">
        <f>'KWH &amp; Rev 2016'!G31</f>
        <v>100115059</v>
      </c>
      <c r="D70" s="178">
        <f>'KWH &amp; Rev 2016'!H31</f>
        <v>13</v>
      </c>
      <c r="E70" s="179">
        <f>C70/D70</f>
        <v>7701158.384615385</v>
      </c>
      <c r="F70" s="180">
        <f>(B70/C70)*100</f>
        <v>10.71134463397759</v>
      </c>
      <c r="G70" s="175">
        <f t="shared" si="6"/>
        <v>2</v>
      </c>
      <c r="H70" s="3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5" customHeight="1" thickBot="1">
      <c r="A71" s="152" t="s">
        <v>23</v>
      </c>
      <c r="B71" s="209">
        <f>'KWH &amp; Rev 2016'!E74</f>
        <v>506778</v>
      </c>
      <c r="C71" s="210">
        <f>'KWH &amp; Rev 2016'!G32</f>
        <v>3630827</v>
      </c>
      <c r="D71" s="210">
        <f>'KWH &amp; Rev 2016'!H32</f>
        <v>12</v>
      </c>
      <c r="E71" s="155">
        <f>C71/D71</f>
        <v>302568.9166666667</v>
      </c>
      <c r="F71" s="156">
        <f>(B71/C71)*100</f>
        <v>13.957646563716752</v>
      </c>
      <c r="G71" s="157">
        <f t="shared" si="6"/>
        <v>6</v>
      </c>
      <c r="H71" s="3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5" customHeight="1" thickBot="1">
      <c r="A72" s="158" t="s">
        <v>24</v>
      </c>
      <c r="B72" s="159">
        <f>SUM(B55:B71)</f>
        <v>145800994.49</v>
      </c>
      <c r="C72" s="160">
        <f>SUM(C55:C71)</f>
        <v>1419684489</v>
      </c>
      <c r="D72" s="160">
        <f>SUM(D55:D71)</f>
        <v>228</v>
      </c>
      <c r="E72" s="155">
        <f>C72/D72</f>
        <v>6226686.355263158</v>
      </c>
      <c r="F72" s="156">
        <f>(B72/C72)*100</f>
        <v>10.2699575588587</v>
      </c>
      <c r="G72" s="15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5" customHeight="1">
      <c r="A73" s="118" t="str">
        <f>'KWH &amp; Rev 2016'!B91</f>
        <v>Sources:   The 2016 Annual Reports sent to the PSD from the responding utilities</v>
      </c>
      <c r="B73" s="17"/>
      <c r="C73" s="23"/>
      <c r="D73" s="23"/>
      <c r="E73" s="15"/>
      <c r="F73" s="16"/>
      <c r="G73" s="1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8">
      <c r="A74" s="182" t="s">
        <v>80</v>
      </c>
      <c r="B74" s="37"/>
      <c r="C74" s="37"/>
      <c r="D74" s="37"/>
      <c r="E74" s="37"/>
      <c r="F74" s="24"/>
      <c r="G74" s="24"/>
      <c r="H74" s="9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9.5" customHeight="1">
      <c r="A75" s="85" t="s">
        <v>41</v>
      </c>
      <c r="B75" s="85"/>
      <c r="C75" s="85"/>
      <c r="D75" s="85"/>
      <c r="E75" s="99"/>
      <c r="F75" s="100"/>
      <c r="G75" s="1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5" customHeight="1">
      <c r="A76" s="85" t="s">
        <v>42</v>
      </c>
      <c r="B76" s="85"/>
      <c r="C76" s="85"/>
      <c r="D76" s="85"/>
      <c r="E76" s="99"/>
      <c r="F76" s="100"/>
      <c r="G76" s="18"/>
      <c r="H76" s="3"/>
      <c r="I76" s="3"/>
      <c r="J76" s="8"/>
      <c r="K76" s="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5" customHeight="1" thickBot="1">
      <c r="A77" s="108">
        <f>A5</f>
        <v>2016</v>
      </c>
      <c r="B77" s="103"/>
      <c r="C77" s="103"/>
      <c r="D77" s="103"/>
      <c r="E77" s="103"/>
      <c r="F77" s="103"/>
      <c r="G77" s="19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30" customHeight="1" thickBot="1">
      <c r="A78" s="167" t="s">
        <v>0</v>
      </c>
      <c r="B78" s="168" t="s">
        <v>34</v>
      </c>
      <c r="C78" s="168" t="s">
        <v>2</v>
      </c>
      <c r="D78" s="168" t="s">
        <v>35</v>
      </c>
      <c r="E78" s="169" t="s">
        <v>5</v>
      </c>
      <c r="F78" s="168" t="s">
        <v>6</v>
      </c>
      <c r="G78" s="1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5.75">
      <c r="A79" s="140" t="s">
        <v>7</v>
      </c>
      <c r="B79" s="141">
        <f>'KWH &amp; Rev 2016'!H58</f>
        <v>2726887</v>
      </c>
      <c r="C79" s="143">
        <f>'KWH &amp; Rev 2016'!K16</f>
        <v>13874258</v>
      </c>
      <c r="D79" s="143">
        <f>'KWH &amp; Rev 2016'!L16</f>
        <v>2112</v>
      </c>
      <c r="E79" s="145">
        <f aca="true" t="shared" si="9" ref="E79:E96">B79/C79*100</f>
        <v>19.654290701527966</v>
      </c>
      <c r="F79" s="146">
        <f aca="true" t="shared" si="10" ref="F79:F95">RANK(E79,$E$79:$E$95,1)</f>
        <v>16</v>
      </c>
      <c r="G79" s="3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5.75">
      <c r="A80" s="176" t="s">
        <v>8</v>
      </c>
      <c r="B80" s="177">
        <f>'KWH &amp; Rev 2016'!H59</f>
        <v>47937833</v>
      </c>
      <c r="C80" s="178">
        <f>'KWH &amp; Rev 2016'!K17</f>
        <v>340281192</v>
      </c>
      <c r="D80" s="178">
        <f>'KWH &amp; Rev 2016'!L17</f>
        <v>20686</v>
      </c>
      <c r="E80" s="180">
        <f t="shared" si="9"/>
        <v>14.087711612342066</v>
      </c>
      <c r="F80" s="175">
        <f t="shared" si="10"/>
        <v>3</v>
      </c>
      <c r="G80" s="3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5.75">
      <c r="A81" s="147" t="s">
        <v>9</v>
      </c>
      <c r="B81" s="148">
        <f>'KWH &amp; Rev 2016'!H60</f>
        <v>4043292</v>
      </c>
      <c r="C81" s="142">
        <f>'KWH &amp; Rev 2016'!K18</f>
        <v>26804996</v>
      </c>
      <c r="D81" s="142">
        <f>'KWH &amp; Rev 2016'!L18</f>
        <v>1729</v>
      </c>
      <c r="E81" s="150">
        <f t="shared" si="9"/>
        <v>15.08409850163753</v>
      </c>
      <c r="F81" s="151">
        <f t="shared" si="10"/>
        <v>7</v>
      </c>
      <c r="G81" s="3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5.75">
      <c r="A82" s="176" t="s">
        <v>10</v>
      </c>
      <c r="B82" s="177">
        <f>'KWH &amp; Rev 2016'!H61</f>
        <v>594943716</v>
      </c>
      <c r="C82" s="178">
        <f>'KWH &amp; Rev 2016'!K19</f>
        <v>4222833000</v>
      </c>
      <c r="D82" s="178">
        <f>'KWH &amp; Rev 2016'!L19</f>
        <v>262156</v>
      </c>
      <c r="E82" s="180">
        <f t="shared" si="9"/>
        <v>14.088734174427453</v>
      </c>
      <c r="F82" s="175">
        <f t="shared" si="10"/>
        <v>4</v>
      </c>
      <c r="G82" s="3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5.75">
      <c r="A83" s="147" t="s">
        <v>11</v>
      </c>
      <c r="B83" s="148">
        <f>'KWH &amp; Rev 2016'!H62</f>
        <v>5867030</v>
      </c>
      <c r="C83" s="142">
        <f>'KWH &amp; Rev 2016'!K20</f>
        <v>33035247</v>
      </c>
      <c r="D83" s="142">
        <f>'KWH &amp; Rev 2016'!L20</f>
        <v>4468</v>
      </c>
      <c r="E83" s="150">
        <f t="shared" si="9"/>
        <v>17.75990958989954</v>
      </c>
      <c r="F83" s="151">
        <f t="shared" si="10"/>
        <v>14</v>
      </c>
      <c r="G83" s="3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5.75">
      <c r="A84" s="147" t="s">
        <v>12</v>
      </c>
      <c r="B84" s="148">
        <f>'KWH &amp; Rev 2016'!H63</f>
        <v>2061456</v>
      </c>
      <c r="C84" s="142">
        <f>'KWH &amp; Rev 2016'!K21</f>
        <v>11337855</v>
      </c>
      <c r="D84" s="142">
        <f>'KWH &amp; Rev 2016'!L21</f>
        <v>1395</v>
      </c>
      <c r="E84" s="150">
        <f t="shared" si="9"/>
        <v>18.182063538473546</v>
      </c>
      <c r="F84" s="151">
        <f t="shared" si="10"/>
        <v>15</v>
      </c>
      <c r="G84" s="3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5.75">
      <c r="A85" s="147" t="s">
        <v>13</v>
      </c>
      <c r="B85" s="148">
        <f>'KWH &amp; Rev 2016'!H64</f>
        <v>854586.99</v>
      </c>
      <c r="C85" s="142">
        <f>'KWH &amp; Rev 2016'!K22</f>
        <v>4988381</v>
      </c>
      <c r="D85" s="142">
        <f>'KWH &amp; Rev 2016'!L22</f>
        <v>698</v>
      </c>
      <c r="E85" s="150">
        <f t="shared" si="9"/>
        <v>17.131550096113347</v>
      </c>
      <c r="F85" s="151">
        <f t="shared" si="10"/>
        <v>12</v>
      </c>
      <c r="G85" s="3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5.75">
      <c r="A86" s="147" t="s">
        <v>14</v>
      </c>
      <c r="B86" s="148">
        <f>'KWH &amp; Rev 2016'!H65</f>
        <v>2274597.2800000003</v>
      </c>
      <c r="C86" s="142">
        <f>'KWH &amp; Rev 2016'!K23</f>
        <v>12946230</v>
      </c>
      <c r="D86" s="142">
        <f>'KWH &amp; Rev 2016'!L23</f>
        <v>945</v>
      </c>
      <c r="E86" s="150">
        <f t="shared" si="9"/>
        <v>17.569572609168848</v>
      </c>
      <c r="F86" s="151">
        <f t="shared" si="10"/>
        <v>13</v>
      </c>
      <c r="G86" s="3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5.75">
      <c r="A87" s="147" t="s">
        <v>15</v>
      </c>
      <c r="B87" s="148">
        <f>'KWH &amp; Rev 2016'!H66</f>
        <v>7339753</v>
      </c>
      <c r="C87" s="142">
        <f>'KWH &amp; Rev 2016'!K24</f>
        <v>46201302</v>
      </c>
      <c r="D87" s="142">
        <f>'KWH &amp; Rev 2016'!L24</f>
        <v>3670</v>
      </c>
      <c r="E87" s="150">
        <f t="shared" si="9"/>
        <v>15.88646354598405</v>
      </c>
      <c r="F87" s="151">
        <f t="shared" si="10"/>
        <v>10</v>
      </c>
      <c r="G87" s="3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5.75">
      <c r="A88" s="147" t="s">
        <v>16</v>
      </c>
      <c r="B88" s="148">
        <f>'KWH &amp; Rev 2016'!H67</f>
        <v>9385338</v>
      </c>
      <c r="C88" s="142">
        <f>'KWH &amp; Rev 2016'!K25</f>
        <v>60845404</v>
      </c>
      <c r="D88" s="142">
        <f>'KWH &amp; Rev 2016'!L25</f>
        <v>5701</v>
      </c>
      <c r="E88" s="150">
        <f t="shared" si="9"/>
        <v>15.424892240012081</v>
      </c>
      <c r="F88" s="151">
        <f t="shared" si="10"/>
        <v>8</v>
      </c>
      <c r="G88" s="3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5.75">
      <c r="A89" s="147" t="s">
        <v>17</v>
      </c>
      <c r="B89" s="148">
        <f>'KWH &amp; Rev 2016'!H68</f>
        <v>6966450</v>
      </c>
      <c r="C89" s="142">
        <f>'KWH &amp; Rev 2016'!K26</f>
        <v>44306409</v>
      </c>
      <c r="D89" s="142">
        <f>'KWH &amp; Rev 2016'!L26</f>
        <v>4048</v>
      </c>
      <c r="E89" s="150">
        <f t="shared" si="9"/>
        <v>15.723346028787844</v>
      </c>
      <c r="F89" s="151">
        <f t="shared" si="10"/>
        <v>9</v>
      </c>
      <c r="G89" s="3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5.75">
      <c r="A90" s="176" t="s">
        <v>18</v>
      </c>
      <c r="B90" s="177">
        <f>'KWH &amp; Rev 2016'!H69</f>
        <v>3813037</v>
      </c>
      <c r="C90" s="178">
        <f>'KWH &amp; Rev 2016'!K27</f>
        <v>28365532</v>
      </c>
      <c r="D90" s="178">
        <f>'KWH &amp; Rev 2016'!L27</f>
        <v>2212</v>
      </c>
      <c r="E90" s="180">
        <f t="shared" si="9"/>
        <v>13.442501272318813</v>
      </c>
      <c r="F90" s="175">
        <f t="shared" si="10"/>
        <v>2</v>
      </c>
      <c r="G90" s="3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75">
      <c r="A91" s="176" t="s">
        <v>19</v>
      </c>
      <c r="B91" s="177">
        <f>'KWH &amp; Rev 2016'!H70</f>
        <v>1865984</v>
      </c>
      <c r="C91" s="178">
        <f>'KWH &amp; Rev 2016'!K28</f>
        <v>13061106</v>
      </c>
      <c r="D91" s="178">
        <f>'KWH &amp; Rev 2016'!L28</f>
        <v>669</v>
      </c>
      <c r="E91" s="180">
        <f t="shared" si="9"/>
        <v>14.286569605973645</v>
      </c>
      <c r="F91" s="175">
        <f t="shared" si="10"/>
        <v>5</v>
      </c>
      <c r="G91" s="3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75">
      <c r="A92" s="147" t="s">
        <v>20</v>
      </c>
      <c r="B92" s="148">
        <f>'KWH &amp; Rev 2016'!H71</f>
        <v>12068294</v>
      </c>
      <c r="C92" s="142">
        <f>'KWH &amp; Rev 2016'!K29</f>
        <v>80189117</v>
      </c>
      <c r="D92" s="142">
        <f>'KWH &amp; Rev 2016'!L29</f>
        <v>4168</v>
      </c>
      <c r="E92" s="150">
        <f t="shared" si="9"/>
        <v>15.049790359956203</v>
      </c>
      <c r="F92" s="151">
        <f t="shared" si="10"/>
        <v>6</v>
      </c>
      <c r="G92" s="3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75">
      <c r="A93" s="176" t="s">
        <v>21</v>
      </c>
      <c r="B93" s="177">
        <f>'KWH &amp; Rev 2016'!H72</f>
        <v>7127906</v>
      </c>
      <c r="C93" s="178">
        <f>'KWH &amp; Rev 2016'!K30</f>
        <v>54466879</v>
      </c>
      <c r="D93" s="178">
        <f>'KWH &amp; Rev 2016'!L30</f>
        <v>3672</v>
      </c>
      <c r="E93" s="180">
        <f t="shared" si="9"/>
        <v>13.086679704926732</v>
      </c>
      <c r="F93" s="175">
        <f t="shared" si="10"/>
        <v>1</v>
      </c>
      <c r="G93" s="3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75">
      <c r="A94" s="147" t="s">
        <v>22</v>
      </c>
      <c r="B94" s="148">
        <f>'KWH &amp; Rev 2016'!H73</f>
        <v>73038198</v>
      </c>
      <c r="C94" s="142">
        <f>'KWH &amp; Rev 2016'!K31</f>
        <v>446266517</v>
      </c>
      <c r="D94" s="142">
        <f>'KWH &amp; Rev 2016'!L31</f>
        <v>38802</v>
      </c>
      <c r="E94" s="150">
        <f t="shared" si="9"/>
        <v>16.36649742198786</v>
      </c>
      <c r="F94" s="151">
        <f t="shared" si="10"/>
        <v>11</v>
      </c>
      <c r="G94" s="3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6.5" thickBot="1">
      <c r="A95" s="152" t="s">
        <v>23</v>
      </c>
      <c r="B95" s="153">
        <f>'KWH &amp; Rev 2016'!H74</f>
        <v>13798558</v>
      </c>
      <c r="C95" s="154">
        <f>'KWH &amp; Rev 2016'!K32</f>
        <v>69809811</v>
      </c>
      <c r="D95" s="154">
        <f>'KWH &amp; Rev 2016'!L32</f>
        <v>10895</v>
      </c>
      <c r="E95" s="156">
        <f t="shared" si="9"/>
        <v>19.765929462264264</v>
      </c>
      <c r="F95" s="157">
        <f t="shared" si="10"/>
        <v>17</v>
      </c>
      <c r="G95" s="3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6.5" thickBot="1">
      <c r="A96" s="158" t="s">
        <v>24</v>
      </c>
      <c r="B96" s="159">
        <f>SUM(B79:B95)</f>
        <v>796112916.27</v>
      </c>
      <c r="C96" s="160">
        <f>SUM(C79:C95)</f>
        <v>5509613236</v>
      </c>
      <c r="D96" s="160">
        <f>SUM(D79:D95)</f>
        <v>368026</v>
      </c>
      <c r="E96" s="170">
        <f t="shared" si="9"/>
        <v>14.449524534102887</v>
      </c>
      <c r="F96" s="171"/>
      <c r="G96" s="1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75" thickBot="1">
      <c r="A97" s="114" t="str">
        <f>'KWH &amp; Rev 2016'!B91</f>
        <v>Sources:   The 2016 Annual Reports sent to the PSD from the responding utilities</v>
      </c>
      <c r="B97" s="115"/>
      <c r="C97" s="116"/>
      <c r="D97" s="117"/>
      <c r="E97" s="107"/>
      <c r="F97" s="90"/>
      <c r="G97" s="1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">
      <c r="A98" s="182" t="s">
        <v>80</v>
      </c>
      <c r="B98" s="23"/>
      <c r="C98" s="23"/>
      <c r="D98" s="23"/>
      <c r="E98" s="15"/>
      <c r="F98" s="16"/>
      <c r="G98" s="1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5">
      <c r="A99" s="197"/>
      <c r="B99" s="197"/>
      <c r="C99" s="198"/>
      <c r="D99" s="199"/>
      <c r="E99" s="200"/>
      <c r="F99" s="16"/>
      <c r="G99" s="1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">
      <c r="A100" s="20"/>
      <c r="B100" s="20"/>
      <c r="C100" s="20"/>
      <c r="D100" s="20"/>
      <c r="E100" s="21"/>
      <c r="F100" s="22"/>
      <c r="G100" s="2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">
      <c r="A101" s="20"/>
      <c r="B101" s="25"/>
      <c r="C101" s="26"/>
      <c r="D101" s="21"/>
      <c r="E101" s="22"/>
      <c r="F101" s="20"/>
      <c r="G101" s="2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10" ht="12.75">
      <c r="A102" s="27"/>
      <c r="B102" s="27"/>
      <c r="C102" s="27"/>
      <c r="D102" s="27"/>
      <c r="E102" s="27"/>
      <c r="F102" s="27"/>
      <c r="G102" s="27"/>
      <c r="J102" s="1"/>
    </row>
    <row r="103" spans="1:10" ht="12.75">
      <c r="A103" s="27"/>
      <c r="B103" s="27"/>
      <c r="C103" s="27"/>
      <c r="D103" s="27"/>
      <c r="E103" s="27"/>
      <c r="F103" s="27"/>
      <c r="G103" s="27"/>
      <c r="J103" s="1"/>
    </row>
    <row r="104" spans="1:7" ht="12.75">
      <c r="A104" s="27"/>
      <c r="B104" s="27"/>
      <c r="C104" s="27"/>
      <c r="D104" s="27"/>
      <c r="E104" s="27"/>
      <c r="F104" s="27"/>
      <c r="G104" s="27"/>
    </row>
    <row r="105" spans="1:7" ht="12.75">
      <c r="A105" s="27"/>
      <c r="B105" s="27"/>
      <c r="C105" s="27"/>
      <c r="D105" s="27"/>
      <c r="E105" s="27"/>
      <c r="F105" s="27"/>
      <c r="G105" s="27"/>
    </row>
    <row r="106" spans="1:7" ht="12.75">
      <c r="A106" s="27"/>
      <c r="B106" s="27"/>
      <c r="C106" s="27"/>
      <c r="D106" s="27"/>
      <c r="E106" s="27"/>
      <c r="F106" s="27"/>
      <c r="G106" s="27"/>
    </row>
    <row r="107" spans="1:7" ht="12.75">
      <c r="A107" s="27"/>
      <c r="B107" s="27"/>
      <c r="C107" s="27"/>
      <c r="D107" s="27"/>
      <c r="E107" s="27"/>
      <c r="F107" s="27"/>
      <c r="G107" s="27"/>
    </row>
    <row r="108" spans="1:7" ht="12.75">
      <c r="A108" s="27"/>
      <c r="B108" s="27"/>
      <c r="C108" s="27"/>
      <c r="D108" s="27"/>
      <c r="E108" s="27"/>
      <c r="F108" s="27"/>
      <c r="G108" s="27"/>
    </row>
    <row r="109" spans="1:7" ht="12.75">
      <c r="A109" s="27"/>
      <c r="B109" s="27"/>
      <c r="C109" s="27"/>
      <c r="D109" s="27"/>
      <c r="E109" s="27"/>
      <c r="F109" s="27"/>
      <c r="G109" s="27"/>
    </row>
    <row r="110" spans="1:7" ht="12.75">
      <c r="A110" s="27"/>
      <c r="B110" s="27"/>
      <c r="C110" s="27"/>
      <c r="D110" s="27"/>
      <c r="E110" s="27"/>
      <c r="F110" s="27"/>
      <c r="G110" s="27"/>
    </row>
    <row r="111" spans="1:7" ht="12.75">
      <c r="A111" s="27"/>
      <c r="B111" s="27"/>
      <c r="C111" s="27"/>
      <c r="D111" s="27"/>
      <c r="E111" s="27"/>
      <c r="F111" s="27"/>
      <c r="G111" s="27"/>
    </row>
    <row r="112" spans="1:7" ht="12.75">
      <c r="A112" s="27"/>
      <c r="B112" s="27"/>
      <c r="C112" s="27"/>
      <c r="D112" s="27"/>
      <c r="E112" s="27"/>
      <c r="F112" s="27"/>
      <c r="G112" s="27"/>
    </row>
    <row r="113" spans="1:7" ht="12.75">
      <c r="A113" s="27"/>
      <c r="B113" s="27"/>
      <c r="C113" s="27"/>
      <c r="D113" s="27"/>
      <c r="E113" s="27"/>
      <c r="F113" s="27"/>
      <c r="G113" s="27"/>
    </row>
    <row r="114" spans="1:7" ht="12.75">
      <c r="A114" s="27"/>
      <c r="B114" s="27"/>
      <c r="C114" s="27"/>
      <c r="D114" s="27"/>
      <c r="E114" s="27"/>
      <c r="F114" s="27"/>
      <c r="G114" s="27"/>
    </row>
    <row r="115" spans="1:7" ht="12.75">
      <c r="A115" s="27"/>
      <c r="B115" s="27"/>
      <c r="C115" s="27"/>
      <c r="D115" s="27"/>
      <c r="E115" s="27"/>
      <c r="F115" s="27"/>
      <c r="G115" s="27"/>
    </row>
    <row r="116" spans="1:7" ht="12.75">
      <c r="A116" s="28"/>
      <c r="B116" s="28"/>
      <c r="C116" s="28"/>
      <c r="D116" s="28"/>
      <c r="E116" s="28"/>
      <c r="F116" s="28"/>
      <c r="G116" s="28"/>
    </row>
    <row r="117" spans="1:7" ht="12.75">
      <c r="A117" s="28"/>
      <c r="B117" s="28"/>
      <c r="C117" s="28"/>
      <c r="D117" s="28"/>
      <c r="E117" s="28"/>
      <c r="F117" s="28"/>
      <c r="G117" s="28"/>
    </row>
    <row r="118" spans="1:7" ht="12.75">
      <c r="A118" s="28"/>
      <c r="B118" s="28"/>
      <c r="C118" s="28"/>
      <c r="D118" s="28"/>
      <c r="E118" s="28"/>
      <c r="F118" s="28"/>
      <c r="G118" s="28"/>
    </row>
    <row r="119" spans="1:7" ht="12.75">
      <c r="A119" s="28"/>
      <c r="B119" s="28"/>
      <c r="C119" s="28"/>
      <c r="D119" s="28"/>
      <c r="E119" s="28"/>
      <c r="F119" s="28"/>
      <c r="G119" s="28"/>
    </row>
    <row r="120" spans="1:7" ht="12.75">
      <c r="A120" s="28"/>
      <c r="B120" s="28"/>
      <c r="C120" s="28"/>
      <c r="D120" s="28"/>
      <c r="E120" s="28"/>
      <c r="F120" s="28"/>
      <c r="G120" s="28"/>
    </row>
    <row r="121" spans="1:7" ht="12.75">
      <c r="A121" s="28"/>
      <c r="B121" s="28"/>
      <c r="C121" s="28"/>
      <c r="D121" s="28"/>
      <c r="E121" s="28"/>
      <c r="F121" s="28"/>
      <c r="G121" s="28"/>
    </row>
    <row r="122" spans="1:7" ht="12.75">
      <c r="A122" s="28"/>
      <c r="B122" s="28"/>
      <c r="C122" s="28"/>
      <c r="D122" s="28"/>
      <c r="E122" s="28"/>
      <c r="F122" s="28"/>
      <c r="G122" s="28"/>
    </row>
    <row r="123" spans="1:7" ht="12.75">
      <c r="A123" s="28"/>
      <c r="B123" s="28"/>
      <c r="C123" s="28"/>
      <c r="D123" s="28"/>
      <c r="E123" s="28"/>
      <c r="F123" s="28"/>
      <c r="G123" s="28"/>
    </row>
    <row r="124" spans="1:7" ht="12.75">
      <c r="A124" s="28"/>
      <c r="B124" s="28"/>
      <c r="C124" s="28"/>
      <c r="D124" s="28"/>
      <c r="E124" s="28"/>
      <c r="F124" s="28"/>
      <c r="G124" s="28"/>
    </row>
    <row r="125" spans="1:7" ht="12.75">
      <c r="A125" s="28"/>
      <c r="B125" s="28"/>
      <c r="C125" s="28"/>
      <c r="D125" s="28"/>
      <c r="E125" s="28"/>
      <c r="F125" s="28"/>
      <c r="G125" s="28"/>
    </row>
    <row r="126" spans="1:7" ht="12.75">
      <c r="A126" s="28"/>
      <c r="B126" s="28"/>
      <c r="C126" s="28"/>
      <c r="D126" s="28"/>
      <c r="E126" s="28"/>
      <c r="F126" s="28"/>
      <c r="G126" s="28"/>
    </row>
    <row r="127" spans="1:7" ht="12.75">
      <c r="A127" s="28"/>
      <c r="B127" s="28"/>
      <c r="C127" s="28"/>
      <c r="D127" s="28"/>
      <c r="E127" s="28"/>
      <c r="F127" s="28"/>
      <c r="G127" s="28"/>
    </row>
    <row r="128" spans="1:7" ht="12.75">
      <c r="A128" s="28"/>
      <c r="B128" s="28"/>
      <c r="C128" s="28"/>
      <c r="D128" s="28"/>
      <c r="E128" s="28"/>
      <c r="F128" s="28"/>
      <c r="G128" s="28"/>
    </row>
  </sheetData>
  <sheetProtection/>
  <printOptions gridLines="1"/>
  <pageMargins left="1.25" right="1" top="0.3" bottom="0.25" header="0.5" footer="0.5"/>
  <pageSetup blackAndWhite="1" horizontalDpi="600" verticalDpi="600" orientation="portrait" scale="64" r:id="rId2"/>
  <rowBreaks count="2" manualBreakCount="2">
    <brk id="49" max="255" man="1"/>
    <brk id="9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Kundrath</dc:creator>
  <cp:keywords/>
  <dc:description/>
  <cp:lastModifiedBy>Ziegler, Tod</cp:lastModifiedBy>
  <cp:lastPrinted>2015-06-15T14:12:45Z</cp:lastPrinted>
  <dcterms:created xsi:type="dcterms:W3CDTF">2005-01-03T15:34:36Z</dcterms:created>
  <dcterms:modified xsi:type="dcterms:W3CDTF">2017-09-01T14:36:43Z</dcterms:modified>
  <cp:category/>
  <cp:version/>
  <cp:contentType/>
  <cp:contentStatus/>
</cp:coreProperties>
</file>